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nancialanalyst3\Desktop\MS. SHREE JEE BIO ENERGY\RK WORKING JULY 23\V4 MODEL AND REPORT\"/>
    </mc:Choice>
  </mc:AlternateContent>
  <bookViews>
    <workbookView xWindow="0" yWindow="0" windowWidth="20490" windowHeight="7755" tabRatio="960" firstSheet="1" activeTab="1"/>
  </bookViews>
  <sheets>
    <sheet name="Det CoP_MOF" sheetId="1" r:id="rId1"/>
    <sheet name="Sheet2" sheetId="24" r:id="rId2"/>
    <sheet name="CoP-MoF" sheetId="2" r:id="rId3"/>
    <sheet name="Det Assump" sheetId="3" r:id="rId4"/>
    <sheet name="Assump" sheetId="4" r:id="rId5"/>
    <sheet name="P &amp; L" sheetId="5" r:id="rId6"/>
    <sheet name="BS" sheetId="6" r:id="rId7"/>
    <sheet name="Cash Flow" sheetId="7" r:id="rId8"/>
    <sheet name="DSCR" sheetId="8" r:id="rId9"/>
    <sheet name="Loan Assumptions" sheetId="23" r:id="rId10"/>
    <sheet name="TL Schd" sheetId="22" r:id="rId11"/>
    <sheet name="Ratio" sheetId="10" r:id="rId12"/>
    <sheet name="WC" sheetId="11" r:id="rId13"/>
    <sheet name="PBP-IRR" sheetId="12" state="hidden" r:id="rId14"/>
    <sheet name="NPV" sheetId="13" state="hidden" r:id="rId15"/>
    <sheet name="Tax" sheetId="14" state="hidden" r:id="rId16"/>
    <sheet name="P E" sheetId="15" state="hidden" r:id="rId17"/>
    <sheet name="PE" sheetId="16" state="hidden" r:id="rId18"/>
    <sheet name="Depr" sheetId="19" r:id="rId19"/>
    <sheet name="sal &amp; wages" sheetId="17" r:id="rId20"/>
    <sheet name="Sheet1" sheetId="18" state="hidden" r:id="rId21"/>
    <sheet name="NPV IRR" sheetId="21" r:id="rId22"/>
  </sheets>
  <definedNames>
    <definedName name="A">'P &amp; L'!$A$1</definedName>
    <definedName name="Z_22475485_DA09_46DB_978D_BB94CE1E5597_.wvu.Cols" localSheetId="8" hidden="1">DSCR!#REF!,DSCR!$JA:$JA,DSCR!$SW:$SW,DSCR!$ACS:$ACS,DSCR!$AMO:$AMO,DSCR!$AWK:$AWK,DSCR!$BGG:$BGG,DSCR!$BQC:$BQC,DSCR!$BZY:$BZY,DSCR!$CJU:$CJU,DSCR!$CTQ:$CTQ,DSCR!$DDM:$DDM,DSCR!$DNI:$DNI,DSCR!$DXE:$DXE,DSCR!$EHA:$EHA,DSCR!$EQW:$EQW,DSCR!$FAS:$FAS,DSCR!$FKO:$FKO,DSCR!$FUK:$FUK,DSCR!$GEG:$GEG,DSCR!$GOC:$GOC,DSCR!$GXY:$GXY,DSCR!$HHU:$HHU,DSCR!$HRQ:$HRQ,DSCR!$IBM:$IBM,DSCR!$ILI:$ILI,DSCR!$IVE:$IVE,DSCR!$JFA:$JFA,DSCR!$JOW:$JOW,DSCR!$JYS:$JYS,DSCR!$KIO:$KIO,DSCR!$KSK:$KSK,DSCR!$LCG:$LCG,DSCR!$LMC:$LMC,DSCR!$LVY:$LVY,DSCR!$MFU:$MFU,DSCR!$MPQ:$MPQ,DSCR!$MZM:$MZM,DSCR!$NJI:$NJI,DSCR!$NTE:$NTE,DSCR!$ODA:$ODA,DSCR!$OMW:$OMW,DSCR!$OWS:$OWS,DSCR!$PGO:$PGO,DSCR!$PQK:$PQK,DSCR!$QAG:$QAG,DSCR!$QKC:$QKC,DSCR!$QTY:$QTY,DSCR!$RDU:$RDU,DSCR!$RNQ:$RNQ,DSCR!$RXM:$RXM,DSCR!$SHI:$SHI,DSCR!$SRE:$SRE,DSCR!$TBA:$TBA,DSCR!$TKW:$TKW,DSCR!$TUS:$TUS,DSCR!$UEO:$UEO,DSCR!$UOK:$UOK,DSCR!$UYG:$UYG,DSCR!$VIC:$VIC,DSCR!$VRY:$VRY,DSCR!$WBU:$WBU,DSCR!$WLQ:$WLQ,DSCR!$WVM:$WVM</definedName>
    <definedName name="Z_22475485_DA09_46DB_978D_BB94CE1E5597_.wvu.Cols" localSheetId="15" hidden="1">Tax!$D:$D</definedName>
    <definedName name="Z_22475485_DA09_46DB_978D_BB94CE1E5597_.wvu.Rows" localSheetId="0" hidden="1">'Det CoP_MOF'!$5:$7,'Det CoP_MOF'!$180:$186</definedName>
    <definedName name="Z_22475485_DA09_46DB_978D_BB94CE1E5597_.wvu.Rows" localSheetId="5" hidden="1">'P &amp; L'!$1:$1</definedName>
    <definedName name="Z_22475485_DA09_46DB_978D_BB94CE1E5597_.wvu.Rows" localSheetId="13" hidden="1">'PBP-IRR'!$15:$21</definedName>
    <definedName name="Z_22475485_DA09_46DB_978D_BB94CE1E5597_.wvu.Rows" localSheetId="11" hidden="1">Ratio!$40:$45</definedName>
  </definedNames>
  <calcPr calcId="152511"/>
  <customWorkbookViews>
    <customWorkbookView name="DELL - Personal View" guid="{22475485-DA09-46DB-978D-BB94CE1E5597}" mergeInterval="0" personalView="1" maximized="1" xWindow="1" yWindow="1" windowWidth="1122" windowHeight="538" activeSheetId="2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7" l="1"/>
  <c r="H11" i="17"/>
  <c r="H12" i="17" s="1"/>
  <c r="J10" i="17"/>
  <c r="J11" i="17" s="1"/>
  <c r="J12" i="17" s="1"/>
  <c r="G8" i="17"/>
  <c r="I4" i="24"/>
  <c r="I3" i="24"/>
  <c r="E6" i="24" l="1"/>
  <c r="E5" i="24"/>
  <c r="E4" i="2" l="1"/>
  <c r="D4" i="2"/>
  <c r="J14" i="4"/>
  <c r="J13" i="4"/>
  <c r="I11" i="4" l="1"/>
  <c r="G173" i="1"/>
  <c r="H188" i="1"/>
  <c r="G49" i="1"/>
  <c r="G7" i="4"/>
  <c r="D1" i="21" l="1"/>
  <c r="E1" i="21" s="1"/>
  <c r="F1" i="21" s="1"/>
  <c r="G1" i="21" s="1"/>
  <c r="H1" i="21" s="1"/>
  <c r="I1" i="21" s="1"/>
  <c r="J1" i="21" s="1"/>
  <c r="K1" i="21" s="1"/>
  <c r="L1" i="21" s="1"/>
  <c r="M1" i="21" s="1"/>
  <c r="N1" i="21" s="1"/>
  <c r="D28" i="21"/>
  <c r="E28" i="21" s="1"/>
  <c r="F28" i="21" s="1"/>
  <c r="G28" i="21" s="1"/>
  <c r="H28" i="21" s="1"/>
  <c r="I28" i="21" s="1"/>
  <c r="J28" i="21" s="1"/>
  <c r="K28" i="21" s="1"/>
  <c r="L28" i="21" s="1"/>
  <c r="M28" i="21" s="1"/>
  <c r="N28" i="21" s="1"/>
  <c r="C21" i="21"/>
  <c r="C17" i="21"/>
  <c r="C16" i="21"/>
  <c r="D10" i="21"/>
  <c r="E10" i="21"/>
  <c r="F10" i="21"/>
  <c r="G10" i="21"/>
  <c r="H10" i="21"/>
  <c r="I10" i="21"/>
  <c r="J10" i="21"/>
  <c r="K10" i="21"/>
  <c r="L10" i="21"/>
  <c r="M10" i="21"/>
  <c r="N10" i="21"/>
  <c r="C10" i="21"/>
  <c r="C9" i="21"/>
  <c r="B52" i="10"/>
  <c r="D8" i="21"/>
  <c r="E8" i="21"/>
  <c r="F8" i="21"/>
  <c r="G8" i="21"/>
  <c r="H8" i="21"/>
  <c r="I8" i="21"/>
  <c r="J8" i="21"/>
  <c r="K8" i="21"/>
  <c r="L8" i="21"/>
  <c r="M8" i="21"/>
  <c r="N8" i="21"/>
  <c r="C8" i="21"/>
  <c r="D6" i="21"/>
  <c r="E6" i="21"/>
  <c r="F6" i="21"/>
  <c r="G6" i="21"/>
  <c r="H6" i="21"/>
  <c r="I6" i="21"/>
  <c r="J6" i="21"/>
  <c r="K6" i="21"/>
  <c r="L6" i="21"/>
  <c r="M6" i="21"/>
  <c r="N6" i="21"/>
  <c r="C6" i="21"/>
  <c r="D4" i="21"/>
  <c r="D7" i="21" s="1"/>
  <c r="E4" i="21"/>
  <c r="F4" i="21"/>
  <c r="G4" i="21"/>
  <c r="G7" i="21" s="1"/>
  <c r="H4" i="21"/>
  <c r="H7" i="21" s="1"/>
  <c r="I4" i="21"/>
  <c r="I7" i="21" s="1"/>
  <c r="J4" i="21"/>
  <c r="J7" i="21" s="1"/>
  <c r="K4" i="21"/>
  <c r="K7" i="21" s="1"/>
  <c r="L4" i="21"/>
  <c r="L7" i="21" s="1"/>
  <c r="M4" i="21"/>
  <c r="M7" i="21" s="1"/>
  <c r="N4" i="21"/>
  <c r="N7" i="21" s="1"/>
  <c r="C4" i="21"/>
  <c r="C7" i="21" s="1"/>
  <c r="D2" i="21"/>
  <c r="E2" i="21" s="1"/>
  <c r="F2" i="21" s="1"/>
  <c r="G2" i="21" s="1"/>
  <c r="H2" i="21" s="1"/>
  <c r="I2" i="21" s="1"/>
  <c r="J2" i="21" s="1"/>
  <c r="K2" i="21" s="1"/>
  <c r="L2" i="21" s="1"/>
  <c r="M2" i="21" s="1"/>
  <c r="N2" i="21" s="1"/>
  <c r="B15" i="8"/>
  <c r="B14" i="8"/>
  <c r="C2" i="7"/>
  <c r="D2" i="7" s="1"/>
  <c r="E2" i="7" s="1"/>
  <c r="F2" i="7" s="1"/>
  <c r="G2" i="7" s="1"/>
  <c r="H2" i="7" s="1"/>
  <c r="I2" i="7" s="1"/>
  <c r="J2" i="7" s="1"/>
  <c r="K2" i="7" s="1"/>
  <c r="L2" i="7" s="1"/>
  <c r="M2" i="7" s="1"/>
  <c r="B46" i="5"/>
  <c r="A46" i="5"/>
  <c r="B44" i="5"/>
  <c r="B43" i="5"/>
  <c r="B42" i="5"/>
  <c r="A43" i="5"/>
  <c r="A42" i="5"/>
  <c r="C18" i="21" l="1"/>
  <c r="C19" i="21" s="1"/>
  <c r="E7" i="21"/>
  <c r="C11" i="21"/>
  <c r="F7" i="21"/>
  <c r="B45" i="5"/>
  <c r="D26" i="8"/>
  <c r="D25" i="8"/>
  <c r="D27" i="8" s="1"/>
  <c r="C27" i="8"/>
  <c r="F17" i="4"/>
  <c r="D35" i="22"/>
  <c r="D36" i="22" s="1"/>
  <c r="D37" i="22" s="1"/>
  <c r="D38" i="22" s="1"/>
  <c r="D39" i="22" s="1"/>
  <c r="D40" i="22" s="1"/>
  <c r="D17" i="5"/>
  <c r="E17" i="5" s="1"/>
  <c r="F17" i="5" s="1"/>
  <c r="G17" i="5" s="1"/>
  <c r="C8" i="7"/>
  <c r="D2" i="10"/>
  <c r="E2" i="10" s="1"/>
  <c r="F2" i="10" s="1"/>
  <c r="G2" i="10" s="1"/>
  <c r="H2" i="10" s="1"/>
  <c r="I2" i="10" s="1"/>
  <c r="J2" i="10" s="1"/>
  <c r="K2" i="10" s="1"/>
  <c r="L2" i="10" s="1"/>
  <c r="M2" i="10" s="1"/>
  <c r="C13" i="2"/>
  <c r="C15" i="2" s="1"/>
  <c r="B5" i="6" s="1"/>
  <c r="B6" i="7" s="1"/>
  <c r="D23" i="11"/>
  <c r="E23" i="11" s="1"/>
  <c r="F23" i="11" s="1"/>
  <c r="E103" i="22"/>
  <c r="C19" i="22"/>
  <c r="F29" i="1"/>
  <c r="F26" i="1"/>
  <c r="C5" i="4"/>
  <c r="C20" i="21" l="1"/>
  <c r="C24" i="21" s="1"/>
  <c r="C26" i="21" s="1"/>
  <c r="D36" i="21"/>
  <c r="C40" i="21" s="1"/>
  <c r="B10" i="10"/>
  <c r="B45" i="10"/>
  <c r="H17" i="5"/>
  <c r="I17" i="5" s="1"/>
  <c r="J17" i="5" s="1"/>
  <c r="K17" i="5" s="1"/>
  <c r="L17" i="5" s="1"/>
  <c r="M17" i="5" s="1"/>
  <c r="G23" i="11"/>
  <c r="H30" i="21" l="1"/>
  <c r="I30" i="21"/>
  <c r="J30" i="21"/>
  <c r="M30" i="21"/>
  <c r="G30" i="21"/>
  <c r="D30" i="21"/>
  <c r="E30" i="21"/>
  <c r="F30" i="21"/>
  <c r="L30" i="21"/>
  <c r="N30" i="21"/>
  <c r="K30" i="21"/>
  <c r="H23" i="11"/>
  <c r="D6" i="5"/>
  <c r="E12" i="7"/>
  <c r="F12" i="7" l="1"/>
  <c r="E6" i="5"/>
  <c r="I23" i="11"/>
  <c r="A34" i="22"/>
  <c r="A47" i="22" s="1"/>
  <c r="A52" i="22" s="1"/>
  <c r="A57" i="22" s="1"/>
  <c r="A62" i="22" s="1"/>
  <c r="A67" i="22" s="1"/>
  <c r="A72" i="22" s="1"/>
  <c r="A77" i="22" s="1"/>
  <c r="A82" i="22" s="1"/>
  <c r="A87" i="22" s="1"/>
  <c r="A92" i="22" s="1"/>
  <c r="F6" i="5" l="1"/>
  <c r="J23" i="11"/>
  <c r="G4" i="14"/>
  <c r="H4" i="14" s="1"/>
  <c r="I4" i="14" s="1"/>
  <c r="J4" i="14" s="1"/>
  <c r="K4" i="14" s="1"/>
  <c r="L4" i="14" s="1"/>
  <c r="M4" i="14" s="1"/>
  <c r="N4" i="14" s="1"/>
  <c r="O4" i="14" s="1"/>
  <c r="P4" i="14" s="1"/>
  <c r="C5" i="11"/>
  <c r="D5" i="11" s="1"/>
  <c r="E5" i="11" s="1"/>
  <c r="F5" i="11" s="1"/>
  <c r="G5" i="11" s="1"/>
  <c r="H5" i="11" s="1"/>
  <c r="I5" i="11" s="1"/>
  <c r="J5" i="11" s="1"/>
  <c r="K5" i="11" s="1"/>
  <c r="L5" i="11" s="1"/>
  <c r="M5" i="11" s="1"/>
  <c r="G6" i="5" l="1"/>
  <c r="K23" i="11"/>
  <c r="C23" i="19"/>
  <c r="D23" i="19" s="1"/>
  <c r="E23" i="19" s="1"/>
  <c r="F23" i="19" s="1"/>
  <c r="G23" i="19" s="1"/>
  <c r="H23" i="19" s="1"/>
  <c r="I23" i="19" s="1"/>
  <c r="J23" i="19" s="1"/>
  <c r="K23" i="19" s="1"/>
  <c r="L23" i="19" s="1"/>
  <c r="C13" i="19"/>
  <c r="D13" i="19" s="1"/>
  <c r="E13" i="19" s="1"/>
  <c r="F13" i="19" s="1"/>
  <c r="G13" i="19" s="1"/>
  <c r="H13" i="19" s="1"/>
  <c r="I13" i="19" s="1"/>
  <c r="J13" i="19" s="1"/>
  <c r="K13" i="19" s="1"/>
  <c r="L13" i="19" s="1"/>
  <c r="E105" i="22"/>
  <c r="F105" i="22" s="1"/>
  <c r="G105" i="22" s="1"/>
  <c r="H105" i="22" s="1"/>
  <c r="I105" i="22" s="1"/>
  <c r="J105" i="22" s="1"/>
  <c r="K105" i="22" s="1"/>
  <c r="L105" i="22" s="1"/>
  <c r="M105" i="22" s="1"/>
  <c r="N105" i="22" s="1"/>
  <c r="D4" i="5"/>
  <c r="E4" i="5" s="1"/>
  <c r="F4" i="5" s="1"/>
  <c r="G4" i="5" s="1"/>
  <c r="H4" i="5" s="1"/>
  <c r="I4" i="5" s="1"/>
  <c r="J4" i="5" s="1"/>
  <c r="K4" i="5" s="1"/>
  <c r="L4" i="5" s="1"/>
  <c r="M4" i="5" s="1"/>
  <c r="C2" i="6"/>
  <c r="D2" i="6" s="1"/>
  <c r="E2" i="6" s="1"/>
  <c r="F2" i="6" s="1"/>
  <c r="G2" i="6" s="1"/>
  <c r="H2" i="6" s="1"/>
  <c r="I2" i="6" s="1"/>
  <c r="J2" i="6" s="1"/>
  <c r="K2" i="6" s="1"/>
  <c r="L2" i="6" s="1"/>
  <c r="M2" i="6" s="1"/>
  <c r="C5" i="8"/>
  <c r="D5" i="8" s="1"/>
  <c r="E5" i="8" s="1"/>
  <c r="F5" i="8" s="1"/>
  <c r="G5" i="8" s="1"/>
  <c r="H5" i="8" s="1"/>
  <c r="I5" i="8" s="1"/>
  <c r="J5" i="8" s="1"/>
  <c r="K5" i="8" s="1"/>
  <c r="L5" i="8" s="1"/>
  <c r="D7" i="22"/>
  <c r="E7" i="22" s="1"/>
  <c r="F7" i="22" s="1"/>
  <c r="G7" i="22" s="1"/>
  <c r="H7" i="22" s="1"/>
  <c r="I7" i="22" s="1"/>
  <c r="J7" i="22" s="1"/>
  <c r="K7" i="22" s="1"/>
  <c r="L7" i="22" s="1"/>
  <c r="M7" i="22" s="1"/>
  <c r="N7" i="22" s="1"/>
  <c r="H6" i="5" l="1"/>
  <c r="L23" i="11"/>
  <c r="F157" i="1"/>
  <c r="F123" i="1"/>
  <c r="F85" i="1"/>
  <c r="F83" i="1"/>
  <c r="F66" i="1"/>
  <c r="C63" i="3"/>
  <c r="C6" i="4" s="1"/>
  <c r="I6" i="5" l="1"/>
  <c r="M23" i="11"/>
  <c r="F91" i="1"/>
  <c r="E171" i="1"/>
  <c r="E170" i="1"/>
  <c r="E168" i="1"/>
  <c r="J6" i="5" l="1"/>
  <c r="D106" i="22"/>
  <c r="C9" i="2"/>
  <c r="E177" i="1"/>
  <c r="F177" i="1" s="1"/>
  <c r="K6" i="5" l="1"/>
  <c r="F20" i="1"/>
  <c r="L6" i="5" l="1"/>
  <c r="C49" i="3"/>
  <c r="C54" i="3"/>
  <c r="F58" i="1"/>
  <c r="F56" i="1"/>
  <c r="B11" i="6"/>
  <c r="M6" i="5" l="1"/>
  <c r="C11" i="6"/>
  <c r="D11" i="6" s="1"/>
  <c r="E11" i="6" s="1"/>
  <c r="F11" i="6" s="1"/>
  <c r="G11" i="6" s="1"/>
  <c r="H11" i="6" s="1"/>
  <c r="I11" i="6" s="1"/>
  <c r="J11" i="6" s="1"/>
  <c r="K11" i="6" s="1"/>
  <c r="L11" i="6" s="1"/>
  <c r="M11" i="6" s="1"/>
  <c r="E109" i="22"/>
  <c r="F109" i="22" s="1"/>
  <c r="G109" i="22" s="1"/>
  <c r="H109" i="22" s="1"/>
  <c r="I109" i="22" s="1"/>
  <c r="J109" i="22" s="1"/>
  <c r="K109" i="22" s="1"/>
  <c r="L109" i="22" s="1"/>
  <c r="M109" i="22" s="1"/>
  <c r="N109" i="22" s="1"/>
  <c r="D107" i="22" l="1"/>
  <c r="D111" i="22" s="1"/>
  <c r="C24" i="5" s="1"/>
  <c r="E106" i="22"/>
  <c r="F106" i="22" l="1"/>
  <c r="E107" i="22"/>
  <c r="E111" i="22" s="1"/>
  <c r="D24" i="5" s="1"/>
  <c r="G106" i="22" l="1"/>
  <c r="F107" i="22"/>
  <c r="F111" i="22" s="1"/>
  <c r="E24" i="5" s="1"/>
  <c r="G107" i="22" l="1"/>
  <c r="G111" i="22" s="1"/>
  <c r="F24" i="5" s="1"/>
  <c r="H106" i="22"/>
  <c r="H107" i="22" l="1"/>
  <c r="H111" i="22" s="1"/>
  <c r="G24" i="5" s="1"/>
  <c r="I106" i="22"/>
  <c r="J106" i="22" s="1"/>
  <c r="J107" i="22" l="1"/>
  <c r="J111" i="22" s="1"/>
  <c r="I24" i="5" s="1"/>
  <c r="I8" i="10" s="1"/>
  <c r="K106" i="22"/>
  <c r="I107" i="22"/>
  <c r="I111" i="22" s="1"/>
  <c r="H24" i="5" s="1"/>
  <c r="L106" i="22" l="1"/>
  <c r="K107" i="22"/>
  <c r="K111" i="22" s="1"/>
  <c r="J24" i="5" s="1"/>
  <c r="J8" i="10" s="1"/>
  <c r="H14" i="12"/>
  <c r="L107" i="22" l="1"/>
  <c r="L111" i="22" s="1"/>
  <c r="K24" i="5" s="1"/>
  <c r="K8" i="10" s="1"/>
  <c r="M106" i="22"/>
  <c r="C21" i="16"/>
  <c r="C27" i="16"/>
  <c r="C26" i="16"/>
  <c r="M107" i="22" l="1"/>
  <c r="M111" i="22" s="1"/>
  <c r="L24" i="5" s="1"/>
  <c r="L8" i="10" s="1"/>
  <c r="N106" i="22"/>
  <c r="N107" i="22" s="1"/>
  <c r="N111" i="22" s="1"/>
  <c r="M24" i="5" s="1"/>
  <c r="M8" i="10" s="1"/>
  <c r="C4" i="2"/>
  <c r="B7" i="19" s="1"/>
  <c r="D21" i="11" l="1"/>
  <c r="D31" i="11"/>
  <c r="D16" i="11" l="1"/>
  <c r="E16" i="11" l="1"/>
  <c r="F16" i="11" s="1"/>
  <c r="G16" i="11" s="1"/>
  <c r="H16" i="11" s="1"/>
  <c r="I16" i="11" s="1"/>
  <c r="J16" i="11" s="1"/>
  <c r="K16" i="11" s="1"/>
  <c r="L16" i="11" s="1"/>
  <c r="M16" i="11" s="1"/>
  <c r="E23" i="17" l="1"/>
  <c r="B24" i="17"/>
  <c r="C24" i="16"/>
  <c r="C23" i="16"/>
  <c r="C22" i="16"/>
  <c r="E21" i="11"/>
  <c r="F21" i="11" s="1"/>
  <c r="G21" i="11" s="1"/>
  <c r="H21" i="11" s="1"/>
  <c r="I21" i="11" s="1"/>
  <c r="J21" i="11" s="1"/>
  <c r="K21" i="11" s="1"/>
  <c r="L21" i="11" s="1"/>
  <c r="M21" i="11" s="1"/>
  <c r="D25" i="11" l="1"/>
  <c r="E31" i="11"/>
  <c r="E25" i="11" l="1"/>
  <c r="F31" i="11"/>
  <c r="B16" i="17"/>
  <c r="C50" i="3"/>
  <c r="E15" i="4"/>
  <c r="C44" i="3"/>
  <c r="C29" i="3"/>
  <c r="F57" i="1"/>
  <c r="F59" i="1" s="1"/>
  <c r="F154" i="1"/>
  <c r="F25" i="11" l="1"/>
  <c r="G31" i="11"/>
  <c r="B7" i="12"/>
  <c r="G25" i="11" l="1"/>
  <c r="H31" i="11"/>
  <c r="I31" i="11" s="1"/>
  <c r="J31" i="11" s="1"/>
  <c r="K31" i="11" s="1"/>
  <c r="L31" i="11" s="1"/>
  <c r="M31" i="11" s="1"/>
  <c r="C7" i="12"/>
  <c r="C4" i="16"/>
  <c r="C20" i="16"/>
  <c r="H25" i="11" l="1"/>
  <c r="I25" i="11" s="1"/>
  <c r="J25" i="11" s="1"/>
  <c r="K25" i="11" s="1"/>
  <c r="L25" i="11" s="1"/>
  <c r="M25" i="11" s="1"/>
  <c r="D7" i="12"/>
  <c r="C13" i="18"/>
  <c r="B13" i="18"/>
  <c r="E11" i="18"/>
  <c r="E10" i="18"/>
  <c r="E9" i="18"/>
  <c r="E8" i="18"/>
  <c r="E7" i="18"/>
  <c r="E6" i="18"/>
  <c r="D6" i="18"/>
  <c r="E5" i="18"/>
  <c r="E4" i="18"/>
  <c r="D4" i="18"/>
  <c r="E3" i="18"/>
  <c r="E2" i="18"/>
  <c r="C25" i="13"/>
  <c r="C26" i="13" s="1"/>
  <c r="C27" i="13" s="1"/>
  <c r="C28" i="13" s="1"/>
  <c r="C29" i="13" s="1"/>
  <c r="C30" i="13" s="1"/>
  <c r="E24" i="13"/>
  <c r="E13" i="18" l="1"/>
  <c r="E7" i="12"/>
  <c r="C6" i="13"/>
  <c r="E6" i="13" s="1"/>
  <c r="E5" i="13"/>
  <c r="F7" i="12" l="1"/>
  <c r="C15" i="16"/>
  <c r="C14" i="16"/>
  <c r="G7" i="12" l="1"/>
  <c r="C7" i="16"/>
  <c r="C17" i="16" s="1"/>
  <c r="C6" i="16"/>
  <c r="C16" i="16" s="1"/>
  <c r="C5" i="16"/>
  <c r="C21" i="15"/>
  <c r="C20" i="15"/>
  <c r="C19" i="15"/>
  <c r="C18" i="15"/>
  <c r="C17" i="15"/>
  <c r="C16" i="15"/>
  <c r="H7" i="12" l="1"/>
  <c r="E22" i="17"/>
  <c r="E21" i="17"/>
  <c r="E20" i="17"/>
  <c r="E19" i="17"/>
  <c r="E15" i="17"/>
  <c r="E14" i="17"/>
  <c r="E13" i="17"/>
  <c r="E12" i="17"/>
  <c r="E11" i="17"/>
  <c r="B8" i="17"/>
  <c r="B17" i="17" s="1"/>
  <c r="E7" i="17"/>
  <c r="E6" i="17"/>
  <c r="E5" i="17"/>
  <c r="E24" i="17" l="1"/>
  <c r="C33" i="4" s="1"/>
  <c r="E16" i="17"/>
  <c r="E8" i="17"/>
  <c r="E17" i="17" l="1"/>
  <c r="C32" i="4" l="1"/>
  <c r="F32" i="4" s="1"/>
  <c r="F34" i="4"/>
  <c r="F33" i="4"/>
  <c r="F29" i="4"/>
  <c r="F28" i="4"/>
  <c r="F27" i="4"/>
  <c r="F20" i="4"/>
  <c r="F21" i="4" s="1"/>
  <c r="C13" i="5" s="1"/>
  <c r="F15" i="4"/>
  <c r="C12" i="5" l="1"/>
  <c r="C9" i="11" s="1"/>
  <c r="C22" i="11" s="1"/>
  <c r="D13" i="5"/>
  <c r="E13" i="5"/>
  <c r="F13" i="5"/>
  <c r="G13" i="5"/>
  <c r="H13" i="5"/>
  <c r="I13" i="5"/>
  <c r="J13" i="5"/>
  <c r="K13" i="5"/>
  <c r="L13" i="5"/>
  <c r="M13" i="5"/>
  <c r="D12" i="5"/>
  <c r="E12" i="5"/>
  <c r="F12" i="5"/>
  <c r="G12" i="5"/>
  <c r="H12" i="5"/>
  <c r="I12" i="5"/>
  <c r="J12" i="5"/>
  <c r="K12" i="5"/>
  <c r="L12" i="5"/>
  <c r="M12" i="5"/>
  <c r="C15" i="15"/>
  <c r="C53" i="3"/>
  <c r="C52" i="3"/>
  <c r="E5" i="4"/>
  <c r="C48" i="3"/>
  <c r="C47" i="3"/>
  <c r="E4" i="4" l="1"/>
  <c r="F4" i="4" s="1"/>
  <c r="C7" i="5" s="1"/>
  <c r="E16" i="4"/>
  <c r="F16" i="4" s="1"/>
  <c r="F18" i="4" s="1"/>
  <c r="C13" i="15"/>
  <c r="E12" i="4"/>
  <c r="F12" i="4" s="1"/>
  <c r="C13" i="16"/>
  <c r="C12" i="16" s="1"/>
  <c r="C14" i="15"/>
  <c r="C11" i="16"/>
  <c r="C12" i="15"/>
  <c r="E6" i="4"/>
  <c r="F5" i="4" s="1"/>
  <c r="C55" i="3"/>
  <c r="C25" i="3"/>
  <c r="C49" i="16" l="1"/>
  <c r="J7" i="5"/>
  <c r="M7" i="5"/>
  <c r="E7" i="5"/>
  <c r="L7" i="5"/>
  <c r="H7" i="5"/>
  <c r="D7" i="5"/>
  <c r="F7" i="5"/>
  <c r="I7" i="5"/>
  <c r="K7" i="5"/>
  <c r="G7" i="5"/>
  <c r="M18" i="5"/>
  <c r="E18" i="5"/>
  <c r="D18" i="5"/>
  <c r="C18" i="5"/>
  <c r="F18" i="5"/>
  <c r="G18" i="5"/>
  <c r="H18" i="5"/>
  <c r="I18" i="5"/>
  <c r="J18" i="5"/>
  <c r="K18" i="5"/>
  <c r="L18" i="5"/>
  <c r="C8" i="16"/>
  <c r="C18" i="16" s="1"/>
  <c r="F171" i="1"/>
  <c r="F170" i="1"/>
  <c r="F169" i="1"/>
  <c r="F168" i="1"/>
  <c r="F167" i="1"/>
  <c r="F166" i="1"/>
  <c r="F165" i="1"/>
  <c r="F172" i="1" l="1"/>
  <c r="F156" i="1"/>
  <c r="F155" i="1"/>
  <c r="F151" i="1"/>
  <c r="F158" i="1" l="1"/>
  <c r="F150" i="1"/>
  <c r="F128" i="1"/>
  <c r="F129" i="1" s="1"/>
  <c r="F53" i="1"/>
  <c r="F52" i="1"/>
  <c r="F152" i="1" l="1"/>
  <c r="F54" i="1"/>
  <c r="F160" i="1" s="1"/>
  <c r="F161" i="1" l="1"/>
  <c r="F162" i="1" s="1"/>
  <c r="F45" i="1"/>
  <c r="F44" i="1"/>
  <c r="F43" i="1"/>
  <c r="F46" i="1" l="1"/>
  <c r="F40" i="1" l="1"/>
  <c r="F39" i="1"/>
  <c r="F38" i="1"/>
  <c r="F37" i="1"/>
  <c r="F36" i="1"/>
  <c r="F35" i="1"/>
  <c r="F34" i="1"/>
  <c r="F33" i="1"/>
  <c r="F30" i="1"/>
  <c r="F25" i="1"/>
  <c r="F28" i="1"/>
  <c r="F27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E30" i="4" l="1"/>
  <c r="F30" i="4" s="1"/>
  <c r="C6" i="2"/>
  <c r="F31" i="1"/>
  <c r="C31" i="16"/>
  <c r="F41" i="1"/>
  <c r="C33" i="16" l="1"/>
  <c r="B5" i="19"/>
  <c r="E48" i="1"/>
  <c r="F48" i="1" s="1"/>
  <c r="C7" i="2"/>
  <c r="C34" i="16" s="1"/>
  <c r="E29" i="13"/>
  <c r="E28" i="13"/>
  <c r="E30" i="13"/>
  <c r="E27" i="13"/>
  <c r="E25" i="13"/>
  <c r="E26" i="13"/>
  <c r="C7" i="13"/>
  <c r="F49" i="1" l="1"/>
  <c r="C5" i="2" s="1"/>
  <c r="B6" i="19"/>
  <c r="C8" i="13"/>
  <c r="E7" i="13"/>
  <c r="F17" i="13" l="1"/>
  <c r="F173" i="1"/>
  <c r="C32" i="16"/>
  <c r="B4" i="19"/>
  <c r="B8" i="19" s="1"/>
  <c r="C9" i="13"/>
  <c r="E8" i="13"/>
  <c r="C10" i="13" l="1"/>
  <c r="E9" i="13"/>
  <c r="C11" i="13" l="1"/>
  <c r="E10" i="13"/>
  <c r="C12" i="13" l="1"/>
  <c r="E11" i="13"/>
  <c r="E12" i="13" l="1"/>
  <c r="C13" i="13"/>
  <c r="C14" i="13" l="1"/>
  <c r="E14" i="13" s="1"/>
  <c r="E13" i="13"/>
  <c r="E11" i="4" l="1"/>
  <c r="F11" i="4" s="1"/>
  <c r="F13" i="4" s="1"/>
  <c r="C11" i="5" s="1"/>
  <c r="F6" i="4"/>
  <c r="C8" i="5" s="1"/>
  <c r="C42" i="16"/>
  <c r="C46" i="16" s="1"/>
  <c r="C50" i="16"/>
  <c r="D8" i="5" l="1"/>
  <c r="E8" i="5"/>
  <c r="F8" i="5"/>
  <c r="G8" i="5"/>
  <c r="H8" i="5"/>
  <c r="I8" i="5"/>
  <c r="J8" i="5"/>
  <c r="K8" i="5"/>
  <c r="L8" i="5"/>
  <c r="M8" i="5"/>
  <c r="M9" i="5" s="1"/>
  <c r="M42" i="5" s="1"/>
  <c r="D11" i="5"/>
  <c r="E11" i="5"/>
  <c r="F11" i="5"/>
  <c r="G11" i="5"/>
  <c r="H11" i="5"/>
  <c r="I11" i="5"/>
  <c r="J11" i="5"/>
  <c r="K11" i="5"/>
  <c r="L11" i="5"/>
  <c r="M11" i="5"/>
  <c r="F22" i="4"/>
  <c r="F7" i="4"/>
  <c r="D9" i="11"/>
  <c r="D22" i="11" s="1"/>
  <c r="C51" i="16"/>
  <c r="M7" i="11" l="1"/>
  <c r="M30" i="11" s="1"/>
  <c r="M33" i="10"/>
  <c r="M15" i="10"/>
  <c r="C9" i="5"/>
  <c r="C42" i="5" s="1"/>
  <c r="D9" i="5"/>
  <c r="D42" i="5" s="1"/>
  <c r="C8" i="11"/>
  <c r="C52" i="16"/>
  <c r="E9" i="11"/>
  <c r="E22" i="11" s="1"/>
  <c r="C53" i="16"/>
  <c r="D48" i="5" l="1"/>
  <c r="M23" i="6"/>
  <c r="E9" i="5"/>
  <c r="E42" i="5" s="1"/>
  <c r="E48" i="5" s="1"/>
  <c r="C14" i="11"/>
  <c r="C17" i="11"/>
  <c r="C15" i="11" s="1"/>
  <c r="F9" i="11"/>
  <c r="F22" i="11" s="1"/>
  <c r="D8" i="11"/>
  <c r="C14" i="5"/>
  <c r="B11" i="7" l="1"/>
  <c r="B9" i="6"/>
  <c r="C20" i="11"/>
  <c r="C27" i="11" s="1"/>
  <c r="C9" i="6" s="1"/>
  <c r="F9" i="5"/>
  <c r="F42" i="5" s="1"/>
  <c r="F48" i="5" s="1"/>
  <c r="C13" i="11"/>
  <c r="B18" i="7"/>
  <c r="B24" i="6"/>
  <c r="B23" i="6"/>
  <c r="B17" i="7" s="1"/>
  <c r="C32" i="11"/>
  <c r="D13" i="11"/>
  <c r="C33" i="10"/>
  <c r="C7" i="11"/>
  <c r="C30" i="11" s="1"/>
  <c r="D17" i="11"/>
  <c r="D15" i="11" s="1"/>
  <c r="D14" i="11"/>
  <c r="D20" i="11" s="1"/>
  <c r="G9" i="11"/>
  <c r="G22" i="11" s="1"/>
  <c r="D7" i="11"/>
  <c r="D30" i="11" s="1"/>
  <c r="C15" i="10"/>
  <c r="E8" i="11"/>
  <c r="D14" i="5"/>
  <c r="C34" i="10"/>
  <c r="C11" i="7" l="1"/>
  <c r="C23" i="6"/>
  <c r="C35" i="10"/>
  <c r="D23" i="6"/>
  <c r="C24" i="6"/>
  <c r="C18" i="7"/>
  <c r="E14" i="11"/>
  <c r="E17" i="11"/>
  <c r="E15" i="11" s="1"/>
  <c r="D27" i="11"/>
  <c r="E13" i="11"/>
  <c r="D32" i="11"/>
  <c r="C34" i="11"/>
  <c r="C36" i="11" s="1"/>
  <c r="C40" i="11" s="1"/>
  <c r="D9" i="21" s="1"/>
  <c r="D11" i="21" s="1"/>
  <c r="E7" i="11"/>
  <c r="E30" i="11" s="1"/>
  <c r="D15" i="10"/>
  <c r="D33" i="10"/>
  <c r="F8" i="11"/>
  <c r="E14" i="5"/>
  <c r="D34" i="10"/>
  <c r="D32" i="21" l="1"/>
  <c r="C17" i="7"/>
  <c r="I9" i="11"/>
  <c r="I22" i="11" s="1"/>
  <c r="H9" i="11"/>
  <c r="H22" i="11" s="1"/>
  <c r="H9" i="5"/>
  <c r="H42" i="5" s="1"/>
  <c r="H48" i="5" s="1"/>
  <c r="E20" i="11"/>
  <c r="E27" i="11" s="1"/>
  <c r="E9" i="6" s="1"/>
  <c r="G9" i="5"/>
  <c r="G42" i="5" s="1"/>
  <c r="G48" i="5" s="1"/>
  <c r="D17" i="7"/>
  <c r="C37" i="11"/>
  <c r="C47" i="10"/>
  <c r="D9" i="6"/>
  <c r="E23" i="6"/>
  <c r="D34" i="11"/>
  <c r="D36" i="11" s="1"/>
  <c r="D40" i="11" s="1"/>
  <c r="E9" i="21" s="1"/>
  <c r="E11" i="21" s="1"/>
  <c r="E32" i="21" s="1"/>
  <c r="E40" i="21" s="1"/>
  <c r="D24" i="6"/>
  <c r="D18" i="7"/>
  <c r="F17" i="11"/>
  <c r="F15" i="11" s="1"/>
  <c r="F14" i="11"/>
  <c r="F13" i="11"/>
  <c r="E32" i="11"/>
  <c r="D35" i="10"/>
  <c r="E15" i="10"/>
  <c r="F7" i="11"/>
  <c r="F30" i="11" s="1"/>
  <c r="E33" i="10"/>
  <c r="G8" i="11"/>
  <c r="F14" i="5"/>
  <c r="E34" i="10"/>
  <c r="D40" i="21" l="1"/>
  <c r="E17" i="7"/>
  <c r="J9" i="11"/>
  <c r="J22" i="11" s="1"/>
  <c r="I9" i="5"/>
  <c r="F20" i="11"/>
  <c r="F27" i="11" s="1"/>
  <c r="F9" i="6" s="1"/>
  <c r="E11" i="7"/>
  <c r="D11" i="7"/>
  <c r="D37" i="11"/>
  <c r="D38" i="11" s="1"/>
  <c r="C38" i="11"/>
  <c r="D47" i="10"/>
  <c r="F23" i="6"/>
  <c r="E34" i="11"/>
  <c r="E36" i="11" s="1"/>
  <c r="E24" i="6"/>
  <c r="E18" i="7"/>
  <c r="G17" i="11"/>
  <c r="G15" i="11" s="1"/>
  <c r="G14" i="11"/>
  <c r="G20" i="11" s="1"/>
  <c r="G13" i="11"/>
  <c r="F32" i="11"/>
  <c r="G7" i="11"/>
  <c r="G30" i="11" s="1"/>
  <c r="F33" i="10"/>
  <c r="F15" i="10"/>
  <c r="E35" i="10"/>
  <c r="G14" i="5"/>
  <c r="F34" i="10"/>
  <c r="E37" i="11" l="1"/>
  <c r="E40" i="11"/>
  <c r="F9" i="21" s="1"/>
  <c r="F11" i="21" s="1"/>
  <c r="I15" i="10"/>
  <c r="I42" i="5"/>
  <c r="I48" i="5" s="1"/>
  <c r="F17" i="7"/>
  <c r="K9" i="11"/>
  <c r="K22" i="11" s="1"/>
  <c r="L9" i="11"/>
  <c r="L22" i="11" s="1"/>
  <c r="I7" i="11"/>
  <c r="I30" i="11" s="1"/>
  <c r="I23" i="6" s="1"/>
  <c r="I33" i="10"/>
  <c r="J9" i="5"/>
  <c r="J42" i="5" s="1"/>
  <c r="J48" i="5" s="1"/>
  <c r="H8" i="11"/>
  <c r="H14" i="11" s="1"/>
  <c r="H20" i="11" s="1"/>
  <c r="F11" i="7"/>
  <c r="E47" i="10"/>
  <c r="G23" i="6"/>
  <c r="F34" i="11"/>
  <c r="F36" i="11" s="1"/>
  <c r="F24" i="6"/>
  <c r="F18" i="7"/>
  <c r="G27" i="11"/>
  <c r="G32" i="11"/>
  <c r="H13" i="11"/>
  <c r="F35" i="10"/>
  <c r="G33" i="10"/>
  <c r="H7" i="11"/>
  <c r="H30" i="11" s="1"/>
  <c r="G15" i="10"/>
  <c r="H14" i="5"/>
  <c r="G34" i="10"/>
  <c r="F32" i="21" l="1"/>
  <c r="F37" i="11"/>
  <c r="F40" i="11"/>
  <c r="G9" i="21" s="1"/>
  <c r="G11" i="21" s="1"/>
  <c r="G32" i="21" s="1"/>
  <c r="G40" i="21" s="1"/>
  <c r="G17" i="7"/>
  <c r="M9" i="11"/>
  <c r="M22" i="11" s="1"/>
  <c r="J7" i="11"/>
  <c r="J30" i="11" s="1"/>
  <c r="J23" i="6" s="1"/>
  <c r="J33" i="10"/>
  <c r="J15" i="10"/>
  <c r="L9" i="5"/>
  <c r="L42" i="5" s="1"/>
  <c r="K9" i="5"/>
  <c r="K42" i="5" s="1"/>
  <c r="K48" i="5" s="1"/>
  <c r="J14" i="5"/>
  <c r="J34" i="10" s="1"/>
  <c r="J8" i="11"/>
  <c r="H17" i="11"/>
  <c r="H15" i="11" s="1"/>
  <c r="I13" i="11" s="1"/>
  <c r="I14" i="5"/>
  <c r="I34" i="10" s="1"/>
  <c r="I35" i="10" s="1"/>
  <c r="I8" i="11"/>
  <c r="F47" i="10"/>
  <c r="G9" i="6"/>
  <c r="H23" i="6"/>
  <c r="H27" i="11"/>
  <c r="G34" i="11"/>
  <c r="G36" i="11" s="1"/>
  <c r="G18" i="7"/>
  <c r="G24" i="6"/>
  <c r="H15" i="10"/>
  <c r="H33" i="10"/>
  <c r="G35" i="10"/>
  <c r="H34" i="10"/>
  <c r="G37" i="11" l="1"/>
  <c r="G40" i="11"/>
  <c r="H9" i="21" s="1"/>
  <c r="H11" i="21" s="1"/>
  <c r="F40" i="21"/>
  <c r="L48" i="5"/>
  <c r="M48" i="5"/>
  <c r="J35" i="10"/>
  <c r="J47" i="10" s="1"/>
  <c r="L7" i="11"/>
  <c r="L30" i="11" s="1"/>
  <c r="L23" i="6" s="1"/>
  <c r="L15" i="10"/>
  <c r="L33" i="10"/>
  <c r="K7" i="11"/>
  <c r="K30" i="11" s="1"/>
  <c r="K23" i="6" s="1"/>
  <c r="K33" i="10"/>
  <c r="K15" i="10"/>
  <c r="J17" i="7"/>
  <c r="H32" i="11"/>
  <c r="H24" i="6" s="1"/>
  <c r="K14" i="5"/>
  <c r="K34" i="10" s="1"/>
  <c r="K8" i="11"/>
  <c r="J14" i="11"/>
  <c r="J20" i="11" s="1"/>
  <c r="J27" i="11" s="1"/>
  <c r="J9" i="6" s="1"/>
  <c r="J17" i="11"/>
  <c r="J15" i="11" s="1"/>
  <c r="I47" i="10"/>
  <c r="I17" i="11"/>
  <c r="I15" i="11" s="1"/>
  <c r="I14" i="11"/>
  <c r="I20" i="11" s="1"/>
  <c r="I27" i="11" s="1"/>
  <c r="I9" i="6" s="1"/>
  <c r="H17" i="7"/>
  <c r="I17" i="7"/>
  <c r="G11" i="7"/>
  <c r="C8" i="10"/>
  <c r="G47" i="10"/>
  <c r="H9" i="6"/>
  <c r="H35" i="10"/>
  <c r="H32" i="21" l="1"/>
  <c r="C13" i="21"/>
  <c r="D13" i="21" s="1"/>
  <c r="M17" i="7"/>
  <c r="H34" i="11"/>
  <c r="H36" i="11" s="1"/>
  <c r="M14" i="5"/>
  <c r="M34" i="10" s="1"/>
  <c r="M35" i="10" s="1"/>
  <c r="M47" i="10" s="1"/>
  <c r="M8" i="11"/>
  <c r="H18" i="7"/>
  <c r="K35" i="10"/>
  <c r="K47" i="10" s="1"/>
  <c r="K17" i="7"/>
  <c r="L17" i="7"/>
  <c r="J11" i="7"/>
  <c r="I32" i="11"/>
  <c r="I34" i="11" s="1"/>
  <c r="I36" i="11" s="1"/>
  <c r="J13" i="11"/>
  <c r="L14" i="5"/>
  <c r="L34" i="10" s="1"/>
  <c r="L35" i="10" s="1"/>
  <c r="L47" i="10" s="1"/>
  <c r="L8" i="11"/>
  <c r="K14" i="11"/>
  <c r="K20" i="11" s="1"/>
  <c r="K27" i="11" s="1"/>
  <c r="K9" i="6" s="1"/>
  <c r="K17" i="11"/>
  <c r="K15" i="11" s="1"/>
  <c r="J32" i="11"/>
  <c r="K13" i="11"/>
  <c r="I11" i="7"/>
  <c r="H11" i="7"/>
  <c r="D8" i="10"/>
  <c r="H47" i="10"/>
  <c r="I37" i="11" l="1"/>
  <c r="I40" i="11"/>
  <c r="J9" i="21" s="1"/>
  <c r="J11" i="21" s="1"/>
  <c r="J32" i="21" s="1"/>
  <c r="J40" i="21" s="1"/>
  <c r="H37" i="11"/>
  <c r="H40" i="11"/>
  <c r="I9" i="21" s="1"/>
  <c r="I11" i="21" s="1"/>
  <c r="H40" i="21"/>
  <c r="M14" i="11"/>
  <c r="M20" i="11" s="1"/>
  <c r="M27" i="11" s="1"/>
  <c r="M9" i="6" s="1"/>
  <c r="M20" i="10" s="1"/>
  <c r="M17" i="11"/>
  <c r="M15" i="11" s="1"/>
  <c r="M32" i="11" s="1"/>
  <c r="K11" i="7"/>
  <c r="I18" i="7"/>
  <c r="I24" i="6"/>
  <c r="J18" i="7"/>
  <c r="J34" i="11"/>
  <c r="J36" i="11" s="1"/>
  <c r="J24" i="6"/>
  <c r="K32" i="11"/>
  <c r="L13" i="11"/>
  <c r="L14" i="11"/>
  <c r="L20" i="11" s="1"/>
  <c r="L27" i="11" s="1"/>
  <c r="L9" i="6" s="1"/>
  <c r="L17" i="11"/>
  <c r="L15" i="11" s="1"/>
  <c r="E8" i="10"/>
  <c r="J37" i="11" l="1"/>
  <c r="J40" i="11"/>
  <c r="K9" i="21" s="1"/>
  <c r="K11" i="21" s="1"/>
  <c r="K32" i="21" s="1"/>
  <c r="K40" i="21" s="1"/>
  <c r="I32" i="21"/>
  <c r="E13" i="21"/>
  <c r="D14" i="21" s="1"/>
  <c r="E14" i="21" s="1"/>
  <c r="L32" i="11"/>
  <c r="L18" i="7" s="1"/>
  <c r="M13" i="11"/>
  <c r="M24" i="6"/>
  <c r="M34" i="11"/>
  <c r="M36" i="11" s="1"/>
  <c r="M11" i="7"/>
  <c r="L11" i="7"/>
  <c r="K34" i="11"/>
  <c r="K36" i="11" s="1"/>
  <c r="K24" i="6"/>
  <c r="K18" i="7"/>
  <c r="F8" i="10"/>
  <c r="I40" i="21" l="1"/>
  <c r="K37" i="11"/>
  <c r="K40" i="11"/>
  <c r="L9" i="21" s="1"/>
  <c r="L11" i="21" s="1"/>
  <c r="L32" i="21" s="1"/>
  <c r="L40" i="21" s="1"/>
  <c r="M37" i="11"/>
  <c r="M40" i="11"/>
  <c r="N9" i="21" s="1"/>
  <c r="N11" i="21" s="1"/>
  <c r="L34" i="11"/>
  <c r="L36" i="11" s="1"/>
  <c r="L24" i="6"/>
  <c r="M18" i="7"/>
  <c r="G8" i="10"/>
  <c r="N32" i="21" l="1"/>
  <c r="N40" i="21" s="1"/>
  <c r="L37" i="11"/>
  <c r="L40" i="11"/>
  <c r="M9" i="21" s="1"/>
  <c r="M11" i="21" s="1"/>
  <c r="M32" i="21" s="1"/>
  <c r="H8" i="10"/>
  <c r="M40" i="21" l="1"/>
  <c r="D34" i="21"/>
  <c r="D39" i="21" s="1"/>
  <c r="D42" i="21"/>
  <c r="F36" i="13"/>
  <c r="F40" i="4" l="1"/>
  <c r="C40" i="4" l="1"/>
  <c r="F41" i="4"/>
  <c r="I6" i="12" l="1"/>
  <c r="I12" i="12" l="1"/>
  <c r="J6" i="12" l="1"/>
  <c r="J12" i="12" s="1"/>
  <c r="J13" i="12" s="1"/>
  <c r="I13" i="12"/>
  <c r="K6" i="12" l="1"/>
  <c r="K12" i="12" l="1"/>
  <c r="K13" i="12" l="1"/>
  <c r="C37" i="16"/>
  <c r="F176" i="1" l="1"/>
  <c r="F179" i="1" s="1"/>
  <c r="C19" i="5" s="1"/>
  <c r="D19" i="5" l="1"/>
  <c r="E19" i="5" s="1"/>
  <c r="F19" i="5" s="1"/>
  <c r="G19" i="5" s="1"/>
  <c r="C8" i="2"/>
  <c r="B19" i="7" s="1"/>
  <c r="B26" i="6" s="1"/>
  <c r="C36" i="4"/>
  <c r="F36" i="4" s="1"/>
  <c r="J10" i="7" l="1"/>
  <c r="C35" i="16"/>
  <c r="B10" i="7"/>
  <c r="K10" i="7" l="1"/>
  <c r="C10" i="7"/>
  <c r="L10" i="7" l="1"/>
  <c r="C26" i="6"/>
  <c r="D10" i="7"/>
  <c r="M10" i="7" l="1"/>
  <c r="D26" i="6"/>
  <c r="E10" i="7"/>
  <c r="E26" i="6" l="1"/>
  <c r="F10" i="7"/>
  <c r="F26" i="6" l="1"/>
  <c r="G10" i="7"/>
  <c r="H10" i="7" l="1"/>
  <c r="I10" i="7"/>
  <c r="G26" i="6"/>
  <c r="H26" i="6" l="1"/>
  <c r="I26" i="6" s="1"/>
  <c r="J26" i="6" s="1"/>
  <c r="K26" i="6" s="1"/>
  <c r="L26" i="6" s="1"/>
  <c r="M26" i="6" s="1"/>
  <c r="C21" i="2"/>
  <c r="B5" i="12" s="1"/>
  <c r="C40" i="16"/>
  <c r="E31" i="4"/>
  <c r="F31" i="4" s="1"/>
  <c r="F35" i="4" s="1"/>
  <c r="C16" i="5" s="1"/>
  <c r="J16" i="5" l="1"/>
  <c r="F16" i="5"/>
  <c r="L16" i="5"/>
  <c r="L20" i="5" s="1"/>
  <c r="D16" i="5"/>
  <c r="K16" i="5"/>
  <c r="K20" i="5" s="1"/>
  <c r="M16" i="5"/>
  <c r="M20" i="5" s="1"/>
  <c r="I16" i="5"/>
  <c r="E16" i="5"/>
  <c r="H16" i="5"/>
  <c r="G16" i="5"/>
  <c r="C17" i="2"/>
  <c r="C54" i="16"/>
  <c r="C55" i="16" s="1"/>
  <c r="F37" i="4"/>
  <c r="F38" i="4" s="1"/>
  <c r="F42" i="4" s="1"/>
  <c r="B11" i="12"/>
  <c r="M10" i="11" l="1"/>
  <c r="M24" i="11" s="1"/>
  <c r="C5" i="6"/>
  <c r="C18" i="22"/>
  <c r="C25" i="22" s="1"/>
  <c r="C10" i="11"/>
  <c r="C24" i="11" s="1"/>
  <c r="C20" i="5"/>
  <c r="D5" i="6" l="1"/>
  <c r="D6" i="7" s="1"/>
  <c r="C6" i="7"/>
  <c r="C10" i="10"/>
  <c r="M21" i="5"/>
  <c r="M22" i="5" s="1"/>
  <c r="M43" i="5" s="1"/>
  <c r="M36" i="10"/>
  <c r="M48" i="10" s="1"/>
  <c r="M49" i="10" s="1"/>
  <c r="C23" i="22"/>
  <c r="C41" i="16"/>
  <c r="C43" i="16" s="1"/>
  <c r="C24" i="2"/>
  <c r="C5" i="12"/>
  <c r="D10" i="11"/>
  <c r="D24" i="11" s="1"/>
  <c r="D20" i="5"/>
  <c r="D10" i="10"/>
  <c r="E5" i="6"/>
  <c r="C36" i="10"/>
  <c r="C21" i="5"/>
  <c r="C22" i="5" s="1"/>
  <c r="C43" i="5" s="1"/>
  <c r="C49" i="5" l="1"/>
  <c r="M49" i="5"/>
  <c r="M3" i="10"/>
  <c r="M36" i="5"/>
  <c r="C36" i="5"/>
  <c r="C3" i="10"/>
  <c r="E10" i="10"/>
  <c r="F5" i="6"/>
  <c r="E6" i="7"/>
  <c r="C48" i="10"/>
  <c r="C49" i="10" s="1"/>
  <c r="D36" i="10"/>
  <c r="D21" i="5"/>
  <c r="D22" i="5" s="1"/>
  <c r="D43" i="5" s="1"/>
  <c r="E20" i="5"/>
  <c r="E10" i="11"/>
  <c r="E24" i="11" s="1"/>
  <c r="D49" i="5" l="1"/>
  <c r="G5" i="6"/>
  <c r="F6" i="7"/>
  <c r="F10" i="10"/>
  <c r="F10" i="11"/>
  <c r="F24" i="11" s="1"/>
  <c r="F20" i="5"/>
  <c r="D3" i="10"/>
  <c r="D36" i="5"/>
  <c r="E36" i="10"/>
  <c r="E21" i="5"/>
  <c r="E22" i="5" s="1"/>
  <c r="E43" i="5" s="1"/>
  <c r="D48" i="10"/>
  <c r="D49" i="10" s="1"/>
  <c r="E49" i="5" l="1"/>
  <c r="G20" i="5"/>
  <c r="G10" i="11"/>
  <c r="G24" i="11" s="1"/>
  <c r="E3" i="10"/>
  <c r="E36" i="5"/>
  <c r="E48" i="10"/>
  <c r="E49" i="10" s="1"/>
  <c r="F21" i="5"/>
  <c r="F22" i="5" s="1"/>
  <c r="F43" i="5" s="1"/>
  <c r="F36" i="10"/>
  <c r="H5" i="6"/>
  <c r="G10" i="10"/>
  <c r="G6" i="7"/>
  <c r="F49" i="5" l="1"/>
  <c r="I5" i="6"/>
  <c r="I6" i="7" s="1"/>
  <c r="J10" i="11"/>
  <c r="J24" i="11" s="1"/>
  <c r="J20" i="5"/>
  <c r="I10" i="11"/>
  <c r="I24" i="11" s="1"/>
  <c r="I20" i="5"/>
  <c r="H10" i="11"/>
  <c r="H24" i="11" s="1"/>
  <c r="H20" i="5"/>
  <c r="F36" i="5"/>
  <c r="F3" i="10"/>
  <c r="G36" i="10"/>
  <c r="G21" i="5"/>
  <c r="G22" i="5" s="1"/>
  <c r="G43" i="5" s="1"/>
  <c r="H10" i="10"/>
  <c r="H6" i="7"/>
  <c r="F48" i="10"/>
  <c r="F49" i="10" s="1"/>
  <c r="G49" i="5" l="1"/>
  <c r="I10" i="10"/>
  <c r="J5" i="6"/>
  <c r="J21" i="5"/>
  <c r="J22" i="5" s="1"/>
  <c r="J36" i="10"/>
  <c r="K10" i="11"/>
  <c r="K24" i="11" s="1"/>
  <c r="I21" i="5"/>
  <c r="I22" i="5" s="1"/>
  <c r="I43" i="5" s="1"/>
  <c r="I36" i="10"/>
  <c r="I48" i="10" s="1"/>
  <c r="I49" i="10" s="1"/>
  <c r="D26" i="22"/>
  <c r="D27" i="22" s="1"/>
  <c r="D28" i="22" s="1"/>
  <c r="D29" i="22" s="1"/>
  <c r="D30" i="22" s="1"/>
  <c r="D31" i="22" s="1"/>
  <c r="D32" i="22" s="1"/>
  <c r="D33" i="22" s="1"/>
  <c r="H21" i="5"/>
  <c r="H22" i="5" s="1"/>
  <c r="H43" i="5" s="1"/>
  <c r="H36" i="10"/>
  <c r="G3" i="10"/>
  <c r="G36" i="5"/>
  <c r="G48" i="10"/>
  <c r="G49" i="10" s="1"/>
  <c r="I49" i="5" l="1"/>
  <c r="H49" i="5"/>
  <c r="J3" i="10"/>
  <c r="J43" i="5"/>
  <c r="J10" i="10"/>
  <c r="J6" i="7"/>
  <c r="K5" i="6"/>
  <c r="J48" i="10"/>
  <c r="J49" i="10" s="1"/>
  <c r="J36" i="5"/>
  <c r="K21" i="5"/>
  <c r="K22" i="5" s="1"/>
  <c r="K36" i="10"/>
  <c r="L10" i="11"/>
  <c r="L24" i="11" s="1"/>
  <c r="I3" i="10"/>
  <c r="I36" i="5"/>
  <c r="H36" i="5"/>
  <c r="H3" i="10"/>
  <c r="H48" i="10"/>
  <c r="H49" i="10" s="1"/>
  <c r="J49" i="5" l="1"/>
  <c r="K3" i="10"/>
  <c r="K43" i="5"/>
  <c r="K10" i="10"/>
  <c r="L5" i="6"/>
  <c r="K6" i="7"/>
  <c r="K36" i="5"/>
  <c r="L21" i="5"/>
  <c r="L22" i="5" s="1"/>
  <c r="L36" i="10"/>
  <c r="K48" i="10"/>
  <c r="K49" i="10" s="1"/>
  <c r="C10" i="22"/>
  <c r="B16" i="7" s="1"/>
  <c r="E23" i="22"/>
  <c r="F23" i="22" s="1"/>
  <c r="K49" i="5" l="1"/>
  <c r="L3" i="10"/>
  <c r="L43" i="5"/>
  <c r="M5" i="6"/>
  <c r="L6" i="7"/>
  <c r="L10" i="10"/>
  <c r="C26" i="22"/>
  <c r="L36" i="5"/>
  <c r="L48" i="10"/>
  <c r="L49" i="10" s="1"/>
  <c r="L49" i="5" l="1"/>
  <c r="M6" i="7"/>
  <c r="M10" i="10"/>
  <c r="C27" i="22"/>
  <c r="E26" i="22"/>
  <c r="F26" i="22" s="1"/>
  <c r="E27" i="22" l="1"/>
  <c r="F27" i="22" s="1"/>
  <c r="C28" i="22"/>
  <c r="E28" i="22" l="1"/>
  <c r="F28" i="22" s="1"/>
  <c r="C29" i="22"/>
  <c r="E25" i="22"/>
  <c r="F25" i="22" s="1"/>
  <c r="C30" i="22" l="1"/>
  <c r="C31" i="22" s="1"/>
  <c r="E29" i="22"/>
  <c r="F29" i="22" s="1"/>
  <c r="E30" i="22" l="1"/>
  <c r="F30" i="22" l="1"/>
  <c r="E31" i="22"/>
  <c r="C32" i="22" s="1"/>
  <c r="F31" i="22" l="1"/>
  <c r="E32" i="22"/>
  <c r="C33" i="22" s="1"/>
  <c r="D44" i="22" l="1"/>
  <c r="C9" i="22"/>
  <c r="D93" i="22"/>
  <c r="F32" i="22"/>
  <c r="E33" i="22"/>
  <c r="C35" i="22" s="1"/>
  <c r="D78" i="22"/>
  <c r="D58" i="22"/>
  <c r="D68" i="22"/>
  <c r="D69" i="22" s="1"/>
  <c r="D70" i="22" s="1"/>
  <c r="D71" i="22" s="1"/>
  <c r="I10" i="22" s="1"/>
  <c r="G11" i="8" s="1"/>
  <c r="D48" i="22"/>
  <c r="D83" i="22"/>
  <c r="D73" i="22"/>
  <c r="D53" i="22"/>
  <c r="D88" i="22"/>
  <c r="D89" i="22" s="1"/>
  <c r="D90" i="22" s="1"/>
  <c r="D91" i="22" s="1"/>
  <c r="M10" i="22" s="1"/>
  <c r="K11" i="8" s="1"/>
  <c r="D63" i="22"/>
  <c r="D64" i="22" s="1"/>
  <c r="D65" i="22" s="1"/>
  <c r="D66" i="22" s="1"/>
  <c r="B7" i="7" l="1"/>
  <c r="C11" i="22"/>
  <c r="D8" i="22" s="1"/>
  <c r="D45" i="22"/>
  <c r="D46" i="22" s="1"/>
  <c r="E35" i="22"/>
  <c r="C36" i="22" s="1"/>
  <c r="H16" i="7"/>
  <c r="G10" i="6"/>
  <c r="G20" i="10" s="1"/>
  <c r="L16" i="7"/>
  <c r="K10" i="6"/>
  <c r="K20" i="10" s="1"/>
  <c r="D94" i="22"/>
  <c r="F33" i="22"/>
  <c r="D59" i="22"/>
  <c r="D60" i="22" s="1"/>
  <c r="D61" i="22" s="1"/>
  <c r="D84" i="22"/>
  <c r="D85" i="22" s="1"/>
  <c r="D86" i="22" s="1"/>
  <c r="D79" i="22"/>
  <c r="D80" i="22" s="1"/>
  <c r="D81" i="22" s="1"/>
  <c r="D74" i="22"/>
  <c r="D75" i="22" s="1"/>
  <c r="D76" i="22" s="1"/>
  <c r="D54" i="22"/>
  <c r="D55" i="22" s="1"/>
  <c r="D56" i="22" s="1"/>
  <c r="D49" i="22"/>
  <c r="D50" i="22" s="1"/>
  <c r="D51" i="22" s="1"/>
  <c r="D10" i="22" l="1"/>
  <c r="E36" i="22"/>
  <c r="C37" i="22" s="1"/>
  <c r="F35" i="22"/>
  <c r="L32" i="5"/>
  <c r="L20" i="7"/>
  <c r="C12" i="22"/>
  <c r="C13" i="22"/>
  <c r="K10" i="22"/>
  <c r="I11" i="8" s="1"/>
  <c r="F10" i="22"/>
  <c r="D11" i="8" s="1"/>
  <c r="E10" i="22"/>
  <c r="C11" i="8" s="1"/>
  <c r="J10" i="22"/>
  <c r="L10" i="22"/>
  <c r="J11" i="8" s="1"/>
  <c r="G10" i="22"/>
  <c r="H10" i="6" l="1"/>
  <c r="H20" i="10" s="1"/>
  <c r="H11" i="8"/>
  <c r="E10" i="6"/>
  <c r="E20" i="10" s="1"/>
  <c r="E11" i="8"/>
  <c r="B10" i="6"/>
  <c r="B7" i="6" s="1"/>
  <c r="B12" i="10" s="1"/>
  <c r="B13" i="10" s="1"/>
  <c r="B11" i="8"/>
  <c r="D11" i="22"/>
  <c r="E8" i="22" s="1"/>
  <c r="E11" i="22" s="1"/>
  <c r="F8" i="22" s="1"/>
  <c r="F11" i="22" s="1"/>
  <c r="G8" i="22" s="1"/>
  <c r="G11" i="22" s="1"/>
  <c r="H8" i="22" s="1"/>
  <c r="C16" i="7"/>
  <c r="E37" i="22"/>
  <c r="C38" i="22" s="1"/>
  <c r="F36" i="22"/>
  <c r="J16" i="7"/>
  <c r="J32" i="5" s="1"/>
  <c r="I10" i="6"/>
  <c r="I20" i="10" s="1"/>
  <c r="D16" i="7"/>
  <c r="C10" i="6"/>
  <c r="K16" i="7"/>
  <c r="K20" i="7" s="1"/>
  <c r="J10" i="6"/>
  <c r="J20" i="10" s="1"/>
  <c r="E16" i="7"/>
  <c r="D10" i="6"/>
  <c r="D20" i="10" s="1"/>
  <c r="C14" i="22"/>
  <c r="F16" i="7"/>
  <c r="D32" i="5"/>
  <c r="C20" i="7" l="1"/>
  <c r="C32" i="5"/>
  <c r="F37" i="22"/>
  <c r="D13" i="22" s="1"/>
  <c r="K32" i="5"/>
  <c r="E38" i="22"/>
  <c r="C39" i="22" s="1"/>
  <c r="E32" i="5"/>
  <c r="D20" i="7"/>
  <c r="E20" i="7"/>
  <c r="C20" i="10"/>
  <c r="C7" i="6"/>
  <c r="D7" i="6" s="1"/>
  <c r="E7" i="6" s="1"/>
  <c r="J20" i="7"/>
  <c r="F20" i="7"/>
  <c r="F32" i="5"/>
  <c r="F184" i="1" l="1"/>
  <c r="C10" i="2" s="1"/>
  <c r="O13" i="22"/>
  <c r="E39" i="22"/>
  <c r="C40" i="22" s="1"/>
  <c r="F38" i="22"/>
  <c r="C17" i="10"/>
  <c r="C12" i="10"/>
  <c r="C13" i="10" s="1"/>
  <c r="D17" i="10"/>
  <c r="D12" i="10"/>
  <c r="D13" i="10" s="1"/>
  <c r="C11" i="2" l="1"/>
  <c r="C6" i="19" s="1"/>
  <c r="E6" i="19" s="1"/>
  <c r="B30" i="19" s="1"/>
  <c r="B31" i="19" s="1"/>
  <c r="B32" i="19" s="1"/>
  <c r="C30" i="19" s="1"/>
  <c r="C31" i="19" s="1"/>
  <c r="C32" i="19" s="1"/>
  <c r="D30" i="19" s="1"/>
  <c r="D31" i="19" s="1"/>
  <c r="D32" i="19" s="1"/>
  <c r="E30" i="19" s="1"/>
  <c r="E31" i="19" s="1"/>
  <c r="E32" i="19" s="1"/>
  <c r="F30" i="19" s="1"/>
  <c r="F31" i="19" s="1"/>
  <c r="F32" i="19" s="1"/>
  <c r="G30" i="19" s="1"/>
  <c r="G31" i="19" s="1"/>
  <c r="G32" i="19" s="1"/>
  <c r="H30" i="19" s="1"/>
  <c r="H31" i="19" s="1"/>
  <c r="H32" i="19" s="1"/>
  <c r="I30" i="19" s="1"/>
  <c r="I31" i="19" s="1"/>
  <c r="I32" i="19" s="1"/>
  <c r="J30" i="19" s="1"/>
  <c r="J31" i="19" s="1"/>
  <c r="J32" i="19" s="1"/>
  <c r="K30" i="19" s="1"/>
  <c r="K31" i="19" s="1"/>
  <c r="K32" i="19" s="1"/>
  <c r="L30" i="19" s="1"/>
  <c r="L31" i="19" s="1"/>
  <c r="L32" i="19" s="1"/>
  <c r="C7" i="19"/>
  <c r="E7" i="19" s="1"/>
  <c r="F185" i="1"/>
  <c r="F186" i="1" s="1"/>
  <c r="C4" i="19"/>
  <c r="F39" i="22"/>
  <c r="E40" i="22"/>
  <c r="C41" i="22" s="1"/>
  <c r="B18" i="19"/>
  <c r="B17" i="6"/>
  <c r="C17" i="6" s="1"/>
  <c r="D17" i="6" s="1"/>
  <c r="E17" i="6" s="1"/>
  <c r="F17" i="6" s="1"/>
  <c r="G17" i="6" s="1"/>
  <c r="H17" i="6" s="1"/>
  <c r="I17" i="6" s="1"/>
  <c r="J17" i="6" s="1"/>
  <c r="K17" i="6" s="1"/>
  <c r="L17" i="6" s="1"/>
  <c r="M17" i="6" s="1"/>
  <c r="C5" i="19"/>
  <c r="E5" i="19" s="1"/>
  <c r="C36" i="16"/>
  <c r="C38" i="16" s="1"/>
  <c r="C45" i="16" s="1"/>
  <c r="C47" i="16" s="1"/>
  <c r="F187" i="1"/>
  <c r="E12" i="10"/>
  <c r="E13" i="10" s="1"/>
  <c r="E17" i="10"/>
  <c r="F188" i="1" l="1"/>
  <c r="B18" i="6"/>
  <c r="C18" i="6" s="1"/>
  <c r="D18" i="6" s="1"/>
  <c r="E18" i="6" s="1"/>
  <c r="F18" i="6" s="1"/>
  <c r="G18" i="6" s="1"/>
  <c r="H18" i="6" s="1"/>
  <c r="I18" i="6" s="1"/>
  <c r="J18" i="6" s="1"/>
  <c r="K18" i="6" s="1"/>
  <c r="L18" i="6" s="1"/>
  <c r="M18" i="6" s="1"/>
  <c r="B33" i="19"/>
  <c r="E4" i="19"/>
  <c r="E8" i="19" s="1"/>
  <c r="C8" i="19"/>
  <c r="F40" i="22"/>
  <c r="E41" i="22"/>
  <c r="C42" i="22" s="1"/>
  <c r="B27" i="19"/>
  <c r="B28" i="19" s="1"/>
  <c r="B29" i="19" s="1"/>
  <c r="C27" i="19" s="1"/>
  <c r="C28" i="19" s="1"/>
  <c r="C29" i="19" s="1"/>
  <c r="D27" i="19" s="1"/>
  <c r="D28" i="19" s="1"/>
  <c r="D29" i="19" s="1"/>
  <c r="E27" i="19" s="1"/>
  <c r="E28" i="19" s="1"/>
  <c r="E29" i="19" s="1"/>
  <c r="F27" i="19" s="1"/>
  <c r="F28" i="19" s="1"/>
  <c r="F29" i="19" s="1"/>
  <c r="G27" i="19" s="1"/>
  <c r="G28" i="19" s="1"/>
  <c r="G29" i="19" s="1"/>
  <c r="H27" i="19" s="1"/>
  <c r="H28" i="19" s="1"/>
  <c r="H29" i="19" s="1"/>
  <c r="I27" i="19" s="1"/>
  <c r="I28" i="19" s="1"/>
  <c r="I29" i="19" s="1"/>
  <c r="J27" i="19" s="1"/>
  <c r="J28" i="19" s="1"/>
  <c r="J29" i="19" s="1"/>
  <c r="K27" i="19" s="1"/>
  <c r="K28" i="19" s="1"/>
  <c r="K29" i="19" s="1"/>
  <c r="L27" i="19" s="1"/>
  <c r="L28" i="19" s="1"/>
  <c r="L29" i="19" s="1"/>
  <c r="B16" i="19"/>
  <c r="B16" i="6"/>
  <c r="C16" i="6" s="1"/>
  <c r="D16" i="6" s="1"/>
  <c r="E16" i="6" s="1"/>
  <c r="F16" i="6" s="1"/>
  <c r="G16" i="6" s="1"/>
  <c r="H16" i="6" s="1"/>
  <c r="I16" i="6" s="1"/>
  <c r="J16" i="6" s="1"/>
  <c r="K16" i="6" s="1"/>
  <c r="L16" i="6" s="1"/>
  <c r="M16" i="6" s="1"/>
  <c r="B34" i="19" l="1"/>
  <c r="B35" i="19" s="1"/>
  <c r="C33" i="19" s="1"/>
  <c r="B14" i="19"/>
  <c r="B24" i="19"/>
  <c r="B15" i="6"/>
  <c r="C15" i="6" s="1"/>
  <c r="C19" i="6" s="1"/>
  <c r="F41" i="22"/>
  <c r="E42" i="22"/>
  <c r="C43" i="22" s="1"/>
  <c r="C18" i="19"/>
  <c r="B19" i="19"/>
  <c r="B19" i="6" l="1"/>
  <c r="B15" i="7" s="1"/>
  <c r="B20" i="7" s="1"/>
  <c r="C34" i="19"/>
  <c r="C35" i="19" s="1"/>
  <c r="D33" i="19" s="1"/>
  <c r="D34" i="19" s="1"/>
  <c r="D35" i="19" s="1"/>
  <c r="E33" i="19" s="1"/>
  <c r="F42" i="22"/>
  <c r="E43" i="22"/>
  <c r="C44" i="22" s="1"/>
  <c r="B15" i="19"/>
  <c r="C14" i="19"/>
  <c r="C16" i="19"/>
  <c r="B17" i="19"/>
  <c r="D15" i="6"/>
  <c r="D19" i="6" s="1"/>
  <c r="D18" i="19"/>
  <c r="C19" i="19"/>
  <c r="F43" i="22" l="1"/>
  <c r="E34" i="19"/>
  <c r="E35" i="19"/>
  <c r="F33" i="19" s="1"/>
  <c r="F34" i="19" s="1"/>
  <c r="F35" i="19" s="1"/>
  <c r="G33" i="19" s="1"/>
  <c r="E44" i="22"/>
  <c r="C45" i="22" s="1"/>
  <c r="B25" i="19"/>
  <c r="B37" i="19" s="1"/>
  <c r="E15" i="6"/>
  <c r="E19" i="6" s="1"/>
  <c r="B9" i="7"/>
  <c r="B20" i="6"/>
  <c r="C15" i="19"/>
  <c r="D14" i="19"/>
  <c r="D19" i="19"/>
  <c r="E18" i="19"/>
  <c r="C17" i="19"/>
  <c r="D16" i="19"/>
  <c r="B20" i="19"/>
  <c r="G34" i="19" l="1"/>
  <c r="G35" i="19" s="1"/>
  <c r="H33" i="19" s="1"/>
  <c r="H34" i="19" s="1"/>
  <c r="H35" i="19" s="1"/>
  <c r="I33" i="19" s="1"/>
  <c r="F7" i="14"/>
  <c r="C25" i="5"/>
  <c r="F44" i="22"/>
  <c r="E45" i="22"/>
  <c r="C46" i="22" s="1"/>
  <c r="F18" i="19"/>
  <c r="E19" i="19"/>
  <c r="F6" i="14"/>
  <c r="B21" i="6"/>
  <c r="B16" i="10" s="1"/>
  <c r="F15" i="6"/>
  <c r="F19" i="6" s="1"/>
  <c r="D17" i="19"/>
  <c r="E16" i="19"/>
  <c r="E14" i="19"/>
  <c r="D15" i="19"/>
  <c r="C20" i="19"/>
  <c r="B26" i="19"/>
  <c r="C20" i="6" l="1"/>
  <c r="C21" i="6" s="1"/>
  <c r="C16" i="10" s="1"/>
  <c r="C27" i="10" s="1"/>
  <c r="C44" i="5"/>
  <c r="C45" i="5" s="1"/>
  <c r="C50" i="5" s="1"/>
  <c r="I34" i="19"/>
  <c r="I35" i="19"/>
  <c r="J33" i="19" s="1"/>
  <c r="J34" i="19" s="1"/>
  <c r="J35" i="19" s="1"/>
  <c r="K33" i="19" s="1"/>
  <c r="K34" i="19" s="1"/>
  <c r="K35" i="19" s="1"/>
  <c r="L33" i="19" s="1"/>
  <c r="L34" i="19" s="1"/>
  <c r="L35" i="19" s="1"/>
  <c r="F45" i="22"/>
  <c r="E46" i="22"/>
  <c r="C48" i="22" s="1"/>
  <c r="G6" i="14"/>
  <c r="G18" i="19"/>
  <c r="F19" i="19"/>
  <c r="D20" i="19"/>
  <c r="F14" i="19"/>
  <c r="E15" i="19"/>
  <c r="G15" i="6"/>
  <c r="G19" i="6" s="1"/>
  <c r="C38" i="10"/>
  <c r="B7" i="8"/>
  <c r="C30" i="5"/>
  <c r="C9" i="7" s="1"/>
  <c r="B36" i="19"/>
  <c r="C24" i="19"/>
  <c r="E17" i="19"/>
  <c r="F16" i="19"/>
  <c r="F46" i="22" l="1"/>
  <c r="D12" i="22" s="1"/>
  <c r="D14" i="22" s="1"/>
  <c r="C23" i="5" s="1"/>
  <c r="E48" i="22"/>
  <c r="C49" i="22" s="1"/>
  <c r="F15" i="19"/>
  <c r="G14" i="19"/>
  <c r="G16" i="19"/>
  <c r="F17" i="19"/>
  <c r="H15" i="6"/>
  <c r="H19" i="6" s="1"/>
  <c r="G19" i="19"/>
  <c r="H18" i="19"/>
  <c r="C25" i="19"/>
  <c r="C37" i="19" s="1"/>
  <c r="E20" i="19"/>
  <c r="H6" i="14"/>
  <c r="G7" i="14" l="1"/>
  <c r="D25" i="5"/>
  <c r="D44" i="5" s="1"/>
  <c r="D45" i="5" s="1"/>
  <c r="D50" i="5" s="1"/>
  <c r="F48" i="22"/>
  <c r="B8" i="8"/>
  <c r="B10" i="8" s="1"/>
  <c r="B12" i="8" s="1"/>
  <c r="C7" i="10"/>
  <c r="C28" i="10" s="1"/>
  <c r="C37" i="10"/>
  <c r="C39" i="10" s="1"/>
  <c r="C46" i="10" s="1"/>
  <c r="C26" i="5"/>
  <c r="E49" i="22"/>
  <c r="C50" i="22" s="1"/>
  <c r="F20" i="19"/>
  <c r="C26" i="19"/>
  <c r="C36" i="19" s="1"/>
  <c r="H16" i="19"/>
  <c r="G17" i="19"/>
  <c r="I15" i="6"/>
  <c r="I19" i="6" s="1"/>
  <c r="H14" i="19"/>
  <c r="G15" i="19"/>
  <c r="F10" i="14"/>
  <c r="I6" i="14"/>
  <c r="H19" i="19"/>
  <c r="I18" i="19"/>
  <c r="D20" i="6" l="1"/>
  <c r="D38" i="10"/>
  <c r="C7" i="8"/>
  <c r="D30" i="5"/>
  <c r="D9" i="7" s="1"/>
  <c r="G20" i="19"/>
  <c r="K6" i="14" s="1"/>
  <c r="F49" i="22"/>
  <c r="C4" i="10"/>
  <c r="F5" i="14"/>
  <c r="F8" i="14" s="1"/>
  <c r="F9" i="14" s="1"/>
  <c r="C5" i="10"/>
  <c r="E50" i="22"/>
  <c r="C51" i="22" s="1"/>
  <c r="D24" i="19"/>
  <c r="D25" i="19" s="1"/>
  <c r="D37" i="19" s="1"/>
  <c r="J6" i="14"/>
  <c r="I14" i="19"/>
  <c r="H15" i="19"/>
  <c r="I19" i="19"/>
  <c r="J18" i="19"/>
  <c r="J15" i="6"/>
  <c r="J19" i="6" s="1"/>
  <c r="H17" i="19"/>
  <c r="I16" i="19"/>
  <c r="H7" i="14" l="1"/>
  <c r="E25" i="5"/>
  <c r="E44" i="5" s="1"/>
  <c r="E45" i="5" s="1"/>
  <c r="E50" i="5" s="1"/>
  <c r="E20" i="6"/>
  <c r="D21" i="6"/>
  <c r="D16" i="10" s="1"/>
  <c r="D27" i="10" s="1"/>
  <c r="D26" i="19"/>
  <c r="D36" i="19" s="1"/>
  <c r="F11" i="14"/>
  <c r="G10" i="14" s="1"/>
  <c r="F50" i="22"/>
  <c r="E51" i="22"/>
  <c r="C53" i="22" s="1"/>
  <c r="B6" i="12"/>
  <c r="B5" i="7"/>
  <c r="K15" i="6"/>
  <c r="K19" i="6" s="1"/>
  <c r="J14" i="19"/>
  <c r="I15" i="19"/>
  <c r="J16" i="19"/>
  <c r="I17" i="19"/>
  <c r="K18" i="19"/>
  <c r="J19" i="19"/>
  <c r="H20" i="19"/>
  <c r="H10" i="22"/>
  <c r="F11" i="8" s="1"/>
  <c r="E21" i="6" l="1"/>
  <c r="E16" i="10" s="1"/>
  <c r="E27" i="10" s="1"/>
  <c r="E30" i="5"/>
  <c r="E9" i="7" s="1"/>
  <c r="E38" i="10"/>
  <c r="D7" i="8"/>
  <c r="E24" i="19"/>
  <c r="E25" i="19" s="1"/>
  <c r="E37" i="19" s="1"/>
  <c r="F13" i="14"/>
  <c r="F12" i="14"/>
  <c r="E53" i="22"/>
  <c r="C54" i="22" s="1"/>
  <c r="F51" i="22"/>
  <c r="E12" i="22" s="1"/>
  <c r="E14" i="22" s="1"/>
  <c r="D23" i="5" s="1"/>
  <c r="F10" i="6"/>
  <c r="K19" i="19"/>
  <c r="L18" i="19"/>
  <c r="L19" i="19" s="1"/>
  <c r="I20" i="19"/>
  <c r="L6" i="14"/>
  <c r="K16" i="19"/>
  <c r="J17" i="19"/>
  <c r="J15" i="19"/>
  <c r="K14" i="19"/>
  <c r="B12" i="12"/>
  <c r="B13" i="12" s="1"/>
  <c r="B8" i="12"/>
  <c r="L15" i="6"/>
  <c r="L19" i="6" s="1"/>
  <c r="B13" i="7"/>
  <c r="B22" i="7" s="1"/>
  <c r="B23" i="7" s="1"/>
  <c r="B6" i="6"/>
  <c r="B11" i="10" s="1"/>
  <c r="B14" i="10" s="1"/>
  <c r="B30" i="10" s="1"/>
  <c r="G16" i="7"/>
  <c r="H11" i="22"/>
  <c r="I8" i="22" s="1"/>
  <c r="I11" i="22" s="1"/>
  <c r="J8" i="22" s="1"/>
  <c r="I7" i="14" l="1"/>
  <c r="F25" i="5"/>
  <c r="F44" i="5" s="1"/>
  <c r="F45" i="5" s="1"/>
  <c r="F50" i="5" s="1"/>
  <c r="B31" i="10"/>
  <c r="B9" i="10"/>
  <c r="F53" i="22"/>
  <c r="F14" i="14"/>
  <c r="C27" i="5" s="1"/>
  <c r="C8" i="8"/>
  <c r="C10" i="8" s="1"/>
  <c r="C12" i="8" s="1"/>
  <c r="D7" i="10"/>
  <c r="D28" i="10" s="1"/>
  <c r="D37" i="10"/>
  <c r="D39" i="10" s="1"/>
  <c r="D46" i="10" s="1"/>
  <c r="D26" i="5"/>
  <c r="D27" i="5" s="1"/>
  <c r="D29" i="5" s="1"/>
  <c r="E54" i="22"/>
  <c r="C55" i="22" s="1"/>
  <c r="F20" i="10"/>
  <c r="F7" i="6"/>
  <c r="J20" i="19"/>
  <c r="N6" i="14" s="1"/>
  <c r="E26" i="19"/>
  <c r="E36" i="19" s="1"/>
  <c r="C21" i="7"/>
  <c r="B25" i="6"/>
  <c r="B22" i="6" s="1"/>
  <c r="B27" i="6" s="1"/>
  <c r="K17" i="19"/>
  <c r="L16" i="19"/>
  <c r="L17" i="19" s="1"/>
  <c r="K15" i="19"/>
  <c r="L14" i="19"/>
  <c r="L15" i="19" s="1"/>
  <c r="M6" i="14"/>
  <c r="M15" i="6"/>
  <c r="M19" i="6" s="1"/>
  <c r="B12" i="6"/>
  <c r="G20" i="7"/>
  <c r="G32" i="5"/>
  <c r="H32" i="5"/>
  <c r="H20" i="7"/>
  <c r="C28" i="5" l="1"/>
  <c r="C29" i="5"/>
  <c r="F38" i="10"/>
  <c r="E7" i="8"/>
  <c r="F30" i="5"/>
  <c r="F9" i="7" s="1"/>
  <c r="F20" i="6"/>
  <c r="C6" i="10"/>
  <c r="C24" i="10" s="1"/>
  <c r="C5" i="7"/>
  <c r="C13" i="7" s="1"/>
  <c r="C22" i="7" s="1"/>
  <c r="C23" i="7" s="1"/>
  <c r="D21" i="7" s="1"/>
  <c r="C31" i="5"/>
  <c r="C33" i="5" s="1"/>
  <c r="C34" i="5" s="1"/>
  <c r="C6" i="12"/>
  <c r="C12" i="12" s="1"/>
  <c r="C13" i="12" s="1"/>
  <c r="B6" i="8"/>
  <c r="F54" i="22"/>
  <c r="D5" i="10"/>
  <c r="D4" i="10"/>
  <c r="G5" i="14"/>
  <c r="E55" i="22"/>
  <c r="C56" i="22" s="1"/>
  <c r="G7" i="6"/>
  <c r="H7" i="6" s="1"/>
  <c r="I7" i="6" s="1"/>
  <c r="J7" i="6" s="1"/>
  <c r="K7" i="6" s="1"/>
  <c r="F17" i="10"/>
  <c r="F12" i="10"/>
  <c r="F13" i="10" s="1"/>
  <c r="F24" i="19"/>
  <c r="F25" i="19" s="1"/>
  <c r="F37" i="19" s="1"/>
  <c r="L20" i="19"/>
  <c r="B29" i="6"/>
  <c r="K20" i="19"/>
  <c r="C37" i="5" l="1"/>
  <c r="C46" i="5"/>
  <c r="C51" i="5" s="1"/>
  <c r="F21" i="6"/>
  <c r="F16" i="10" s="1"/>
  <c r="F27" i="10" s="1"/>
  <c r="J7" i="14"/>
  <c r="G25" i="5"/>
  <c r="G44" i="5" s="1"/>
  <c r="G45" i="5" s="1"/>
  <c r="G50" i="5" s="1"/>
  <c r="B9" i="8"/>
  <c r="B13" i="8" s="1"/>
  <c r="C26" i="10" s="1"/>
  <c r="C22" i="10"/>
  <c r="C6" i="6"/>
  <c r="C11" i="10" s="1"/>
  <c r="C14" i="10" s="1"/>
  <c r="C30" i="10" s="1"/>
  <c r="C8" i="12"/>
  <c r="C25" i="6"/>
  <c r="C19" i="10" s="1"/>
  <c r="G12" i="10"/>
  <c r="G13" i="10" s="1"/>
  <c r="H12" i="10"/>
  <c r="H13" i="10" s="1"/>
  <c r="F55" i="22"/>
  <c r="G8" i="14"/>
  <c r="G17" i="10"/>
  <c r="H17" i="10"/>
  <c r="E56" i="22"/>
  <c r="C58" i="22" s="1"/>
  <c r="F26" i="19"/>
  <c r="F36" i="19" s="1"/>
  <c r="O6" i="14"/>
  <c r="P6" i="14"/>
  <c r="C29" i="10" l="1"/>
  <c r="C52" i="10"/>
  <c r="C53" i="10" s="1"/>
  <c r="F7" i="8"/>
  <c r="G30" i="5"/>
  <c r="G9" i="7" s="1"/>
  <c r="G38" i="10"/>
  <c r="G20" i="6"/>
  <c r="C12" i="6"/>
  <c r="C9" i="10"/>
  <c r="C23" i="10" s="1"/>
  <c r="F56" i="22"/>
  <c r="F12" i="22" s="1"/>
  <c r="F14" i="22" s="1"/>
  <c r="E23" i="5" s="1"/>
  <c r="C22" i="6"/>
  <c r="C27" i="6" s="1"/>
  <c r="E58" i="22"/>
  <c r="C59" i="22" s="1"/>
  <c r="G9" i="14"/>
  <c r="G11" i="14"/>
  <c r="G24" i="19"/>
  <c r="G25" i="19" s="1"/>
  <c r="G37" i="19" s="1"/>
  <c r="K7" i="14" l="1"/>
  <c r="H25" i="5"/>
  <c r="H44" i="5" s="1"/>
  <c r="H45" i="5" s="1"/>
  <c r="H50" i="5" s="1"/>
  <c r="G21" i="6"/>
  <c r="G16" i="10" s="1"/>
  <c r="G27" i="10" s="1"/>
  <c r="H20" i="6"/>
  <c r="C29" i="6"/>
  <c r="E7" i="10"/>
  <c r="E28" i="10" s="1"/>
  <c r="D8" i="8"/>
  <c r="D10" i="8" s="1"/>
  <c r="D12" i="8" s="1"/>
  <c r="E26" i="5"/>
  <c r="C31" i="10"/>
  <c r="C25" i="10"/>
  <c r="E37" i="10"/>
  <c r="E39" i="10" s="1"/>
  <c r="E46" i="10" s="1"/>
  <c r="F58" i="22"/>
  <c r="G12" i="14"/>
  <c r="H10" i="14"/>
  <c r="G13" i="14"/>
  <c r="E59" i="22"/>
  <c r="C60" i="22" s="1"/>
  <c r="G26" i="19"/>
  <c r="G36" i="19" s="1"/>
  <c r="H30" i="5" l="1"/>
  <c r="H9" i="7" s="1"/>
  <c r="G7" i="8"/>
  <c r="H38" i="10"/>
  <c r="H21" i="6"/>
  <c r="H16" i="10" s="1"/>
  <c r="H27" i="10" s="1"/>
  <c r="E4" i="10"/>
  <c r="E27" i="5"/>
  <c r="E29" i="5" s="1"/>
  <c r="H5" i="14"/>
  <c r="H8" i="14" s="1"/>
  <c r="H9" i="14" s="1"/>
  <c r="E5" i="10"/>
  <c r="H24" i="19"/>
  <c r="H25" i="19" s="1"/>
  <c r="H37" i="19" s="1"/>
  <c r="G14" i="14"/>
  <c r="D28" i="5" s="1"/>
  <c r="F59" i="22"/>
  <c r="E60" i="22"/>
  <c r="C61" i="22" s="1"/>
  <c r="D6" i="12" l="1"/>
  <c r="D8" i="12" s="1"/>
  <c r="D46" i="5"/>
  <c r="D51" i="5" s="1"/>
  <c r="L7" i="14"/>
  <c r="I25" i="5"/>
  <c r="I44" i="5" s="1"/>
  <c r="I45" i="5" s="1"/>
  <c r="I50" i="5" s="1"/>
  <c r="H11" i="14"/>
  <c r="H13" i="14" s="1"/>
  <c r="D6" i="10"/>
  <c r="D24" i="10" s="1"/>
  <c r="D5" i="7"/>
  <c r="D13" i="7" s="1"/>
  <c r="D22" i="7" s="1"/>
  <c r="D23" i="7" s="1"/>
  <c r="C6" i="8"/>
  <c r="C9" i="8" s="1"/>
  <c r="D37" i="5"/>
  <c r="F60" i="22"/>
  <c r="D31" i="5"/>
  <c r="D33" i="5" s="1"/>
  <c r="D34" i="5" s="1"/>
  <c r="E61" i="22"/>
  <c r="C63" i="22" s="1"/>
  <c r="D12" i="12"/>
  <c r="D13" i="12" s="1"/>
  <c r="H26" i="19"/>
  <c r="H36" i="19" s="1"/>
  <c r="I38" i="10" l="1"/>
  <c r="I30" i="5"/>
  <c r="I9" i="7" s="1"/>
  <c r="H7" i="8"/>
  <c r="I20" i="6"/>
  <c r="I10" i="14"/>
  <c r="H12" i="14"/>
  <c r="H14" i="14" s="1"/>
  <c r="E28" i="5" s="1"/>
  <c r="C13" i="8"/>
  <c r="D26" i="10" s="1"/>
  <c r="D6" i="6"/>
  <c r="D11" i="10" s="1"/>
  <c r="D14" i="10" s="1"/>
  <c r="D30" i="10" s="1"/>
  <c r="D22" i="10"/>
  <c r="E63" i="22"/>
  <c r="C64" i="22" s="1"/>
  <c r="D25" i="6"/>
  <c r="E21" i="7"/>
  <c r="F61" i="22"/>
  <c r="G12" i="22" s="1"/>
  <c r="G14" i="22" s="1"/>
  <c r="F23" i="5" s="1"/>
  <c r="I24" i="19"/>
  <c r="I25" i="19" s="1"/>
  <c r="I37" i="19" s="1"/>
  <c r="E6" i="10" l="1"/>
  <c r="E22" i="10" s="1"/>
  <c r="E46" i="5"/>
  <c r="E51" i="5" s="1"/>
  <c r="I21" i="6"/>
  <c r="I16" i="10" s="1"/>
  <c r="M7" i="14"/>
  <c r="J25" i="5"/>
  <c r="D6" i="8"/>
  <c r="D9" i="8" s="1"/>
  <c r="D13" i="8" s="1"/>
  <c r="E26" i="10" s="1"/>
  <c r="E5" i="7"/>
  <c r="E13" i="7" s="1"/>
  <c r="E22" i="7" s="1"/>
  <c r="E23" i="7" s="1"/>
  <c r="F21" i="7" s="1"/>
  <c r="E31" i="5"/>
  <c r="E33" i="5" s="1"/>
  <c r="E34" i="5" s="1"/>
  <c r="E6" i="12"/>
  <c r="E12" i="12" s="1"/>
  <c r="E13" i="12" s="1"/>
  <c r="E37" i="5"/>
  <c r="D12" i="6"/>
  <c r="D9" i="10"/>
  <c r="D23" i="10" s="1"/>
  <c r="D31" i="10"/>
  <c r="D25" i="10"/>
  <c r="E64" i="22"/>
  <c r="C65" i="22" s="1"/>
  <c r="E8" i="8"/>
  <c r="E10" i="8" s="1"/>
  <c r="E12" i="8" s="1"/>
  <c r="F26" i="5"/>
  <c r="F27" i="5" s="1"/>
  <c r="F29" i="5" s="1"/>
  <c r="F37" i="10"/>
  <c r="F39" i="10" s="1"/>
  <c r="F46" i="10" s="1"/>
  <c r="F7" i="10"/>
  <c r="F28" i="10" s="1"/>
  <c r="D19" i="10"/>
  <c r="D22" i="6"/>
  <c r="D27" i="6" s="1"/>
  <c r="F63" i="22"/>
  <c r="I26" i="19"/>
  <c r="I36" i="19" s="1"/>
  <c r="D29" i="10" l="1"/>
  <c r="D52" i="10"/>
  <c r="D53" i="10" s="1"/>
  <c r="E24" i="10"/>
  <c r="J20" i="6"/>
  <c r="J21" i="6" s="1"/>
  <c r="J16" i="10" s="1"/>
  <c r="J44" i="5"/>
  <c r="J45" i="5" s="1"/>
  <c r="J50" i="5" s="1"/>
  <c r="D9" i="12"/>
  <c r="E6" i="6"/>
  <c r="E11" i="10" s="1"/>
  <c r="E14" i="10" s="1"/>
  <c r="E30" i="10" s="1"/>
  <c r="J38" i="10"/>
  <c r="J30" i="5"/>
  <c r="J9" i="7" s="1"/>
  <c r="I7" i="8"/>
  <c r="E8" i="12"/>
  <c r="C9" i="12"/>
  <c r="D29" i="6"/>
  <c r="E25" i="6"/>
  <c r="E22" i="6" s="1"/>
  <c r="E27" i="6" s="1"/>
  <c r="E12" i="6"/>
  <c r="E65" i="22"/>
  <c r="C66" i="22" s="1"/>
  <c r="F4" i="10"/>
  <c r="I5" i="14"/>
  <c r="F5" i="10"/>
  <c r="F64" i="22"/>
  <c r="J24" i="19"/>
  <c r="E31" i="10" l="1"/>
  <c r="E9" i="10"/>
  <c r="E23" i="10" s="1"/>
  <c r="E19" i="10"/>
  <c r="E25" i="10"/>
  <c r="E29" i="6"/>
  <c r="F65" i="22"/>
  <c r="I8" i="14"/>
  <c r="E66" i="22"/>
  <c r="C68" i="22" s="1"/>
  <c r="J25" i="19"/>
  <c r="J37" i="19" s="1"/>
  <c r="E29" i="10" l="1"/>
  <c r="E52" i="10"/>
  <c r="E53" i="10" s="1"/>
  <c r="N7" i="14"/>
  <c r="K25" i="5"/>
  <c r="K44" i="5" s="1"/>
  <c r="K45" i="5" s="1"/>
  <c r="K50" i="5" s="1"/>
  <c r="E68" i="22"/>
  <c r="C69" i="22" s="1"/>
  <c r="I11" i="14"/>
  <c r="I9" i="14"/>
  <c r="F66" i="22"/>
  <c r="H12" i="22" s="1"/>
  <c r="H14" i="22" s="1"/>
  <c r="G23" i="5" s="1"/>
  <c r="J26" i="19"/>
  <c r="J7" i="8" l="1"/>
  <c r="K30" i="5"/>
  <c r="K9" i="7" s="1"/>
  <c r="K38" i="10"/>
  <c r="K20" i="6"/>
  <c r="F68" i="22"/>
  <c r="J10" i="14"/>
  <c r="I12" i="14"/>
  <c r="I13" i="14"/>
  <c r="G26" i="5"/>
  <c r="G27" i="5" s="1"/>
  <c r="G29" i="5" s="1"/>
  <c r="G37" i="10"/>
  <c r="G39" i="10" s="1"/>
  <c r="G46" i="10" s="1"/>
  <c r="G7" i="10"/>
  <c r="G28" i="10" s="1"/>
  <c r="F8" i="8"/>
  <c r="F10" i="8" s="1"/>
  <c r="F12" i="8" s="1"/>
  <c r="E69" i="22"/>
  <c r="C70" i="22" s="1"/>
  <c r="J36" i="19"/>
  <c r="K24" i="19"/>
  <c r="K21" i="6" l="1"/>
  <c r="K16" i="10" s="1"/>
  <c r="I14" i="14"/>
  <c r="F28" i="5" s="1"/>
  <c r="F69" i="22"/>
  <c r="E70" i="22"/>
  <c r="C71" i="22" s="1"/>
  <c r="G5" i="10"/>
  <c r="J5" i="14"/>
  <c r="G4" i="10"/>
  <c r="K25" i="19"/>
  <c r="K37" i="19" s="1"/>
  <c r="F5" i="7" l="1"/>
  <c r="F6" i="6" s="1"/>
  <c r="F11" i="10" s="1"/>
  <c r="F14" i="10" s="1"/>
  <c r="F30" i="10" s="1"/>
  <c r="F46" i="5"/>
  <c r="F51" i="5" s="1"/>
  <c r="O7" i="14"/>
  <c r="L25" i="5"/>
  <c r="L44" i="5" s="1"/>
  <c r="L45" i="5" s="1"/>
  <c r="L50" i="5" s="1"/>
  <c r="F37" i="5"/>
  <c r="F31" i="5"/>
  <c r="F33" i="5" s="1"/>
  <c r="F34" i="5" s="1"/>
  <c r="F6" i="10"/>
  <c r="F22" i="10" s="1"/>
  <c r="E6" i="8"/>
  <c r="E9" i="8" s="1"/>
  <c r="F6" i="12"/>
  <c r="F8" i="12" s="1"/>
  <c r="K26" i="19"/>
  <c r="L24" i="19" s="1"/>
  <c r="E71" i="22"/>
  <c r="C73" i="22" s="1"/>
  <c r="J8" i="14"/>
  <c r="F70" i="22"/>
  <c r="F13" i="7" l="1"/>
  <c r="F22" i="7" s="1"/>
  <c r="F23" i="7" s="1"/>
  <c r="L38" i="10"/>
  <c r="L30" i="5"/>
  <c r="L9" i="7" s="1"/>
  <c r="K7" i="8"/>
  <c r="L20" i="6"/>
  <c r="E13" i="8"/>
  <c r="F26" i="10" s="1"/>
  <c r="K36" i="19"/>
  <c r="F24" i="10"/>
  <c r="F71" i="22"/>
  <c r="I12" i="22" s="1"/>
  <c r="I14" i="22" s="1"/>
  <c r="H23" i="5" s="1"/>
  <c r="H37" i="10" s="1"/>
  <c r="H39" i="10" s="1"/>
  <c r="H46" i="10" s="1"/>
  <c r="F12" i="12"/>
  <c r="F13" i="12" s="1"/>
  <c r="L25" i="19"/>
  <c r="L37" i="19" s="1"/>
  <c r="F12" i="6"/>
  <c r="F9" i="10"/>
  <c r="F23" i="10" s="1"/>
  <c r="E73" i="22"/>
  <c r="C74" i="22" s="1"/>
  <c r="J11" i="14"/>
  <c r="J9" i="14"/>
  <c r="G21" i="7"/>
  <c r="F25" i="6"/>
  <c r="L21" i="6" l="1"/>
  <c r="L16" i="10" s="1"/>
  <c r="P7" i="14"/>
  <c r="M25" i="5"/>
  <c r="M44" i="5" s="1"/>
  <c r="M45" i="5" s="1"/>
  <c r="M50" i="5" s="1"/>
  <c r="G8" i="8"/>
  <c r="G10" i="8" s="1"/>
  <c r="G12" i="8" s="1"/>
  <c r="L26" i="19"/>
  <c r="L36" i="19" s="1"/>
  <c r="H7" i="10"/>
  <c r="H28" i="10" s="1"/>
  <c r="H26" i="5"/>
  <c r="F73" i="22"/>
  <c r="E74" i="22"/>
  <c r="C75" i="22" s="1"/>
  <c r="F31" i="10"/>
  <c r="F25" i="10"/>
  <c r="J12" i="14"/>
  <c r="K10" i="14"/>
  <c r="J13" i="14"/>
  <c r="F22" i="6"/>
  <c r="F27" i="6" s="1"/>
  <c r="F29" i="6" s="1"/>
  <c r="F19" i="10"/>
  <c r="F29" i="10" l="1"/>
  <c r="F52" i="10"/>
  <c r="F53" i="10" s="1"/>
  <c r="M38" i="10"/>
  <c r="M30" i="5"/>
  <c r="M9" i="7" s="1"/>
  <c r="L7" i="8"/>
  <c r="M20" i="6"/>
  <c r="M21" i="6" s="1"/>
  <c r="M16" i="10" s="1"/>
  <c r="H5" i="10"/>
  <c r="H27" i="5"/>
  <c r="H29" i="5" s="1"/>
  <c r="H4" i="10"/>
  <c r="K5" i="14"/>
  <c r="K8" i="14" s="1"/>
  <c r="F74" i="22"/>
  <c r="J14" i="14"/>
  <c r="G28" i="5" s="1"/>
  <c r="E75" i="22"/>
  <c r="C76" i="22" s="1"/>
  <c r="G6" i="12" l="1"/>
  <c r="G46" i="5"/>
  <c r="G51" i="5" s="1"/>
  <c r="G37" i="5"/>
  <c r="G31" i="5"/>
  <c r="G33" i="5" s="1"/>
  <c r="G34" i="5" s="1"/>
  <c r="F6" i="8"/>
  <c r="F9" i="8" s="1"/>
  <c r="G5" i="7"/>
  <c r="G13" i="7" s="1"/>
  <c r="G22" i="7" s="1"/>
  <c r="G23" i="7" s="1"/>
  <c r="G6" i="10"/>
  <c r="G22" i="10" s="1"/>
  <c r="F75" i="22"/>
  <c r="E76" i="22"/>
  <c r="C78" i="22" s="1"/>
  <c r="K11" i="14"/>
  <c r="K9" i="14"/>
  <c r="G12" i="12"/>
  <c r="G13" i="12" s="1"/>
  <c r="G8" i="12"/>
  <c r="F13" i="8" l="1"/>
  <c r="G26" i="10" s="1"/>
  <c r="G24" i="10"/>
  <c r="G6" i="6"/>
  <c r="G11" i="10" s="1"/>
  <c r="G14" i="10" s="1"/>
  <c r="G30" i="10" s="1"/>
  <c r="E78" i="22"/>
  <c r="C79" i="22" s="1"/>
  <c r="H21" i="7"/>
  <c r="G25" i="6"/>
  <c r="K12" i="14"/>
  <c r="L10" i="14"/>
  <c r="K13" i="14"/>
  <c r="F76" i="22"/>
  <c r="J12" i="22" s="1"/>
  <c r="G12" i="6" l="1"/>
  <c r="G25" i="10"/>
  <c r="F78" i="22"/>
  <c r="K14" i="14"/>
  <c r="H28" i="5" s="1"/>
  <c r="G9" i="10"/>
  <c r="G23" i="10" s="1"/>
  <c r="G19" i="10"/>
  <c r="G22" i="6"/>
  <c r="G27" i="6" s="1"/>
  <c r="E79" i="22"/>
  <c r="C80" i="22" s="1"/>
  <c r="G29" i="10" l="1"/>
  <c r="G52" i="10"/>
  <c r="G53" i="10" s="1"/>
  <c r="H31" i="5"/>
  <c r="H33" i="5" s="1"/>
  <c r="H34" i="5" s="1"/>
  <c r="H46" i="5"/>
  <c r="H51" i="5" s="1"/>
  <c r="G29" i="6"/>
  <c r="G31" i="10"/>
  <c r="F79" i="22"/>
  <c r="H5" i="7"/>
  <c r="H6" i="6" s="1"/>
  <c r="H11" i="10" s="1"/>
  <c r="H14" i="10" s="1"/>
  <c r="H30" i="10" s="1"/>
  <c r="G6" i="8"/>
  <c r="G9" i="8" s="1"/>
  <c r="H6" i="12"/>
  <c r="H8" i="12" s="1"/>
  <c r="I8" i="12" s="1"/>
  <c r="J8" i="12" s="1"/>
  <c r="K8" i="12" s="1"/>
  <c r="H37" i="5"/>
  <c r="H6" i="10"/>
  <c r="H22" i="10" s="1"/>
  <c r="E80" i="22"/>
  <c r="C81" i="22" s="1"/>
  <c r="G13" i="8" l="1"/>
  <c r="H26" i="10" s="1"/>
  <c r="H13" i="7"/>
  <c r="H22" i="7" s="1"/>
  <c r="H23" i="7" s="1"/>
  <c r="H25" i="6" s="1"/>
  <c r="H24" i="10"/>
  <c r="H12" i="12"/>
  <c r="H13" i="12" s="1"/>
  <c r="K14" i="12" s="1"/>
  <c r="E81" i="22"/>
  <c r="C83" i="22" s="1"/>
  <c r="H12" i="6"/>
  <c r="H9" i="10"/>
  <c r="H23" i="10" s="1"/>
  <c r="F80" i="22"/>
  <c r="D5" i="13" l="1" a="1"/>
  <c r="D6" i="13" s="1"/>
  <c r="I21" i="7"/>
  <c r="F81" i="22"/>
  <c r="K12" i="22" s="1"/>
  <c r="K14" i="22" s="1"/>
  <c r="J23" i="5" s="1"/>
  <c r="H31" i="10"/>
  <c r="H25" i="10"/>
  <c r="E83" i="22"/>
  <c r="C84" i="22" s="1"/>
  <c r="H19" i="10"/>
  <c r="H22" i="6"/>
  <c r="H27" i="6" s="1"/>
  <c r="H29" i="6" s="1"/>
  <c r="H29" i="10" l="1"/>
  <c r="H52" i="10"/>
  <c r="H53" i="10" s="1"/>
  <c r="D9" i="13"/>
  <c r="F9" i="13" s="1"/>
  <c r="D11" i="13"/>
  <c r="F11" i="13" s="1"/>
  <c r="D7" i="13"/>
  <c r="F7" i="13" s="1"/>
  <c r="D5" i="13"/>
  <c r="F5" i="13" s="1"/>
  <c r="D14" i="13"/>
  <c r="F14" i="13" s="1"/>
  <c r="D10" i="13"/>
  <c r="D29" i="13" s="1"/>
  <c r="F29" i="13" s="1"/>
  <c r="D13" i="13"/>
  <c r="F13" i="13" s="1"/>
  <c r="D12" i="13"/>
  <c r="F12" i="13" s="1"/>
  <c r="D8" i="13"/>
  <c r="D27" i="13" s="1"/>
  <c r="F27" i="13" s="1"/>
  <c r="F83" i="22"/>
  <c r="E84" i="22"/>
  <c r="C85" i="22" s="1"/>
  <c r="F6" i="13"/>
  <c r="D25" i="13"/>
  <c r="F25" i="13" s="1"/>
  <c r="J26" i="5"/>
  <c r="J27" i="5" s="1"/>
  <c r="J29" i="5" s="1"/>
  <c r="J37" i="10"/>
  <c r="J39" i="10" s="1"/>
  <c r="J46" i="10" s="1"/>
  <c r="I8" i="8"/>
  <c r="I10" i="8" s="1"/>
  <c r="I12" i="8" s="1"/>
  <c r="J7" i="10"/>
  <c r="J28" i="10" s="1"/>
  <c r="J11" i="22"/>
  <c r="K8" i="22" s="1"/>
  <c r="K11" i="22" s="1"/>
  <c r="L8" i="22" s="1"/>
  <c r="L11" i="22" s="1"/>
  <c r="M8" i="22" s="1"/>
  <c r="M11" i="22" s="1"/>
  <c r="N8" i="22" s="1"/>
  <c r="I16" i="7"/>
  <c r="F8" i="13" l="1"/>
  <c r="D28" i="13"/>
  <c r="F28" i="13" s="1"/>
  <c r="D30" i="13"/>
  <c r="F30" i="13" s="1"/>
  <c r="D24" i="13"/>
  <c r="F24" i="13" s="1"/>
  <c r="D26" i="13"/>
  <c r="F26" i="13" s="1"/>
  <c r="F10" i="13"/>
  <c r="F84" i="22"/>
  <c r="J4" i="10"/>
  <c r="J5" i="10"/>
  <c r="M5" i="14"/>
  <c r="M8" i="14" s="1"/>
  <c r="E85" i="22"/>
  <c r="C86" i="22" s="1"/>
  <c r="I20" i="7"/>
  <c r="I32" i="5"/>
  <c r="F16" i="13" l="1"/>
  <c r="F18" i="13" s="1"/>
  <c r="F35" i="13"/>
  <c r="F37" i="13" s="1"/>
  <c r="F85" i="22"/>
  <c r="E86" i="22"/>
  <c r="C88" i="22" s="1"/>
  <c r="J12" i="10"/>
  <c r="J13" i="10" s="1"/>
  <c r="J17" i="10"/>
  <c r="J27" i="10" s="1"/>
  <c r="I12" i="10"/>
  <c r="I13" i="10" s="1"/>
  <c r="I17" i="10"/>
  <c r="I27" i="10" s="1"/>
  <c r="F86" i="22" l="1"/>
  <c r="L12" i="22" s="1"/>
  <c r="L14" i="22" s="1"/>
  <c r="K23" i="5" s="1"/>
  <c r="K37" i="10" s="1"/>
  <c r="K39" i="10" s="1"/>
  <c r="K46" i="10" s="1"/>
  <c r="E88" i="22"/>
  <c r="C89" i="22" s="1"/>
  <c r="K12" i="10"/>
  <c r="K13" i="10" s="1"/>
  <c r="K17" i="10"/>
  <c r="K27" i="10" s="1"/>
  <c r="J14" i="22"/>
  <c r="J8" i="8" l="1"/>
  <c r="J10" i="8" s="1"/>
  <c r="J12" i="8" s="1"/>
  <c r="K7" i="10"/>
  <c r="K28" i="10" s="1"/>
  <c r="K26" i="5"/>
  <c r="F88" i="22"/>
  <c r="E89" i="22"/>
  <c r="C90" i="22" s="1"/>
  <c r="I23" i="5"/>
  <c r="H8" i="8" s="1"/>
  <c r="H10" i="8" s="1"/>
  <c r="H12" i="8" s="1"/>
  <c r="K5" i="10" l="1"/>
  <c r="K27" i="5"/>
  <c r="K29" i="5" s="1"/>
  <c r="K4" i="10"/>
  <c r="N5" i="14"/>
  <c r="N8" i="14" s="1"/>
  <c r="F89" i="22"/>
  <c r="E90" i="22"/>
  <c r="C91" i="22" s="1"/>
  <c r="I37" i="10"/>
  <c r="I39" i="10" s="1"/>
  <c r="I46" i="10" s="1"/>
  <c r="I26" i="5"/>
  <c r="I7" i="10"/>
  <c r="I28" i="10" s="1"/>
  <c r="I4" i="10" l="1"/>
  <c r="I27" i="5"/>
  <c r="I29" i="5" s="1"/>
  <c r="F90" i="22"/>
  <c r="E91" i="22"/>
  <c r="C93" i="22" s="1"/>
  <c r="L5" i="14"/>
  <c r="L8" i="14" s="1"/>
  <c r="L9" i="14" s="1"/>
  <c r="M9" i="14" s="1"/>
  <c r="N9" i="14" s="1"/>
  <c r="I5" i="10"/>
  <c r="F91" i="22" l="1"/>
  <c r="M12" i="22" s="1"/>
  <c r="M14" i="22" s="1"/>
  <c r="L23" i="5" s="1"/>
  <c r="L37" i="10" s="1"/>
  <c r="L39" i="10" s="1"/>
  <c r="L46" i="10" s="1"/>
  <c r="E93" i="22"/>
  <c r="C94" i="22" s="1"/>
  <c r="L11" i="14"/>
  <c r="M10" i="14" s="1"/>
  <c r="M11" i="14" s="1"/>
  <c r="M13" i="14" s="1"/>
  <c r="L7" i="10" l="1"/>
  <c r="L28" i="10" s="1"/>
  <c r="K8" i="8"/>
  <c r="K10" i="8" s="1"/>
  <c r="K12" i="8" s="1"/>
  <c r="L26" i="5"/>
  <c r="F93" i="22"/>
  <c r="E94" i="22"/>
  <c r="C95" i="22" s="1"/>
  <c r="D95" i="22" s="1"/>
  <c r="N10" i="14"/>
  <c r="N11" i="14" s="1"/>
  <c r="O10" i="14" s="1"/>
  <c r="M12" i="14"/>
  <c r="M14" i="14" s="1"/>
  <c r="J28" i="5" s="1"/>
  <c r="J46" i="5" s="1"/>
  <c r="J51" i="5" s="1"/>
  <c r="L13" i="14"/>
  <c r="L12" i="14"/>
  <c r="L5" i="10" l="1"/>
  <c r="L27" i="5"/>
  <c r="L29" i="5" s="1"/>
  <c r="L4" i="10"/>
  <c r="O5" i="14"/>
  <c r="O8" i="14" s="1"/>
  <c r="O9" i="14" s="1"/>
  <c r="N10" i="22"/>
  <c r="L11" i="8" s="1"/>
  <c r="D100" i="22"/>
  <c r="F94" i="22"/>
  <c r="E95" i="22"/>
  <c r="C96" i="22" s="1"/>
  <c r="E96" i="22" s="1"/>
  <c r="F96" i="22" s="1"/>
  <c r="L14" i="14"/>
  <c r="I28" i="5" s="1"/>
  <c r="N12" i="14"/>
  <c r="N13" i="14"/>
  <c r="I6" i="8"/>
  <c r="I9" i="8" s="1"/>
  <c r="J6" i="10"/>
  <c r="J5" i="7"/>
  <c r="J13" i="7" s="1"/>
  <c r="J22" i="7" s="1"/>
  <c r="J31" i="5"/>
  <c r="J33" i="5" s="1"/>
  <c r="J37" i="5"/>
  <c r="H6" i="8" l="1"/>
  <c r="H9" i="8" s="1"/>
  <c r="I46" i="5"/>
  <c r="I51" i="5" s="1"/>
  <c r="I13" i="8"/>
  <c r="J26" i="10" s="1"/>
  <c r="O11" i="14"/>
  <c r="P10" i="14" s="1"/>
  <c r="M16" i="7"/>
  <c r="L10" i="6"/>
  <c r="O10" i="22"/>
  <c r="N11" i="22"/>
  <c r="F95" i="22"/>
  <c r="F100" i="22" s="1"/>
  <c r="I31" i="5"/>
  <c r="I33" i="5" s="1"/>
  <c r="I34" i="5" s="1"/>
  <c r="J34" i="5" s="1"/>
  <c r="I6" i="10"/>
  <c r="I24" i="10" s="1"/>
  <c r="N14" i="14"/>
  <c r="K28" i="5" s="1"/>
  <c r="I37" i="5"/>
  <c r="I5" i="7"/>
  <c r="I13" i="7" s="1"/>
  <c r="I22" i="7" s="1"/>
  <c r="I23" i="7" s="1"/>
  <c r="H13" i="8"/>
  <c r="I26" i="10" s="1"/>
  <c r="J24" i="10"/>
  <c r="J22" i="10"/>
  <c r="K6" i="10" l="1"/>
  <c r="K24" i="10" s="1"/>
  <c r="K46" i="5"/>
  <c r="K51" i="5" s="1"/>
  <c r="O12" i="14"/>
  <c r="O13" i="14"/>
  <c r="L20" i="10"/>
  <c r="L7" i="6"/>
  <c r="M32" i="5"/>
  <c r="M20" i="7"/>
  <c r="N12" i="22"/>
  <c r="N14" i="22" s="1"/>
  <c r="I22" i="10"/>
  <c r="J6" i="8"/>
  <c r="J9" i="8" s="1"/>
  <c r="K31" i="5"/>
  <c r="K33" i="5" s="1"/>
  <c r="K34" i="5" s="1"/>
  <c r="K37" i="5"/>
  <c r="K5" i="7"/>
  <c r="K13" i="7" s="1"/>
  <c r="K22" i="7" s="1"/>
  <c r="I6" i="6"/>
  <c r="I11" i="10" s="1"/>
  <c r="I14" i="10" s="1"/>
  <c r="I30" i="10" s="1"/>
  <c r="I25" i="6"/>
  <c r="J21" i="7"/>
  <c r="J23" i="7" s="1"/>
  <c r="K22" i="10" l="1"/>
  <c r="J13" i="8"/>
  <c r="K26" i="10" s="1"/>
  <c r="J6" i="6"/>
  <c r="K6" i="6" s="1"/>
  <c r="K11" i="10" s="1"/>
  <c r="K14" i="10" s="1"/>
  <c r="K30" i="10" s="1"/>
  <c r="I25" i="10"/>
  <c r="O14" i="14"/>
  <c r="L28" i="5" s="1"/>
  <c r="M7" i="6"/>
  <c r="L17" i="10"/>
  <c r="L12" i="10"/>
  <c r="L13" i="10" s="1"/>
  <c r="O12" i="22"/>
  <c r="O14" i="22"/>
  <c r="M23" i="5"/>
  <c r="I22" i="6"/>
  <c r="I27" i="6" s="1"/>
  <c r="I19" i="10"/>
  <c r="I9" i="10"/>
  <c r="I23" i="10" s="1"/>
  <c r="I12" i="6"/>
  <c r="J25" i="6"/>
  <c r="K21" i="7"/>
  <c r="K23" i="7" s="1"/>
  <c r="I29" i="10" l="1"/>
  <c r="I52" i="10"/>
  <c r="I53" i="10" s="1"/>
  <c r="L37" i="5"/>
  <c r="L46" i="5"/>
  <c r="L51" i="5" s="1"/>
  <c r="L6" i="10"/>
  <c r="L24" i="10" s="1"/>
  <c r="L31" i="5"/>
  <c r="L33" i="5" s="1"/>
  <c r="L34" i="5" s="1"/>
  <c r="L5" i="7"/>
  <c r="L13" i="7" s="1"/>
  <c r="L22" i="7" s="1"/>
  <c r="K6" i="8"/>
  <c r="K9" i="8" s="1"/>
  <c r="J12" i="6"/>
  <c r="J11" i="10"/>
  <c r="J9" i="10"/>
  <c r="J23" i="10" s="1"/>
  <c r="M17" i="10"/>
  <c r="M12" i="10"/>
  <c r="M13" i="10" s="1"/>
  <c r="M37" i="10"/>
  <c r="M39" i="10" s="1"/>
  <c r="M46" i="10" s="1"/>
  <c r="M7" i="10"/>
  <c r="M28" i="10" s="1"/>
  <c r="L8" i="8"/>
  <c r="L10" i="8" s="1"/>
  <c r="L12" i="8" s="1"/>
  <c r="M26" i="5"/>
  <c r="M27" i="5" s="1"/>
  <c r="M29" i="5" s="1"/>
  <c r="I29" i="6"/>
  <c r="J22" i="6"/>
  <c r="J27" i="6" s="1"/>
  <c r="J19" i="10"/>
  <c r="I31" i="10"/>
  <c r="K31" i="10"/>
  <c r="K9" i="10"/>
  <c r="K23" i="10" s="1"/>
  <c r="K12" i="6"/>
  <c r="K25" i="6"/>
  <c r="L21" i="7"/>
  <c r="J29" i="10" l="1"/>
  <c r="J52" i="10"/>
  <c r="J53" i="10" s="1"/>
  <c r="L23" i="7"/>
  <c r="M21" i="7" s="1"/>
  <c r="L22" i="10"/>
  <c r="L6" i="6"/>
  <c r="L11" i="10" s="1"/>
  <c r="L14" i="10" s="1"/>
  <c r="L30" i="10" s="1"/>
  <c r="J31" i="10"/>
  <c r="J14" i="10"/>
  <c r="J30" i="10" s="1"/>
  <c r="K13" i="8"/>
  <c r="L26" i="10" s="1"/>
  <c r="J29" i="6"/>
  <c r="J25" i="10"/>
  <c r="P5" i="14"/>
  <c r="P8" i="14" s="1"/>
  <c r="P11" i="14" s="1"/>
  <c r="M4" i="10"/>
  <c r="M5" i="10"/>
  <c r="K22" i="6"/>
  <c r="K27" i="6" s="1"/>
  <c r="K29" i="6" s="1"/>
  <c r="K19" i="10"/>
  <c r="K25" i="10"/>
  <c r="K29" i="10" l="1"/>
  <c r="K52" i="10"/>
  <c r="K53" i="10" s="1"/>
  <c r="L25" i="6"/>
  <c r="L19" i="10" s="1"/>
  <c r="L31" i="10"/>
  <c r="L9" i="10"/>
  <c r="L23" i="10" s="1"/>
  <c r="L25" i="10"/>
  <c r="L12" i="6"/>
  <c r="P9" i="14"/>
  <c r="P12" i="14"/>
  <c r="P13" i="14"/>
  <c r="L29" i="10" l="1"/>
  <c r="L52" i="10"/>
  <c r="L53" i="10" s="1"/>
  <c r="L22" i="6"/>
  <c r="L27" i="6" s="1"/>
  <c r="L29" i="6" s="1"/>
  <c r="P14" i="14"/>
  <c r="M28" i="5" s="1"/>
  <c r="M46" i="5" s="1"/>
  <c r="M51" i="5" s="1"/>
  <c r="M5" i="7" l="1"/>
  <c r="M6" i="10"/>
  <c r="M31" i="5"/>
  <c r="M33" i="5" s="1"/>
  <c r="M34" i="5" s="1"/>
  <c r="M37" i="5"/>
  <c r="L6" i="8"/>
  <c r="L9" i="8" s="1"/>
  <c r="M24" i="10" l="1"/>
  <c r="M22" i="10"/>
  <c r="L13" i="8"/>
  <c r="M26" i="10" s="1"/>
  <c r="N26" i="10"/>
  <c r="M13" i="7"/>
  <c r="M22" i="7" s="1"/>
  <c r="M23" i="7" s="1"/>
  <c r="M25" i="6" s="1"/>
  <c r="M6" i="6"/>
  <c r="M11" i="10" s="1"/>
  <c r="M14" i="10" s="1"/>
  <c r="M30" i="10" s="1"/>
  <c r="M22" i="6" l="1"/>
  <c r="M27" i="6" s="1"/>
  <c r="M19" i="10"/>
  <c r="M12" i="6"/>
  <c r="M9" i="10"/>
  <c r="M23" i="10" s="1"/>
  <c r="M29" i="10" l="1"/>
  <c r="M52" i="10"/>
  <c r="M53" i="10" s="1"/>
  <c r="M29" i="6"/>
  <c r="M31" i="10"/>
  <c r="M25" i="10"/>
</calcChain>
</file>

<file path=xl/sharedStrings.xml><?xml version="1.0" encoding="utf-8"?>
<sst xmlns="http://schemas.openxmlformats.org/spreadsheetml/2006/main" count="1749" uniqueCount="948">
  <si>
    <t>Sr. No.</t>
  </si>
  <si>
    <t xml:space="preserve">CAPITAL COST HEAD </t>
  </si>
  <si>
    <t>QTY.</t>
  </si>
  <si>
    <t xml:space="preserve">UNITS </t>
  </si>
  <si>
    <t>UNIT RATE (INR)</t>
  </si>
  <si>
    <t xml:space="preserve">SUB TOTAL </t>
  </si>
  <si>
    <t xml:space="preserve">DETAILED PROJECT COST </t>
  </si>
  <si>
    <t>INR (LAKH)</t>
  </si>
  <si>
    <t>%</t>
  </si>
  <si>
    <t xml:space="preserve">PROJECT COST AND MEANS OF FINANCE </t>
  </si>
  <si>
    <t xml:space="preserve">DETAILED ASSUMPTION </t>
  </si>
  <si>
    <t xml:space="preserve">PROJECTIONS </t>
  </si>
  <si>
    <t xml:space="preserve">UNIT </t>
  </si>
  <si>
    <t>ANNUAL QUANTITY</t>
  </si>
  <si>
    <t xml:space="preserve">YEAR </t>
  </si>
  <si>
    <t xml:space="preserve">1ST </t>
  </si>
  <si>
    <t>SCHEDULE OF SALARIES AND WAGES</t>
  </si>
  <si>
    <t xml:space="preserve">FINANCIAL RATIOS </t>
  </si>
  <si>
    <t xml:space="preserve">INVESTMENT INDICATION </t>
  </si>
  <si>
    <t xml:space="preserve">A. PAY BACK PERIOD </t>
  </si>
  <si>
    <t xml:space="preserve">1. PAYBACK PERIOD WITHOUT SUBSIDY </t>
  </si>
  <si>
    <t xml:space="preserve">TOTAL PROJECT COST </t>
  </si>
  <si>
    <t xml:space="preserve">B. INTERNAL RATE OF RETURN </t>
  </si>
  <si>
    <t xml:space="preserve">OPERATIONAL CASH INFLOW </t>
  </si>
  <si>
    <t>NET CASH FLOW</t>
  </si>
  <si>
    <t xml:space="preserve">NET PRESENT VALUE </t>
  </si>
  <si>
    <t>INTERNAL RATE OF RETURN (%)</t>
  </si>
  <si>
    <t xml:space="preserve">2. EQUITY IRR WITHOUT SUBSIDY </t>
  </si>
  <si>
    <t xml:space="preserve">INITIAL EQUITY OUTFLOW </t>
  </si>
  <si>
    <t>TOTAL SALES</t>
  </si>
  <si>
    <t>LESS ; VARIABLE COST</t>
  </si>
  <si>
    <t xml:space="preserve">CONTRIBUTION </t>
  </si>
  <si>
    <t>FIXED COST</t>
  </si>
  <si>
    <t xml:space="preserve">INTEREST </t>
  </si>
  <si>
    <t xml:space="preserve">DEPRECIATION </t>
  </si>
  <si>
    <t>TOTAL FIXED COST</t>
  </si>
  <si>
    <t>OPERATION BREAK EVEN (%)</t>
  </si>
  <si>
    <t>CASH BREAKEVEN (%)</t>
  </si>
  <si>
    <t>AVERAGE OPERATION BREAKEVEN (%)</t>
  </si>
  <si>
    <t>AVERAGE CASH BREAKEVEN (%)</t>
  </si>
  <si>
    <t>PROJECTED LIST PRICE @ 15 PE RATIO</t>
  </si>
  <si>
    <t xml:space="preserve">ANNUALIZED GROWTH RATE </t>
  </si>
  <si>
    <t xml:space="preserve">LIABILITIES </t>
  </si>
  <si>
    <t xml:space="preserve">TOTAL </t>
  </si>
  <si>
    <t xml:space="preserve">A. SOURCE OF FUND </t>
  </si>
  <si>
    <t>TOTAL</t>
  </si>
  <si>
    <t xml:space="preserve">B. APPLICATION OF FUNDS </t>
  </si>
  <si>
    <t>Net Surplus/ Deficit</t>
  </si>
  <si>
    <t xml:space="preserve">Cumulative Balance </t>
  </si>
  <si>
    <t xml:space="preserve">PBT </t>
  </si>
  <si>
    <t xml:space="preserve">% Production </t>
  </si>
  <si>
    <t>Sale of Bio-CNG</t>
  </si>
  <si>
    <t>Sale of CERs</t>
  </si>
  <si>
    <t>Gross Annual Sale</t>
  </si>
  <si>
    <t xml:space="preserve">VARIALBLE EXPENSES </t>
  </si>
  <si>
    <t>1. Raw Material</t>
  </si>
  <si>
    <t>Total Variable Cost</t>
  </si>
  <si>
    <t xml:space="preserve">FIXED EXPENSES </t>
  </si>
  <si>
    <t xml:space="preserve">1. Office and other Overheads </t>
  </si>
  <si>
    <t>Total Fixed Cost</t>
  </si>
  <si>
    <t xml:space="preserve">TOTAL PRODUCTION COST </t>
  </si>
  <si>
    <t>EBIDTA</t>
  </si>
  <si>
    <t>Interest on Term Loan</t>
  </si>
  <si>
    <t xml:space="preserve">Depreciation </t>
  </si>
  <si>
    <t>PBT</t>
  </si>
  <si>
    <t>PAT</t>
  </si>
  <si>
    <t xml:space="preserve">Add : Depreciation </t>
  </si>
  <si>
    <t xml:space="preserve">Repayment Obligations </t>
  </si>
  <si>
    <t xml:space="preserve">Cumulative Internal Accruals  </t>
  </si>
  <si>
    <t xml:space="preserve">Building </t>
  </si>
  <si>
    <t xml:space="preserve">WDV of Building </t>
  </si>
  <si>
    <t xml:space="preserve">Plant &amp; Machinery </t>
  </si>
  <si>
    <t>Total WDV</t>
  </si>
  <si>
    <t xml:space="preserve">Sub Total </t>
  </si>
  <si>
    <t xml:space="preserve">INCOME </t>
  </si>
  <si>
    <t xml:space="preserve">Gross Annual Sale </t>
  </si>
  <si>
    <t xml:space="preserve">EXPENSES </t>
  </si>
  <si>
    <t>VARIABLE OPERATING EXPENSES</t>
  </si>
  <si>
    <t xml:space="preserve">C. Misc. Factory Expenses </t>
  </si>
  <si>
    <t>Total Factory Overhead</t>
  </si>
  <si>
    <t xml:space="preserve">TOTAL VARIABLE EXPENSES </t>
  </si>
  <si>
    <t xml:space="preserve">FIXED OPERATING EXPENSES </t>
  </si>
  <si>
    <t>contd.</t>
  </si>
  <si>
    <t xml:space="preserve">TOTAL FIXED EXPENSES </t>
  </si>
  <si>
    <t>TOTAL EXPENSES</t>
  </si>
  <si>
    <t xml:space="preserve">TOTAL SAVINGS </t>
  </si>
  <si>
    <t xml:space="preserve">FINANCIAL CHARGES </t>
  </si>
  <si>
    <t xml:space="preserve">TOTAL FINANCIAL CHARGES </t>
  </si>
  <si>
    <t xml:space="preserve">Value </t>
  </si>
  <si>
    <t xml:space="preserve">Unit </t>
  </si>
  <si>
    <t xml:space="preserve">PARTICUALR </t>
  </si>
  <si>
    <t>I</t>
  </si>
  <si>
    <t>II</t>
  </si>
  <si>
    <t>PLANT UTILIZATION FACTOR</t>
  </si>
  <si>
    <t xml:space="preserve">COMPUTATION OF GAS GENERATION </t>
  </si>
  <si>
    <t>III</t>
  </si>
  <si>
    <t xml:space="preserve">ESTIMATION OF PRODUCTION </t>
  </si>
  <si>
    <t>A</t>
  </si>
  <si>
    <t>B</t>
  </si>
  <si>
    <t>C</t>
  </si>
  <si>
    <t>IV</t>
  </si>
  <si>
    <t xml:space="preserve">PLANT CAPACITY </t>
  </si>
  <si>
    <t>V</t>
  </si>
  <si>
    <t>VI</t>
  </si>
  <si>
    <t>VII</t>
  </si>
  <si>
    <t>VIII</t>
  </si>
  <si>
    <t>D</t>
  </si>
  <si>
    <t>E</t>
  </si>
  <si>
    <t>F</t>
  </si>
  <si>
    <t>G</t>
  </si>
  <si>
    <t>H</t>
  </si>
  <si>
    <t>J</t>
  </si>
  <si>
    <t xml:space="preserve">PROJECT COST </t>
  </si>
  <si>
    <t xml:space="preserve">MEANS OF FINACE </t>
  </si>
  <si>
    <t>Loan from Banks</t>
  </si>
  <si>
    <t>Subsidy from MNRE</t>
  </si>
  <si>
    <t xml:space="preserve">Miscellaneous Assets </t>
  </si>
  <si>
    <t xml:space="preserve">Working Capital Margin </t>
  </si>
  <si>
    <t>SUB TOTAL</t>
  </si>
  <si>
    <t xml:space="preserve">CIVIL WORK </t>
  </si>
  <si>
    <t xml:space="preserve">BUILDING </t>
  </si>
  <si>
    <t xml:space="preserve">BUILDING SERVICE </t>
  </si>
  <si>
    <t xml:space="preserve">PLANT &amp; MACHINERY </t>
  </si>
  <si>
    <t xml:space="preserve">Fire Fighting Equipments </t>
  </si>
  <si>
    <t>ORGANIC FERTILIZER PLANT</t>
  </si>
  <si>
    <t xml:space="preserve">MISCELLANEOUS ASSETS </t>
  </si>
  <si>
    <t xml:space="preserve">PRELIMINARY &amp; PRE-OPERATIVE EXPENSES </t>
  </si>
  <si>
    <t xml:space="preserve">PRE-OPERATIVE EXPENSES </t>
  </si>
  <si>
    <t xml:space="preserve">OFFICE EQUIPMENTS &amp; FURNITURE </t>
  </si>
  <si>
    <t>AC for factory 1.5 Ton</t>
  </si>
  <si>
    <t xml:space="preserve">PRELIMINARY EXPENSES </t>
  </si>
  <si>
    <t>TOTAL FOR PRELIMINARY &amp; PRE-OPERATIVE EXPENSES</t>
  </si>
  <si>
    <t>TOTAL PROJECT COST</t>
  </si>
  <si>
    <t xml:space="preserve">YEAR/                                           ASSET  HEAD </t>
  </si>
  <si>
    <t xml:space="preserve">2ND </t>
  </si>
  <si>
    <t xml:space="preserve">3RD </t>
  </si>
  <si>
    <t>4TH</t>
  </si>
  <si>
    <t>5TH</t>
  </si>
  <si>
    <t>6TH</t>
  </si>
  <si>
    <t>7TH</t>
  </si>
  <si>
    <t>8TH</t>
  </si>
  <si>
    <t>9TH</t>
  </si>
  <si>
    <t>10TH</t>
  </si>
  <si>
    <t>I. FACTORY WAGES &amp; SUPERVISION</t>
  </si>
  <si>
    <t xml:space="preserve">a) Workers Wages </t>
  </si>
  <si>
    <t xml:space="preserve">Category </t>
  </si>
  <si>
    <t xml:space="preserve">Number </t>
  </si>
  <si>
    <t xml:space="preserve">Average Monthly Salary </t>
  </si>
  <si>
    <t>No. of months/ year</t>
  </si>
  <si>
    <t xml:space="preserve">Total Annual Salary </t>
  </si>
  <si>
    <t xml:space="preserve">Skilled Workers </t>
  </si>
  <si>
    <t xml:space="preserve">Semi-Skilled Workers </t>
  </si>
  <si>
    <t>Un-Skilled Worker</t>
  </si>
  <si>
    <t xml:space="preserve">b) Factory Supervision </t>
  </si>
  <si>
    <t xml:space="preserve">Shift Supervisor </t>
  </si>
  <si>
    <t xml:space="preserve">Field Officer </t>
  </si>
  <si>
    <t>Store In-Charge</t>
  </si>
  <si>
    <t>Store Assistant</t>
  </si>
  <si>
    <t xml:space="preserve">Chemist </t>
  </si>
  <si>
    <t xml:space="preserve">Total Wages &amp; Salaries </t>
  </si>
  <si>
    <t>II. OFFICE STAFF</t>
  </si>
  <si>
    <t xml:space="preserve">General Manager </t>
  </si>
  <si>
    <t>Accounts Manager</t>
  </si>
  <si>
    <t xml:space="preserve">Accounts Assistant </t>
  </si>
  <si>
    <t xml:space="preserve">Office Assistant </t>
  </si>
  <si>
    <t>Total for Office Staff</t>
  </si>
  <si>
    <t>No. of daily Operation Hours</t>
  </si>
  <si>
    <t>No. of days per Annum</t>
  </si>
  <si>
    <t xml:space="preserve">Daily Input of Cattle Dung </t>
  </si>
  <si>
    <t xml:space="preserve">Daily Volume of Bio-CNG Generated </t>
  </si>
  <si>
    <t xml:space="preserve">Mass of Bio-CNG Generated </t>
  </si>
  <si>
    <t>SOLID BIO FERTILIZER PRODUCTION</t>
  </si>
  <si>
    <t xml:space="preserve">LIQUID FERTILIZER CONCENTRATE GENERATION </t>
  </si>
  <si>
    <t>Quantity of Phosphorus liquid fertilizer concentrate</t>
  </si>
  <si>
    <t xml:space="preserve">Total quantity of liquid fertilizer concentrate </t>
  </si>
  <si>
    <t xml:space="preserve">Total water requirement </t>
  </si>
  <si>
    <t xml:space="preserve">Bio-CNG Plant Capacity </t>
  </si>
  <si>
    <t xml:space="preserve">Compost Plant Capacity </t>
  </si>
  <si>
    <t xml:space="preserve">Liquid Fertilizer Concentrate Capacity </t>
  </si>
  <si>
    <t>ANNUAL OUTPUT ON 100% BASIS</t>
  </si>
  <si>
    <t>ANNUAL INPUT ON 100% BASIS</t>
  </si>
  <si>
    <t>UNIT PRICE</t>
  </si>
  <si>
    <t>PARASITIC CONSUMPTION OF POWER</t>
  </si>
  <si>
    <t xml:space="preserve">Load of Biogas Section </t>
  </si>
  <si>
    <t xml:space="preserve">Total Carbon Credit </t>
  </si>
  <si>
    <t>HHV of LPG</t>
  </si>
  <si>
    <t>HHV of Bio-CNG</t>
  </si>
  <si>
    <t>Selling price of Bio-CNG @ 80% of Commercial LPG</t>
  </si>
  <si>
    <t xml:space="preserve">Selling price of solid organic fertilizer </t>
  </si>
  <si>
    <t xml:space="preserve">Selling price of liquid fertilizer concentrate </t>
  </si>
  <si>
    <t>No.</t>
  </si>
  <si>
    <t>Capacity Utilization Factor</t>
  </si>
  <si>
    <t>85-100</t>
  </si>
  <si>
    <t>Kg</t>
  </si>
  <si>
    <t>M3</t>
  </si>
  <si>
    <t xml:space="preserve">Hour </t>
  </si>
  <si>
    <t>Days</t>
  </si>
  <si>
    <t>&lt;1%</t>
  </si>
  <si>
    <t>Ton</t>
  </si>
  <si>
    <t>M3/Day</t>
  </si>
  <si>
    <t>Kg/day</t>
  </si>
  <si>
    <t>INR/Kg</t>
  </si>
  <si>
    <t>INR</t>
  </si>
  <si>
    <t xml:space="preserve">Kg </t>
  </si>
  <si>
    <t>L/day</t>
  </si>
  <si>
    <t xml:space="preserve">Initial water for dilution of first charge </t>
  </si>
  <si>
    <t>KWe</t>
  </si>
  <si>
    <t>CERs</t>
  </si>
  <si>
    <t>m3/year</t>
  </si>
  <si>
    <t>Kcal/Kg</t>
  </si>
  <si>
    <t>ratio</t>
  </si>
  <si>
    <t>1.08/1</t>
  </si>
  <si>
    <t>INR/L</t>
  </si>
  <si>
    <t>KL</t>
  </si>
  <si>
    <t>INR/CER</t>
  </si>
  <si>
    <t>INR/MT</t>
  </si>
  <si>
    <t>Mtr.</t>
  </si>
  <si>
    <t>SET</t>
  </si>
  <si>
    <t>Ltr.</t>
  </si>
  <si>
    <t xml:space="preserve">SUB TOTAL FOR P. &amp; MACHINERY </t>
  </si>
  <si>
    <t>LOT</t>
  </si>
  <si>
    <t xml:space="preserve">TOTAL FOR P. &amp; MACHINERY </t>
  </si>
  <si>
    <t xml:space="preserve">Computer at factory </t>
  </si>
  <si>
    <t>Table chair set</t>
  </si>
  <si>
    <t>Conference chair and table set</t>
  </si>
  <si>
    <t xml:space="preserve">Provision for others </t>
  </si>
  <si>
    <t>Interest during construction period</t>
  </si>
  <si>
    <t xml:space="preserve">TOTAL PROJECT EXPENDITURE </t>
  </si>
  <si>
    <t xml:space="preserve">Bore well with Motor, Piping and Pump </t>
  </si>
  <si>
    <t>Multifunction laser printer at factory</t>
  </si>
  <si>
    <t xml:space="preserve">TOTAL FOR MISC. ASSETS </t>
  </si>
  <si>
    <t xml:space="preserve">Loss of Biogas by Leakage/ Seepage to Atmosphere </t>
  </si>
  <si>
    <t xml:space="preserve">Daily Volume of Biogas available for conversion into Bio-CNG </t>
  </si>
  <si>
    <t xml:space="preserve">Methane Slip or Loss during up-gradation </t>
  </si>
  <si>
    <t xml:space="preserve">Quantity of potassium &amp; nitrogen liquid fertilizer concentrate </t>
  </si>
  <si>
    <t>KW.e</t>
  </si>
  <si>
    <t>Load of auxiliaries at Bio-CNG Unit</t>
  </si>
  <si>
    <t xml:space="preserve">Bio-CNG to LPG energy equivalence </t>
  </si>
  <si>
    <t>INR/Ltr.</t>
  </si>
  <si>
    <t>AMOUNT  (INR)</t>
  </si>
  <si>
    <t>INR/Ton</t>
  </si>
  <si>
    <t>INR/KWh</t>
  </si>
  <si>
    <t>INR/DAY</t>
  </si>
  <si>
    <t>INR/MONTH</t>
  </si>
  <si>
    <t xml:space="preserve">% </t>
  </si>
  <si>
    <t>INR/YEAR</t>
  </si>
  <si>
    <t xml:space="preserve">WDV of Plant &amp; Machinery </t>
  </si>
  <si>
    <t xml:space="preserve">NET PROFITS BEFORE DEPRECIATON </t>
  </si>
  <si>
    <t>COST (INR)</t>
  </si>
  <si>
    <t xml:space="preserve">RAW MATERIAL </t>
  </si>
  <si>
    <t xml:space="preserve">Salaries to Office Staff </t>
  </si>
  <si>
    <t>Office and other Overheads</t>
  </si>
  <si>
    <t>Professional Fees</t>
  </si>
  <si>
    <t>Postage Telephone etc.</t>
  </si>
  <si>
    <t xml:space="preserve">Office Supplies </t>
  </si>
  <si>
    <t xml:space="preserve">R &amp; M of Plant &amp; Machinery </t>
  </si>
  <si>
    <t xml:space="preserve">Insurance @ 0.5% of assets </t>
  </si>
  <si>
    <t xml:space="preserve">Factory Workers and Supervision </t>
  </si>
  <si>
    <t xml:space="preserve">Misc. Office Expenses </t>
  </si>
  <si>
    <t xml:space="preserve">Provision for unforeseen expenses </t>
  </si>
  <si>
    <t>Sale of Solid &amp; Liquid Fertilizer</t>
  </si>
  <si>
    <t>ESCALATION FACTOR (5%)</t>
  </si>
  <si>
    <t>PROFITIBLITY PROJECTIONS  (INR Lakh)</t>
  </si>
  <si>
    <t xml:space="preserve">Solid/ Liquid Fertilizer Separator Unit </t>
  </si>
  <si>
    <t xml:space="preserve">TOTAL FOR CIVIL WORKS </t>
  </si>
  <si>
    <t xml:space="preserve">SUMMARY OF BIO-CNG PROJECT ECONOMICS </t>
  </si>
  <si>
    <t>PARAMETERS</t>
  </si>
  <si>
    <t xml:space="preserve">Capacities </t>
  </si>
  <si>
    <t>Biogas Plant Capacity</t>
  </si>
  <si>
    <t>Bio-CNG Plant Capacity</t>
  </si>
  <si>
    <t>Carbon dioxide Plant Capacity</t>
  </si>
  <si>
    <t xml:space="preserve">Captive Power Plant Capacity </t>
  </si>
  <si>
    <t>Consumption &amp; Output @ 100% Capacity</t>
  </si>
  <si>
    <t xml:space="preserve">Annual Consumption of Cattle Dung as received </t>
  </si>
  <si>
    <t xml:space="preserve">Annual Consumption of Sugar Cane Press Mud </t>
  </si>
  <si>
    <t>Annual Consumption of other bio-degradable stuff</t>
  </si>
  <si>
    <t xml:space="preserve">Parasitic Consumption of Electricity for Factory Use </t>
  </si>
  <si>
    <t xml:space="preserve">Maximum Quantity of Biogas Generated </t>
  </si>
  <si>
    <t xml:space="preserve">Maximum Quantity of Bio-CNG Exported </t>
  </si>
  <si>
    <t xml:space="preserve">Maximum Quantity of Carbon dioxide Gas Generated </t>
  </si>
  <si>
    <t xml:space="preserve">Maximum Quantity of Compost  Generated </t>
  </si>
  <si>
    <t xml:space="preserve">Maximum Quantity of Liquid Fertilizer Generated </t>
  </si>
  <si>
    <t xml:space="preserve">Selling Price and Cost </t>
  </si>
  <si>
    <t xml:space="preserve">Selling Price of Bio-CNG @ 90% of current market Price of Commercial LPG </t>
  </si>
  <si>
    <t xml:space="preserve">Selling Price of CERs @ USD 5 </t>
  </si>
  <si>
    <t>Cost of Cattle Dung including Transportation cost</t>
  </si>
  <si>
    <t>Cost of food Waste including Transportation cost</t>
  </si>
  <si>
    <t xml:space="preserve">Cost of Iron Fillings </t>
  </si>
  <si>
    <t xml:space="preserve">Cost of Water </t>
  </si>
  <si>
    <t xml:space="preserve">Cost of Electricity  </t>
  </si>
  <si>
    <t xml:space="preserve">Investment Summary </t>
  </si>
  <si>
    <t>Land</t>
  </si>
  <si>
    <t xml:space="preserve">Preliminary and Pre-Operative Expenses </t>
  </si>
  <si>
    <t xml:space="preserve">working Capital Margin </t>
  </si>
  <si>
    <t xml:space="preserve">MEANS OF FINANCE </t>
  </si>
  <si>
    <t>Equity and Preference Share Capital @ 30%</t>
  </si>
  <si>
    <t xml:space="preserve">Loan from Banks </t>
  </si>
  <si>
    <t xml:space="preserve">Total </t>
  </si>
  <si>
    <t>Financial Indicators @ 85% CUF</t>
  </si>
  <si>
    <t xml:space="preserve">Total Project Cost </t>
  </si>
  <si>
    <t>Less : Capital subsidy from MNRE</t>
  </si>
  <si>
    <t>Less : IT saving on accelerated Depreciation</t>
  </si>
  <si>
    <t>Net Project Cost</t>
  </si>
  <si>
    <t>Project Profitability</t>
  </si>
  <si>
    <t>Sale of Carbon-di-oxide</t>
  </si>
  <si>
    <t>Sale of Compost</t>
  </si>
  <si>
    <t>sale of Liquid Fertilizer</t>
  </si>
  <si>
    <t xml:space="preserve">Total Interest </t>
  </si>
  <si>
    <t>Depreciation</t>
  </si>
  <si>
    <t>Average operation Break Even (%)</t>
  </si>
  <si>
    <t>Average Cash Break Even (%)</t>
  </si>
  <si>
    <t>Average DSCR</t>
  </si>
  <si>
    <t xml:space="preserve">Payback Period without Capital Subsidy </t>
  </si>
  <si>
    <t xml:space="preserve">Payback Period with Capital Subsidy </t>
  </si>
  <si>
    <t xml:space="preserve">IRR on Project Cost without Subsidy </t>
  </si>
  <si>
    <t xml:space="preserve">IRR on Equity Capital without Subsidy </t>
  </si>
  <si>
    <t xml:space="preserve">Total  </t>
  </si>
  <si>
    <t>Kg/Day</t>
  </si>
  <si>
    <t>Ltr/Day</t>
  </si>
  <si>
    <t>TON</t>
  </si>
  <si>
    <t>INR/TON</t>
  </si>
  <si>
    <t xml:space="preserve">Cost of sugarcane press mud </t>
  </si>
  <si>
    <t>Interest Rate</t>
  </si>
  <si>
    <t>Sum</t>
  </si>
  <si>
    <t>Year</t>
  </si>
  <si>
    <t>Interest</t>
  </si>
  <si>
    <t>Preliminary Expenses Written Off</t>
  </si>
  <si>
    <t>Cash Flow</t>
  </si>
  <si>
    <t>PAYBACK PERIOD (Years)</t>
  </si>
  <si>
    <t>K =</t>
  </si>
  <si>
    <t>PVCF</t>
  </si>
  <si>
    <t>PVCI</t>
  </si>
  <si>
    <t>Investment</t>
  </si>
  <si>
    <t>Less</t>
  </si>
  <si>
    <t>NPV</t>
  </si>
  <si>
    <t>IRR</t>
  </si>
  <si>
    <t xml:space="preserve">Maximum Quantity of Bio-CNG Generated  </t>
  </si>
  <si>
    <t>INR/KW.h</t>
  </si>
  <si>
    <t>Financial Indicators @ 100% CUF</t>
  </si>
  <si>
    <t xml:space="preserve">Fertilizer Unit bagging system and accessories    </t>
  </si>
  <si>
    <t xml:space="preserve">No. of Working days Per Annum </t>
  </si>
  <si>
    <t xml:space="preserve">Sale of Compost/ Solid Manure  </t>
  </si>
  <si>
    <t xml:space="preserve">Sale of Liquid Fertilizer </t>
  </si>
  <si>
    <t xml:space="preserve">For Auxiliaries for Captive Power for Bio-CNG factory </t>
  </si>
  <si>
    <t xml:space="preserve">GROSS TOTAL  </t>
  </si>
  <si>
    <t xml:space="preserve">CCTV Camera system </t>
  </si>
  <si>
    <t xml:space="preserve">GST on Plant and Machinery </t>
  </si>
  <si>
    <t>L</t>
  </si>
  <si>
    <t>GST</t>
  </si>
  <si>
    <t xml:space="preserve">Way Bridge cum Security Room </t>
  </si>
  <si>
    <t xml:space="preserve">Gate </t>
  </si>
  <si>
    <t xml:space="preserve">Admin Office </t>
  </si>
  <si>
    <t>K</t>
  </si>
  <si>
    <t>M</t>
  </si>
  <si>
    <t>N</t>
  </si>
  <si>
    <t>O</t>
  </si>
  <si>
    <t>P</t>
  </si>
  <si>
    <t>Q</t>
  </si>
  <si>
    <t>R</t>
  </si>
  <si>
    <t xml:space="preserve">SQMT </t>
  </si>
  <si>
    <t xml:space="preserve">CUMT </t>
  </si>
  <si>
    <t xml:space="preserve">Equipment Foundations </t>
  </si>
  <si>
    <t>Heating System</t>
  </si>
  <si>
    <t>SS Bar Grill</t>
  </si>
  <si>
    <t>Platform mixing tank</t>
  </si>
  <si>
    <t>Auto Valves</t>
  </si>
  <si>
    <t>Flanges</t>
  </si>
  <si>
    <t>Wall mounting Flanges</t>
  </si>
  <si>
    <t>Fitting Material of Flanges</t>
  </si>
  <si>
    <t>Pump for slurry Transfer</t>
  </si>
  <si>
    <t>Manual Valves</t>
  </si>
  <si>
    <t>Spider Ring</t>
  </si>
  <si>
    <t>Nylon Belts</t>
  </si>
  <si>
    <t>Nylon Rope Net</t>
  </si>
  <si>
    <t>Wall Flanges</t>
  </si>
  <si>
    <t>Pipes</t>
  </si>
  <si>
    <t>Pipe fittings</t>
  </si>
  <si>
    <t>Inspection Window</t>
  </si>
  <si>
    <t xml:space="preserve">Other Fitting &amp; Fixtures </t>
  </si>
  <si>
    <t>Electrical &amp; Electronics Requirements</t>
  </si>
  <si>
    <t>Electrical Control panel</t>
  </si>
  <si>
    <t>Earthings</t>
  </si>
  <si>
    <t>BIO-CNG STORAGE</t>
  </si>
  <si>
    <t>Clearing Forwarding, Handling &amp; Freight Cost</t>
  </si>
  <si>
    <t xml:space="preserve">Annual Operational Spares </t>
  </si>
  <si>
    <t xml:space="preserve">Laboratory and Analytical Equipments </t>
  </si>
  <si>
    <t>OTHER IMPORTANT ITEMS</t>
  </si>
  <si>
    <t xml:space="preserve">Cash Margin </t>
  </si>
  <si>
    <t>Potable Water day Storage (1500 L)</t>
  </si>
  <si>
    <t xml:space="preserve">load point </t>
  </si>
  <si>
    <t>operatin time</t>
  </si>
  <si>
    <t>3X 15 hp screw pump</t>
  </si>
  <si>
    <t>grinder 5 hp X 2</t>
  </si>
  <si>
    <t>agitator mixing pit 15 hp x 2</t>
  </si>
  <si>
    <t>digestor agitator 5 x 15 hp</t>
  </si>
  <si>
    <t>digestor agitator 4 x 10 hp</t>
  </si>
  <si>
    <t>air blower for balloon 2 x 2 hp</t>
  </si>
  <si>
    <t xml:space="preserve">solid liquid seperator 7.5 hp </t>
  </si>
  <si>
    <t>filling compressor 100 hp</t>
  </si>
  <si>
    <t xml:space="preserve">shreder 60 hp x 2 </t>
  </si>
  <si>
    <t>utility load 10 kw</t>
  </si>
  <si>
    <t>Power KW</t>
  </si>
  <si>
    <t>purification plant load 100 hp</t>
  </si>
  <si>
    <t>Equipments/ Machinery For Digester Tank Equipments</t>
  </si>
  <si>
    <t>Equipments/ Machinery For Fertilizer Tank</t>
  </si>
  <si>
    <t>Equipments/ Machinery For Feed Mixing Tank</t>
  </si>
  <si>
    <t>N/A</t>
  </si>
  <si>
    <t>WATER CONSUMPTION</t>
  </si>
  <si>
    <t>Month</t>
  </si>
  <si>
    <t>Selling Price of Organic Fertilizer</t>
  </si>
  <si>
    <t>Annual Consumption of Water</t>
  </si>
  <si>
    <t xml:space="preserve">Annual Consumption of Cattle Dung as Received </t>
  </si>
  <si>
    <t>Solid Liquid Separator Platform</t>
  </si>
  <si>
    <t>Drawing, Design, Architectural, Work</t>
  </si>
  <si>
    <t>DEPRECIATION DSCHEDULE AS PER COMPANY LAW                                                   (Lakh INR)</t>
  </si>
  <si>
    <t xml:space="preserve">Maximum Quantity of bio-CNG Generated </t>
  </si>
  <si>
    <t>Maximum Quantity of Compost Produced</t>
  </si>
  <si>
    <t xml:space="preserve">Maximum Quantity of liquid fertilizer concentrate generated </t>
  </si>
  <si>
    <t xml:space="preserve">PROJECT SITE &amp; LAND DEVELOPMENT </t>
  </si>
  <si>
    <t xml:space="preserve">Weighbridge &amp; other equip. </t>
  </si>
  <si>
    <t>HP</t>
  </si>
  <si>
    <t>Side Entry Agitators For mixing and circulation</t>
  </si>
  <si>
    <t>Double Membrane Digester Roof/Balloon</t>
  </si>
  <si>
    <t>Lum</t>
  </si>
  <si>
    <t>Top Entry Agitator</t>
  </si>
  <si>
    <t>Roots Blower</t>
  </si>
  <si>
    <t>Vacuum Pump with FLP Motor</t>
  </si>
  <si>
    <t xml:space="preserve">BioCNG Surge tank </t>
  </si>
  <si>
    <t>BIOCNG Storge Tank</t>
  </si>
  <si>
    <t xml:space="preserve">High Pressure line upto Compressor to Cascade </t>
  </si>
  <si>
    <t>PLC Control panel, Power panel, Cable for all these from field to panel room</t>
  </si>
  <si>
    <t>Automation Elements</t>
  </si>
  <si>
    <t>Electrical Wiring, Bus Bar, Joints, Protectors,Eathing etc.</t>
  </si>
  <si>
    <t>Electrical distribution panel</t>
  </si>
  <si>
    <t xml:space="preserve">Grid Transformer/LBS/HTMC for Plant </t>
  </si>
  <si>
    <t>Other High pressure accessories</t>
  </si>
  <si>
    <t>Product Gas Analysers
Online gas Monitoring system with Analyser for H2S,CH4,O2,Co2
Online dew point meter (Optional)</t>
  </si>
  <si>
    <t xml:space="preserve">Pumping Equipments &amp; Grinder </t>
  </si>
  <si>
    <t xml:space="preserve">Screw Pump for Slurry transfer </t>
  </si>
  <si>
    <t xml:space="preserve">Grinder </t>
  </si>
  <si>
    <t xml:space="preserve">Piping &amp; Valves </t>
  </si>
  <si>
    <t>&lt;2%</t>
  </si>
  <si>
    <t xml:space="preserve">Daily Recycled Water </t>
  </si>
  <si>
    <t xml:space="preserve">Load of Biogas Up-gradation Section &amp; Recovery </t>
  </si>
  <si>
    <t xml:space="preserve">Load of Bio-CNG Compression Unit  </t>
  </si>
  <si>
    <t>KW.h</t>
  </si>
  <si>
    <t>Running Load</t>
  </si>
  <si>
    <t xml:space="preserve">Annual Consumption of Power </t>
  </si>
  <si>
    <t>KG</t>
  </si>
  <si>
    <t>Cost of Other Bio-degradable Dry(Agro) Biomass Poultry Droppings etc.</t>
  </si>
  <si>
    <t>Term Loan servicing for 7 Years based on EMI (capital repayment + interest @ 8.8% P.A.</t>
  </si>
  <si>
    <t xml:space="preserve">Civil Work </t>
  </si>
  <si>
    <t>Particulars</t>
  </si>
  <si>
    <t>Subtotal</t>
  </si>
  <si>
    <t>DSCR</t>
  </si>
  <si>
    <t>DSCR Calculation</t>
  </si>
  <si>
    <t>PAT (Proft After Tax)</t>
  </si>
  <si>
    <t>Opening Stock</t>
  </si>
  <si>
    <t>Add - Purchase During the year</t>
  </si>
  <si>
    <t>Less - Closing Stock</t>
  </si>
  <si>
    <t>COGS</t>
  </si>
  <si>
    <t>Trade Paybles</t>
  </si>
  <si>
    <t>(days)</t>
  </si>
  <si>
    <t>Trade Receivables</t>
  </si>
  <si>
    <t>Inventories</t>
  </si>
  <si>
    <t>Overheads</t>
  </si>
  <si>
    <t>Current Assets</t>
  </si>
  <si>
    <t>Current Liabilities</t>
  </si>
  <si>
    <t xml:space="preserve">Amt </t>
  </si>
  <si>
    <t>Total CoP</t>
  </si>
  <si>
    <t>WDV rate</t>
  </si>
  <si>
    <t>Civil Work / Construction</t>
  </si>
  <si>
    <t>Plant &amp; Machinery</t>
  </si>
  <si>
    <t>Tax Calulation</t>
  </si>
  <si>
    <t>Add : SLM</t>
  </si>
  <si>
    <t>Less : WDV</t>
  </si>
  <si>
    <t>Taxable Income / Proft</t>
  </si>
  <si>
    <t>Carry forward of loss</t>
  </si>
  <si>
    <t>Set off of loss</t>
  </si>
  <si>
    <t>Net taxable income</t>
  </si>
  <si>
    <t>Tax on Income @ 33.99%</t>
  </si>
  <si>
    <t>MAT</t>
  </si>
  <si>
    <t>Actual Tax</t>
  </si>
  <si>
    <t xml:space="preserve">Total SLM Depreciation </t>
  </si>
  <si>
    <t>Other Misc Fix Assets</t>
  </si>
  <si>
    <t>Other Fix Assets</t>
  </si>
  <si>
    <t xml:space="preserve">Total WDV Depreciation </t>
  </si>
  <si>
    <t>WDV of Other Fix Assets</t>
  </si>
  <si>
    <t xml:space="preserve">Less : Depreciation </t>
  </si>
  <si>
    <t>Gross Assets</t>
  </si>
  <si>
    <t>Preliminary Expense</t>
  </si>
  <si>
    <t>Total Gross Block</t>
  </si>
  <si>
    <t>CURRENT ASSETS</t>
  </si>
  <si>
    <t>Total Trade Paybles</t>
  </si>
  <si>
    <t>Secured Loan</t>
  </si>
  <si>
    <t>Reserve &amp; Surplus</t>
  </si>
  <si>
    <t>Trade Receivable</t>
  </si>
  <si>
    <t xml:space="preserve">Inventory </t>
  </si>
  <si>
    <t>PRELIMINARY EXPENSES W/off</t>
  </si>
  <si>
    <t xml:space="preserve">Capital Expenses </t>
  </si>
  <si>
    <t>Trade paybles</t>
  </si>
  <si>
    <t xml:space="preserve">Net Profit </t>
  </si>
  <si>
    <t xml:space="preserve">Decrease in Term Loan </t>
  </si>
  <si>
    <t>Opening Balance</t>
  </si>
  <si>
    <t>Prelm Exps w/off</t>
  </si>
  <si>
    <t>Diff</t>
  </si>
  <si>
    <t>CASH FLOW STATEMENT (INR Lakh)</t>
  </si>
  <si>
    <t>PROFORMA BALANCE  SHEET (INR Lakh)</t>
  </si>
  <si>
    <t>CIVIL WORK</t>
  </si>
  <si>
    <t>OTHER FIXED ASSETS</t>
  </si>
  <si>
    <t>NET BLOCK</t>
  </si>
  <si>
    <t>CASH &amp; BANK</t>
  </si>
  <si>
    <t>Cash accrual</t>
  </si>
  <si>
    <t>Net cash accrual</t>
  </si>
  <si>
    <t>CASH ACCRUAL</t>
  </si>
  <si>
    <t>CUMULATIVE CASH ACCRUAL</t>
  </si>
  <si>
    <t>Net Flow</t>
  </si>
  <si>
    <t>Subsidy Inflow</t>
  </si>
  <si>
    <t>Office boy</t>
  </si>
  <si>
    <t>Net WC</t>
  </si>
  <si>
    <t>Working Cap Margin</t>
  </si>
  <si>
    <t>NET PROFIT BEFORE INT. &amp; DEP.</t>
  </si>
  <si>
    <t>PROFIT BEFORE INT &amp; TAX</t>
  </si>
  <si>
    <t xml:space="preserve">TERM LOAN INTEREST </t>
  </si>
  <si>
    <t xml:space="preserve">CAPITAL EMPLOYED </t>
  </si>
  <si>
    <t xml:space="preserve">CAPITAL INVESTMENT </t>
  </si>
  <si>
    <t xml:space="preserve">NET WORTH </t>
  </si>
  <si>
    <t>SALES REVENUE</t>
  </si>
  <si>
    <t>RETURN ON SALE (%)</t>
  </si>
  <si>
    <t>RETURN ON CAPITAL (%)</t>
  </si>
  <si>
    <t>RETURN ON INVESTMENT</t>
  </si>
  <si>
    <t xml:space="preserve">RETURN ON NET WORTH </t>
  </si>
  <si>
    <t xml:space="preserve">AVERAGE DSCR </t>
  </si>
  <si>
    <t xml:space="preserve">FIXED ASSETS COVERAGE </t>
  </si>
  <si>
    <t>TERM LOAN</t>
  </si>
  <si>
    <t xml:space="preserve">BREAK EVEN POINT </t>
  </si>
  <si>
    <t>Profit / PBT</t>
  </si>
  <si>
    <t xml:space="preserve">PV RATIO </t>
  </si>
  <si>
    <t xml:space="preserve">BEP  Sales </t>
  </si>
  <si>
    <t xml:space="preserve">BEP% </t>
  </si>
  <si>
    <t>SLM Depreciation - Build</t>
  </si>
  <si>
    <t>SLM Depreciation - P&amp;M</t>
  </si>
  <si>
    <t>SLM Depreciation - Other Fix Asst</t>
  </si>
  <si>
    <t>Land Lease Registration</t>
  </si>
  <si>
    <t xml:space="preserve">Sales </t>
  </si>
  <si>
    <t>Raw Material</t>
  </si>
  <si>
    <t xml:space="preserve">Overheads </t>
  </si>
  <si>
    <t>Interest on Working Capital Loan</t>
  </si>
  <si>
    <t>CC Loan</t>
  </si>
  <si>
    <t>Total Loan</t>
  </si>
  <si>
    <t>Cost of Pddy/ Wheat Straw, /Nappier Grass/ Other Agro-Waste</t>
  </si>
  <si>
    <t>Annual Consumption of Pddy/ Wheat Straw, /Nappier Grass/ Other Agro-Waste</t>
  </si>
  <si>
    <t>GST on Bio-Gas plant</t>
  </si>
  <si>
    <t>WORKING CAPITAL INTEREST</t>
  </si>
  <si>
    <t>INTEREST COVERAGE RATIO</t>
  </si>
  <si>
    <t>CURRENT LIABILITIES</t>
  </si>
  <si>
    <t>CURRENT RATIO</t>
  </si>
  <si>
    <t>Increase in CC Limit</t>
  </si>
  <si>
    <t>CC Limit</t>
  </si>
  <si>
    <t xml:space="preserve">Loan Schedule </t>
  </si>
  <si>
    <t>FY</t>
  </si>
  <si>
    <t>Total</t>
  </si>
  <si>
    <t>Repayment</t>
  </si>
  <si>
    <t>Closing Principal o/s</t>
  </si>
  <si>
    <t>IDC</t>
  </si>
  <si>
    <t>TL Interest</t>
  </si>
  <si>
    <t>S N</t>
  </si>
  <si>
    <t>Loan Amount</t>
  </si>
  <si>
    <t>Rep Year</t>
  </si>
  <si>
    <t>Qrtrly Pay</t>
  </si>
  <si>
    <t>Op Bal</t>
  </si>
  <si>
    <t>Repay</t>
  </si>
  <si>
    <t>Cl Bal</t>
  </si>
  <si>
    <t>April - June</t>
  </si>
  <si>
    <t>July-Sep</t>
  </si>
  <si>
    <t>Oct-Dec</t>
  </si>
  <si>
    <t>Jan-March</t>
  </si>
  <si>
    <t>Working Capital</t>
  </si>
  <si>
    <t>RoI</t>
  </si>
  <si>
    <t>WC LIMIT</t>
  </si>
  <si>
    <t>Operational Month</t>
  </si>
  <si>
    <t>WC Interest</t>
  </si>
  <si>
    <t>Rs in Lakhs</t>
  </si>
  <si>
    <t>Bulleted</t>
  </si>
  <si>
    <t>%age p.a</t>
  </si>
  <si>
    <t>SECURED LOAN</t>
  </si>
  <si>
    <t>DEBT - EQUITY RATIO</t>
  </si>
  <si>
    <t>Increase in TL</t>
  </si>
  <si>
    <t xml:space="preserve">Waste shredder </t>
  </si>
  <si>
    <t>Valves</t>
  </si>
  <si>
    <t>Heating System Valves</t>
  </si>
  <si>
    <t>Tractor and trolley</t>
  </si>
  <si>
    <t>Tractor with loader</t>
  </si>
  <si>
    <t xml:space="preserve">Agitator </t>
  </si>
  <si>
    <t xml:space="preserve">Technical Room </t>
  </si>
  <si>
    <t xml:space="preserve">Feeding Pump </t>
  </si>
  <si>
    <t xml:space="preserve">Ladder </t>
  </si>
  <si>
    <t xml:space="preserve">Solid Liquid Seperator </t>
  </si>
  <si>
    <t>Gas Purification &amp; Compressor Unit</t>
  </si>
  <si>
    <t xml:space="preserve">Underground Water/ Slurry Storage </t>
  </si>
  <si>
    <t>Machinery Shed (Purification and Compressor)</t>
  </si>
  <si>
    <t>Fertilizer Shed with Packing</t>
  </si>
  <si>
    <t xml:space="preserve">Digested Slurry Tank </t>
  </si>
  <si>
    <t>CUMT</t>
  </si>
  <si>
    <t>S</t>
  </si>
  <si>
    <t>CNG Transport vehicle</t>
  </si>
  <si>
    <t>H2S Removal System</t>
  </si>
  <si>
    <t>Accessories</t>
  </si>
  <si>
    <t>NA</t>
  </si>
  <si>
    <t xml:space="preserve">BIOCNG Filling header </t>
  </si>
  <si>
    <t>CNG cylinder Filling Header</t>
  </si>
  <si>
    <t>Electrical ,Instrumentation &amp; Control Panel etc.</t>
  </si>
  <si>
    <t>Pressure &amp; temperature measuring system</t>
  </si>
  <si>
    <t>Flow measuring system</t>
  </si>
  <si>
    <t>Automatic valves for Biogas line and slurry line</t>
  </si>
  <si>
    <t xml:space="preserve">PH sensor ,Level sensor,Ammonia sensor
</t>
  </si>
  <si>
    <t>Methane leak detection and alarm system</t>
  </si>
  <si>
    <t>kg/Day</t>
  </si>
  <si>
    <t>Equivalent price of CNG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</si>
  <si>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</si>
  <si>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</si>
  <si>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</si>
  <si>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</si>
  <si>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</si>
  <si>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</si>
  <si>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</si>
  <si>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</si>
  <si>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</si>
  <si>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</si>
  <si>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</si>
  <si>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Disb</t>
  </si>
  <si>
    <t>Disbursement</t>
  </si>
  <si>
    <t>Opening Bal</t>
  </si>
  <si>
    <t>Interest During Construction (IDC)</t>
  </si>
  <si>
    <t>Working Capital Margin (WCM)</t>
  </si>
  <si>
    <t>WCM, IDC &amp; Cont</t>
  </si>
  <si>
    <t xml:space="preserve">Biomass Handling Facility </t>
  </si>
  <si>
    <t>15 X 2</t>
  </si>
  <si>
    <t xml:space="preserve">350 M3/hr Recovery System - 2 Tower Based System
</t>
  </si>
  <si>
    <t>350 m3 per hr Methane   Recovery System</t>
  </si>
  <si>
    <t>High pressure Fittings</t>
  </si>
  <si>
    <t xml:space="preserve">Quantity of Compost produced from dry Sludge </t>
  </si>
  <si>
    <t>Main Digester (Dia 32 Mtr.)</t>
  </si>
  <si>
    <t xml:space="preserve">Top Entry Type Agitator 15 HP/Variable RPM  </t>
  </si>
  <si>
    <t>Annual Input of chicken (poultry) manure</t>
  </si>
  <si>
    <t xml:space="preserve">40 Cylinder Cascade </t>
  </si>
  <si>
    <t xml:space="preserve">Shed for  Filling header with cylinder cascade </t>
  </si>
  <si>
    <t>Nos.</t>
  </si>
  <si>
    <t>Cables</t>
  </si>
  <si>
    <t xml:space="preserve">Both side PVC coated fabric/Balloon -2 Set </t>
  </si>
  <si>
    <t xml:space="preserve">Under Pressure protection &amp; over pressure Valve-2 Set </t>
  </si>
  <si>
    <t>CONTINGENCIES EXPENSES</t>
  </si>
  <si>
    <t>SN</t>
  </si>
  <si>
    <t>YEAR</t>
  </si>
  <si>
    <t>Constr</t>
  </si>
  <si>
    <t>12 M</t>
  </si>
  <si>
    <t>Particulars / YEAR</t>
  </si>
  <si>
    <t>12M</t>
  </si>
  <si>
    <t>(Rs in Lakhs)</t>
  </si>
  <si>
    <t>Feed Mixing Tank (2 x300 CUM)</t>
  </si>
  <si>
    <t>700 m3/hr Catalyst Tower based H2S Removal system (H2S &lt;= 1500 ppm)</t>
  </si>
  <si>
    <t>700 M3 /hr Biogas Up gradation Plant  as per given scope of supply 4 Tower Based systems</t>
  </si>
  <si>
    <t>700 m3/hr Biogas Moisture removal system 
Heat exchanger with moisture separator</t>
  </si>
  <si>
    <t>700 m3/hr Four Towers (Composite bed) VPSA Unit for removal of H2O, CO2 with Surge vessel and inter connected piping and valves &amp; Instruments for safe operation of the plant</t>
  </si>
  <si>
    <t>DG Set FOR Backup Power 25 kVA</t>
  </si>
  <si>
    <t xml:space="preserve">Single memerane Balloon/Biogas Tank </t>
  </si>
  <si>
    <t>EOT Single Grider Crane flame proof As per PESO</t>
  </si>
  <si>
    <t xml:space="preserve">Daily Input of Sugar Cane Press Mud  </t>
  </si>
  <si>
    <t>Annual Input of Sugarcane Pressmud including Trasporation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</si>
  <si>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</si>
  <si>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</si>
  <si>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</si>
  <si>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</si>
  <si>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</si>
  <si>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</si>
  <si>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</si>
  <si>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</si>
  <si>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</si>
  <si>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</si>
  <si>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</si>
  <si>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</si>
  <si>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Assumptions</t>
  </si>
  <si>
    <t>1st Disbursement</t>
  </si>
  <si>
    <t>IDC Start &amp; End Month</t>
  </si>
  <si>
    <t>IDC Period</t>
  </si>
  <si>
    <t>Commencement /Operation Start</t>
  </si>
  <si>
    <t>Moratorium Start &amp; End Month (only interst to pay)</t>
  </si>
  <si>
    <t>Moratorium Period</t>
  </si>
  <si>
    <t>Repayment of Loan</t>
  </si>
  <si>
    <t>Repayment Start</t>
  </si>
  <si>
    <t>Repayment End</t>
  </si>
  <si>
    <t>Repayment Period</t>
  </si>
  <si>
    <t>10 Years (120 Months)</t>
  </si>
  <si>
    <t>Rate of Interest</t>
  </si>
  <si>
    <t>Average</t>
  </si>
  <si>
    <t>Subsidy  (To be Adjusted in Loan Account after Project is Commissioned)</t>
  </si>
  <si>
    <t>Repay (%)</t>
  </si>
  <si>
    <t xml:space="preserve">            </t>
  </si>
  <si>
    <t xml:space="preserve"> Loan Schedule</t>
  </si>
  <si>
    <t>Feed Preparation Platform with Pump</t>
  </si>
  <si>
    <t>Technical room/panel room + Lab Area + Security Office</t>
  </si>
  <si>
    <t>Staff Room with Kitchen, Bathroom (3 BHK House)</t>
  </si>
  <si>
    <t>T</t>
  </si>
  <si>
    <t>Labours Rooms</t>
  </si>
  <si>
    <t>Lagoon</t>
  </si>
  <si>
    <t>Boundary (Total Length 800Mtr.)</t>
  </si>
  <si>
    <t>Internal Road 8 Mtr Wide) Length-730 Mtr</t>
  </si>
  <si>
    <t xml:space="preserve">Toilet Block + parcking </t>
  </si>
  <si>
    <t xml:space="preserve">350-400 m3/hr Biogas Booster compressors for Providing 250 bar pressure at outlet. </t>
  </si>
  <si>
    <t>Waste  and BioCNG handling Equipments</t>
  </si>
  <si>
    <t xml:space="preserve">350-400 m3/hr BioCNG Booster compressor </t>
  </si>
  <si>
    <t>2034-35</t>
  </si>
  <si>
    <t>Power</t>
  </si>
  <si>
    <t xml:space="preserve">Power </t>
  </si>
  <si>
    <t>2. Power</t>
  </si>
  <si>
    <t xml:space="preserve">3. Factory Overheads </t>
  </si>
  <si>
    <t>6 Month</t>
  </si>
  <si>
    <t xml:space="preserve">Equity </t>
  </si>
  <si>
    <t xml:space="preserve">Loan processing fee @ 0.40% of loan </t>
  </si>
  <si>
    <t>Other professional fees @ 0.15% of project cost</t>
  </si>
  <si>
    <t xml:space="preserve">Term liabilities payable within one year </t>
  </si>
  <si>
    <t>Equity</t>
  </si>
  <si>
    <t>2 Lease Rental</t>
  </si>
  <si>
    <t>Apr</t>
  </si>
  <si>
    <t>12 Month</t>
  </si>
  <si>
    <t xml:space="preserve">Annual Consumption of Cattle Dung including Trasporation </t>
  </si>
  <si>
    <t>INR/KG</t>
  </si>
  <si>
    <t>BioCNG Transportation Cost</t>
  </si>
  <si>
    <t xml:space="preserve">Daily Volume of Biogas Generation as per Plant Design Capcity </t>
  </si>
  <si>
    <t>Daily Volume of Biogas Generation (Design Capacity x 90 %)</t>
  </si>
  <si>
    <t xml:space="preserve">Bio-CNG Plant Design Capacity </t>
  </si>
  <si>
    <t>Biogas Plant Generation  (Design Capcity x 90 %)</t>
  </si>
  <si>
    <t>July-23 to June-24</t>
  </si>
  <si>
    <t>July-24 to Dec-24</t>
  </si>
  <si>
    <t>Constr/ 9M</t>
  </si>
  <si>
    <t>3. BioCNG Transportation Cost</t>
  </si>
  <si>
    <t>9M</t>
  </si>
  <si>
    <t>4. Preliminary Expenses Written off</t>
  </si>
  <si>
    <t>Promoters' Margin</t>
  </si>
  <si>
    <t>Increase in Equity / Share Capital</t>
  </si>
  <si>
    <t xml:space="preserve">POWER &amp; WATER REQUIREMENT </t>
  </si>
  <si>
    <t xml:space="preserve">FACTORY OVERHEAD </t>
  </si>
  <si>
    <t>AMOUNT (INR)</t>
  </si>
  <si>
    <t xml:space="preserve">ELECTRICITY CONNECTION </t>
  </si>
  <si>
    <t xml:space="preserve">Lum Sum </t>
  </si>
  <si>
    <t>Land Lease (Rental)</t>
  </si>
  <si>
    <t>Loan Repayent</t>
  </si>
  <si>
    <t>ToL / TNW</t>
  </si>
  <si>
    <t>ToL</t>
  </si>
  <si>
    <t>TNW</t>
  </si>
  <si>
    <t>Less : Depreciation</t>
  </si>
  <si>
    <t xml:space="preserve">WDV of Electricity connection   </t>
  </si>
  <si>
    <t>Electricity connection</t>
  </si>
  <si>
    <t>Electricity Connection</t>
  </si>
  <si>
    <t>Electricty Connection</t>
  </si>
  <si>
    <t>Electricity connection (Fix Assets)</t>
  </si>
  <si>
    <t>PRFOTIBILITY ESTIMATES  (350 days)</t>
  </si>
  <si>
    <t>Less : Taxation @ 33.93%</t>
  </si>
  <si>
    <t>DEP &amp; Am.</t>
  </si>
  <si>
    <t>EBIT</t>
  </si>
  <si>
    <t>EBITDA MARGIN %</t>
  </si>
  <si>
    <t>EBIT MARGIN %</t>
  </si>
  <si>
    <t>Net Profit Margin %</t>
  </si>
  <si>
    <t>Revenue growth rate</t>
  </si>
  <si>
    <t>Years</t>
  </si>
  <si>
    <t>Net Production of Bio-CNG with 95% CH4</t>
  </si>
  <si>
    <t>Maximum DSCR</t>
  </si>
  <si>
    <t>Tax Rate</t>
  </si>
  <si>
    <t>(1-T)</t>
  </si>
  <si>
    <t>EBIT*(1-T)</t>
  </si>
  <si>
    <t>Dep. &amp; Amortization</t>
  </si>
  <si>
    <t>WCC</t>
  </si>
  <si>
    <t>CAPEX</t>
  </si>
  <si>
    <t>FCFF</t>
  </si>
  <si>
    <t>pbp</t>
  </si>
  <si>
    <t>payback Period</t>
  </si>
  <si>
    <t>Wd</t>
  </si>
  <si>
    <t>We</t>
  </si>
  <si>
    <t>Kd</t>
  </si>
  <si>
    <t>Ke</t>
  </si>
  <si>
    <t>10 year Nifty Fifty Return</t>
  </si>
  <si>
    <t>Debt</t>
  </si>
  <si>
    <t>Total Capital</t>
  </si>
  <si>
    <t>WACC</t>
  </si>
  <si>
    <t>Company Risk Premium</t>
  </si>
  <si>
    <t>Discount Rate</t>
  </si>
  <si>
    <t>Period</t>
  </si>
  <si>
    <t>Discout Factor</t>
  </si>
  <si>
    <t>PV OF FCFF</t>
  </si>
  <si>
    <t>PV OF CASH INFLOW</t>
  </si>
  <si>
    <t>PV OF CASH OUTFLOW</t>
  </si>
  <si>
    <t>NPV AS ON COD</t>
  </si>
  <si>
    <t>Particular (INR Lakhs)</t>
  </si>
  <si>
    <t>DEPRECIATION DSCHEDULE AS PER INCOME TAX ACT (INR Lakh)</t>
  </si>
  <si>
    <t>Particular</t>
  </si>
  <si>
    <t>WORKING CAPITAL  (INR Lakhs)</t>
  </si>
  <si>
    <t>Name of Plant</t>
  </si>
  <si>
    <t>Location</t>
  </si>
  <si>
    <t>CBG Production Capacity</t>
  </si>
  <si>
    <t>Feedstock Used</t>
  </si>
  <si>
    <t>LOI Issuing OGC</t>
  </si>
  <si>
    <t>Bleach Energy</t>
  </si>
  <si>
    <t>Sundalpura, Umreth, Gujarat</t>
  </si>
  <si>
    <t>2 TPD</t>
  </si>
  <si>
    <t>Cow dung, pressmud, potato waste</t>
  </si>
  <si>
    <t>Indian Oil Corporation Ltd.</t>
  </si>
  <si>
    <t>Clarus Bioenergy Pvt. Ltd.</t>
  </si>
  <si>
    <t>Shirala, Sangli District, Maharashtra</t>
  </si>
  <si>
    <t>4 TPD</t>
  </si>
  <si>
    <t>Pressmud</t>
  </si>
  <si>
    <t>Glow Green Biotech</t>
  </si>
  <si>
    <t>Dungara, Surat, Gujarat</t>
  </si>
  <si>
    <t>2.1 TPD</t>
  </si>
  <si>
    <t>Cow dung, Spent Wash, Press mud</t>
  </si>
  <si>
    <t>Green Earth Biogas Pvt. Ltd.</t>
  </si>
  <si>
    <t>Kukda, Surendranagar, Gujrat</t>
  </si>
  <si>
    <t>5 TPD</t>
  </si>
  <si>
    <t>Press mud, Cow dung, Potato waste, MSW, Agricultural Waste</t>
  </si>
  <si>
    <t>IOT Biogas Pvt. Ltd.</t>
  </si>
  <si>
    <t>Namakkal, Tamil Nadu</t>
  </si>
  <si>
    <t>15 TPD</t>
  </si>
  <si>
    <t>Chicken litter and Press mud</t>
  </si>
  <si>
    <t>Noble Exchange Environment Solutions</t>
  </si>
  <si>
    <t>Pune LLP Talegaon, Pune</t>
  </si>
  <si>
    <t>14 TPD</t>
  </si>
  <si>
    <t>Municipal Solid Waste</t>
  </si>
  <si>
    <t>Solika Energy Pvt. Ltd.</t>
  </si>
  <si>
    <t>Shadnagar, Hyderabad</t>
  </si>
  <si>
    <t>Poultry litter</t>
  </si>
  <si>
    <t>ndian Oil Corporation Ltd.</t>
  </si>
  <si>
    <t>Spectrum Renewable Energy Pvt. Ltd</t>
  </si>
  <si>
    <t>Rohtak, Haryana</t>
  </si>
  <si>
    <t>6 TPD</t>
  </si>
  <si>
    <t>Press mud and cattle dung</t>
  </si>
  <si>
    <t>Warna Nagar, Kohlapur, Maharastra</t>
  </si>
  <si>
    <t>Press mud</t>
  </si>
  <si>
    <t>Sri Lakshmi Venkateshwara Green Projects Pvt. Ltd.</t>
  </si>
  <si>
    <t>Kadapa, Andhra Pradesh</t>
  </si>
  <si>
    <t>3 TPD</t>
  </si>
  <si>
    <t>T R Mega Foods and Beverages LLP</t>
  </si>
  <si>
    <t>Ludhiana, Punjab</t>
  </si>
  <si>
    <t>Dairy waste</t>
  </si>
  <si>
    <t>Indian Potash Limited</t>
  </si>
  <si>
    <t>Rohanakalan, Muzzafarnagar, Uttar Pradesh</t>
  </si>
  <si>
    <t>9 TPD</t>
  </si>
  <si>
    <t>Press Mud</t>
  </si>
  <si>
    <t>Vyzag Bio-Energy Fuel Pvt. Ltd.</t>
  </si>
  <si>
    <t>GVMC Dumping Yard, Visakhapatnam, Andhra Pradesh</t>
  </si>
  <si>
    <t>SLR Energy</t>
  </si>
  <si>
    <t>Kuzhandaikuppam, Cuddalore district, Tamil Nadu</t>
  </si>
  <si>
    <t>2.8 TPD</t>
  </si>
  <si>
    <t>Press mud, Spentwash, Dairy Waste, Agri Residue</t>
  </si>
  <si>
    <t>Hindustan Petroleum Corporation Ltd.</t>
  </si>
  <si>
    <t>Shri Govardhannathji Energies LLP</t>
  </si>
  <si>
    <t>Nadiad, Kheda, Gujarat</t>
  </si>
  <si>
    <t>8 TPD</t>
  </si>
  <si>
    <t>Agricultural Waste</t>
  </si>
  <si>
    <t>GAIL (India) Limited</t>
  </si>
  <si>
    <t>Mahindra Waste to Energy Solutions Limited</t>
  </si>
  <si>
    <t>Indore, Madhya Pradesh</t>
  </si>
  <si>
    <t>0.7 TPD</t>
  </si>
  <si>
    <t>MSW</t>
  </si>
  <si>
    <t>IL&amp;FS Environmental Infrastructure &amp; Services Limited</t>
  </si>
  <si>
    <t>19.7 TPD</t>
  </si>
  <si>
    <t>Bio degradable waste</t>
  </si>
  <si>
    <t>Hyderabad Integrated MSW Limited</t>
  </si>
  <si>
    <t>Hyderabad, Telangana</t>
  </si>
  <si>
    <t>MSW and other</t>
  </si>
  <si>
    <t>Anarobic Energy Private Limited</t>
  </si>
  <si>
    <t>Haridwar, Uttarakhand</t>
  </si>
  <si>
    <t>Sewage Sludge, Press mud etc.</t>
  </si>
  <si>
    <t>Leafiniti Bioenergy Private Limited</t>
  </si>
  <si>
    <t>Maigur Village, Bagalkot, Karnataka</t>
  </si>
  <si>
    <t>10 TPD</t>
  </si>
  <si>
    <t>Energim Sustainable Solutions Cuddalore Pvt. Ltd.</t>
  </si>
  <si>
    <t>Cuddalore,Tamil Nadu</t>
  </si>
  <si>
    <t>10.6 TPD</t>
  </si>
  <si>
    <t>Gobardhan Varanasi Foundation - SPV.</t>
  </si>
  <si>
    <t>Varanasi, Uttar Pradesh</t>
  </si>
  <si>
    <t>Press Mud, Agriculture Waste, Cow Dung Organic MSW and STP waste</t>
  </si>
  <si>
    <t>GAIL (India) Limited.</t>
  </si>
  <si>
    <t>Sayaji Bio Energies LLP.</t>
  </si>
  <si>
    <t>Vadodara, Gujarat</t>
  </si>
  <si>
    <t>Cow dung, Food Waste, Press mud</t>
  </si>
  <si>
    <t>2.0 TPD</t>
  </si>
  <si>
    <t>Poultry Litter</t>
  </si>
  <si>
    <t>Verbio India Pvt. Ltd.</t>
  </si>
  <si>
    <t>Village Bhutalkalan, Lehragaga, Sangrur, Punjab</t>
  </si>
  <si>
    <t>30 TPD</t>
  </si>
  <si>
    <t>Agri Residue</t>
  </si>
  <si>
    <t>Akshar Biotech Private Limited</t>
  </si>
  <si>
    <t>APMC Surat, Gujarat</t>
  </si>
  <si>
    <t>2.2 TPD</t>
  </si>
  <si>
    <t>Vegetable and fruit Waste</t>
  </si>
  <si>
    <t>M/s P.S. Greengas</t>
  </si>
  <si>
    <t>Village Bhayangi, Khatauli, Muzaffarnagar, Uttar Pradesh</t>
  </si>
  <si>
    <t>Pressmud and cowdung</t>
  </si>
  <si>
    <t>Indraprastha Gas Limited</t>
  </si>
  <si>
    <t>Mittal Enterprises</t>
  </si>
  <si>
    <t>Chittauda Mahiuddinpur, Hapur, Uttar Pradesh</t>
  </si>
  <si>
    <t>ressmud and spentwash</t>
  </si>
  <si>
    <t>Girvar &amp; Sons</t>
  </si>
  <si>
    <t>Village Badsu, Muzaffarnagar, Uttar Pradesh</t>
  </si>
  <si>
    <t>M/S. R2S Bio Products Pvt Ltd</t>
  </si>
  <si>
    <t>Rohtak</t>
  </si>
  <si>
    <t>2.5 TPD</t>
  </si>
  <si>
    <t>Rice Straw</t>
  </si>
  <si>
    <t>Bharat Petroleum Corporation Limited</t>
  </si>
  <si>
    <t>M/S. Aryan Associate and Company</t>
  </si>
  <si>
    <t>Cow dung</t>
  </si>
  <si>
    <t>Following major approvals are required.However the list are not exhaustive and State / district Authorities may be approached for further clearances required (if any)</t>
  </si>
  <si>
    <t>S.No</t>
  </si>
  <si>
    <t>Approvals Required</t>
  </si>
  <si>
    <t>Before Construction (New Factory )</t>
  </si>
  <si>
    <t>After Construction but Before Production / Operation</t>
  </si>
  <si>
    <t>Annual Renewal</t>
  </si>
  <si>
    <t>Land conversion to Non Agricultural (applicable for non-industrial land)</t>
  </si>
  <si>
    <t>Conversion and registration</t>
  </si>
  <si>
    <t>Not Applicable</t>
  </si>
  <si>
    <t>DIC (District Industry Centre)</t>
  </si>
  <si>
    <t>Registration as MSME(Micro , Small &amp; Medium Enterprises)</t>
  </si>
  <si>
    <t>Not Required</t>
  </si>
  <si>
    <t>Fire</t>
  </si>
  <si>
    <t>NOC (No Objection Certificate)</t>
  </si>
  <si>
    <t>License</t>
  </si>
  <si>
    <t>Required</t>
  </si>
  <si>
    <t>Health &amp; Safety</t>
  </si>
  <si>
    <t>NOC</t>
  </si>
  <si>
    <t>IOF( Indian Ordinance Factories) - Plan approval</t>
  </si>
  <si>
    <t>NOC,</t>
  </si>
  <si>
    <t>BoCW Registration( Building &amp; Other Construction Workers Registration)</t>
  </si>
  <si>
    <t>License (Sub contractor License)</t>
  </si>
  <si>
    <t>DTCP - District Town &amp; Country Planning</t>
  </si>
  <si>
    <t>Plan Approval &amp; Tax</t>
  </si>
  <si>
    <t>Local Panchayat</t>
  </si>
  <si>
    <t>Plan submission, NoC and Tax payment based on construction area</t>
  </si>
  <si>
    <t>Yearly tax (if applicable)</t>
  </si>
  <si>
    <t>Not Required. Tax to be paid (if applicable)</t>
  </si>
  <si>
    <t>BDO( Block Development Officer) - Running License</t>
  </si>
  <si>
    <t>Running License</t>
  </si>
  <si>
    <t>PCB( Pollution Control Board)</t>
  </si>
  <si>
    <t>Consent for Establishment</t>
  </si>
  <si>
    <t>Consent for Operation</t>
  </si>
  <si>
    <t>PESO( Petroleum and Explosives Safety Organization)</t>
  </si>
  <si>
    <t>MNRE ( Ministry of New and Renwable Energy)</t>
  </si>
  <si>
    <t>CFA( Central Financial Assistance) Approval</t>
  </si>
  <si>
    <t>CFA approval after 72 hours plant operation</t>
  </si>
  <si>
    <t>NOC, BoCW Registration( Building &amp; Other Construction Workers Registration)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</si>
</sst>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&quot;₹&quot;\ #,##0.00"/>
    <numFmt numFmtId="167" formatCode="&quot;₹&quot;\ #,##0"/>
    <numFmt numFmtId="168" formatCode="[$₹-439]#,##0"/>
    <numFmt numFmtId="169" formatCode="0;[Red]0"/>
    <numFmt numFmtId="170" formatCode="&quot;FY&quot;\ 0"/>
    <numFmt numFmtId="171" formatCode="_ * #,##0_ ;_ * \-#,##0_ ;_ * &quot;-&quot;??_ ;_ @_ "/>
    <numFmt numFmtId="172" formatCode="&quot;FY&quot;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Arial"/>
      <family val="2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0"/>
      <name val="Arial"/>
      <family val="2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0" borderId="0"/>
    <xf numFmtId="43" fontId="11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2" fontId="0" fillId="0" borderId="0" xfId="0" applyNumberFormat="1"/>
    <xf numFmtId="38" fontId="1" fillId="0" borderId="0" xfId="0" applyNumberFormat="1" applyFont="1" applyAlignment="1">
      <alignment horizontal="center" vertical="center"/>
    </xf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0" fontId="4" fillId="0" borderId="1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right" vertical="center" indent="1"/>
    </xf>
    <xf numFmtId="3" fontId="9" fillId="0" borderId="1" xfId="0" applyNumberFormat="1" applyFont="1" applyBorder="1" applyAlignment="1">
      <alignment horizontal="right" vertical="center" indent="1"/>
    </xf>
    <xf numFmtId="3" fontId="9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 vertical="center" indent="1"/>
    </xf>
    <xf numFmtId="166" fontId="9" fillId="0" borderId="1" xfId="0" applyNumberFormat="1" applyFont="1" applyBorder="1" applyAlignment="1">
      <alignment horizontal="right" vertical="center" indent="1"/>
    </xf>
    <xf numFmtId="166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2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5"/>
    </xf>
    <xf numFmtId="0" fontId="4" fillId="0" borderId="1" xfId="0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indent="1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15" fillId="0" borderId="0" xfId="0" applyFont="1"/>
    <xf numFmtId="0" fontId="3" fillId="0" borderId="0" xfId="0" applyFont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6" fontId="2" fillId="0" borderId="0" xfId="0" applyNumberFormat="1" applyFont="1" applyAlignment="1">
      <alignment vertical="center"/>
    </xf>
    <xf numFmtId="167" fontId="9" fillId="0" borderId="1" xfId="0" applyNumberFormat="1" applyFont="1" applyBorder="1" applyAlignment="1">
      <alignment horizontal="right" vertical="center" indent="1"/>
    </xf>
    <xf numFmtId="1" fontId="1" fillId="0" borderId="1" xfId="0" applyNumberFormat="1" applyFont="1" applyBorder="1" applyAlignment="1">
      <alignment horizontal="center" vertical="center"/>
    </xf>
    <xf numFmtId="166" fontId="2" fillId="0" borderId="0" xfId="0" applyNumberFormat="1" applyFont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9" fillId="2" borderId="1" xfId="5" applyFont="1" applyFill="1" applyBorder="1" applyAlignment="1">
      <alignment vertical="center"/>
    </xf>
    <xf numFmtId="9" fontId="9" fillId="0" borderId="1" xfId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0" fontId="15" fillId="0" borderId="0" xfId="3" applyNumberFormat="1" applyFont="1"/>
    <xf numFmtId="0" fontId="15" fillId="0" borderId="1" xfId="0" applyFont="1" applyBorder="1"/>
    <xf numFmtId="10" fontId="15" fillId="0" borderId="1" xfId="3" applyNumberFormat="1" applyFont="1" applyBorder="1"/>
    <xf numFmtId="0" fontId="22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/>
    <xf numFmtId="4" fontId="8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7" fontId="6" fillId="0" borderId="1" xfId="0" applyNumberFormat="1" applyFont="1" applyBorder="1" applyAlignment="1">
      <alignment horizontal="right" vertical="center" indent="1"/>
    </xf>
    <xf numFmtId="1" fontId="8" fillId="0" borderId="0" xfId="0" applyNumberFormat="1" applyFont="1" applyAlignment="1">
      <alignment vertical="center"/>
    </xf>
    <xf numFmtId="167" fontId="4" fillId="0" borderId="1" xfId="0" applyNumberFormat="1" applyFont="1" applyBorder="1" applyAlignment="1">
      <alignment horizontal="right" vertical="center" indent="1"/>
    </xf>
    <xf numFmtId="0" fontId="23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4" borderId="0" xfId="0" applyFont="1" applyFill="1" applyAlignment="1">
      <alignment vertical="center"/>
    </xf>
    <xf numFmtId="0" fontId="21" fillId="5" borderId="11" xfId="0" applyFont="1" applyFill="1" applyBorder="1" applyAlignment="1">
      <alignment horizontal="center" vertical="center"/>
    </xf>
    <xf numFmtId="1" fontId="21" fillId="5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6" borderId="0" xfId="0" applyFont="1" applyFill="1" applyAlignment="1">
      <alignment vertical="center"/>
    </xf>
    <xf numFmtId="2" fontId="21" fillId="6" borderId="0" xfId="0" applyNumberFormat="1" applyFont="1" applyFill="1" applyAlignment="1">
      <alignment horizontal="center" vertical="center"/>
    </xf>
    <xf numFmtId="10" fontId="21" fillId="6" borderId="0" xfId="3" applyNumberFormat="1" applyFont="1" applyFill="1" applyAlignment="1">
      <alignment horizontal="center" vertical="center"/>
    </xf>
    <xf numFmtId="0" fontId="21" fillId="6" borderId="3" xfId="0" applyFont="1" applyFill="1" applyBorder="1" applyAlignment="1">
      <alignment vertical="center"/>
    </xf>
    <xf numFmtId="10" fontId="21" fillId="6" borderId="3" xfId="3" applyNumberFormat="1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vertical="center"/>
    </xf>
    <xf numFmtId="1" fontId="22" fillId="6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2" fontId="15" fillId="0" borderId="3" xfId="0" applyNumberFormat="1" applyFont="1" applyBorder="1" applyAlignment="1">
      <alignment horizontal="center" vertical="center"/>
    </xf>
    <xf numFmtId="1" fontId="21" fillId="6" borderId="0" xfId="0" applyNumberFormat="1" applyFont="1" applyFill="1" applyAlignment="1">
      <alignment horizontal="center" vertical="center"/>
    </xf>
    <xf numFmtId="1" fontId="15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/>
    <xf numFmtId="0" fontId="9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2" fontId="2" fillId="0" borderId="0" xfId="0" applyNumberFormat="1" applyFont="1"/>
    <xf numFmtId="167" fontId="1" fillId="0" borderId="1" xfId="0" applyNumberFormat="1" applyFont="1" applyBorder="1" applyAlignment="1">
      <alignment horizontal="right" vertical="center" indent="1"/>
    </xf>
    <xf numFmtId="0" fontId="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/>
    </xf>
    <xf numFmtId="166" fontId="9" fillId="8" borderId="1" xfId="0" applyNumberFormat="1" applyFont="1" applyFill="1" applyBorder="1" applyAlignment="1">
      <alignment horizontal="right" vertical="center" indent="1"/>
    </xf>
    <xf numFmtId="3" fontId="9" fillId="8" borderId="1" xfId="0" applyNumberFormat="1" applyFont="1" applyFill="1" applyBorder="1" applyAlignment="1">
      <alignment horizontal="right" vertical="center" indent="1"/>
    </xf>
    <xf numFmtId="167" fontId="9" fillId="8" borderId="1" xfId="0" applyNumberFormat="1" applyFont="1" applyFill="1" applyBorder="1" applyAlignment="1">
      <alignment horizontal="right" vertical="center" indent="1"/>
    </xf>
    <xf numFmtId="167" fontId="1" fillId="8" borderId="1" xfId="0" applyNumberFormat="1" applyFont="1" applyFill="1" applyBorder="1" applyAlignment="1">
      <alignment horizontal="right" vertical="center" indent="1"/>
    </xf>
    <xf numFmtId="166" fontId="1" fillId="0" borderId="0" xfId="0" applyNumberFormat="1" applyFont="1" applyAlignment="1">
      <alignment horizontal="center" vertical="center"/>
    </xf>
    <xf numFmtId="0" fontId="2" fillId="0" borderId="9" xfId="0" applyFont="1" applyBorder="1"/>
    <xf numFmtId="167" fontId="4" fillId="0" borderId="12" xfId="0" applyNumberFormat="1" applyFont="1" applyBorder="1" applyAlignment="1">
      <alignment horizontal="right" vertical="center" indent="1"/>
    </xf>
    <xf numFmtId="0" fontId="8" fillId="0" borderId="13" xfId="0" applyFont="1" applyBorder="1"/>
    <xf numFmtId="167" fontId="8" fillId="0" borderId="14" xfId="0" applyNumberFormat="1" applyFont="1" applyBorder="1"/>
    <xf numFmtId="0" fontId="16" fillId="0" borderId="3" xfId="0" applyFont="1" applyBorder="1" applyAlignment="1">
      <alignment vertical="center"/>
    </xf>
    <xf numFmtId="2" fontId="16" fillId="0" borderId="3" xfId="0" applyNumberFormat="1" applyFont="1" applyBorder="1" applyAlignment="1">
      <alignment horizontal="center" vertical="center"/>
    </xf>
    <xf numFmtId="10" fontId="0" fillId="0" borderId="0" xfId="1" applyNumberFormat="1" applyFont="1" applyAlignment="1">
      <alignment vertical="center"/>
    </xf>
    <xf numFmtId="168" fontId="9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 wrapText="1"/>
    </xf>
    <xf numFmtId="169" fontId="21" fillId="6" borderId="0" xfId="0" applyNumberFormat="1" applyFont="1" applyFill="1" applyAlignment="1">
      <alignment horizontal="left" vertical="center"/>
    </xf>
    <xf numFmtId="10" fontId="2" fillId="0" borderId="0" xfId="1" applyNumberFormat="1" applyFo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21" fillId="0" borderId="1" xfId="4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/>
    </xf>
    <xf numFmtId="2" fontId="22" fillId="6" borderId="0" xfId="0" applyNumberFormat="1" applyFont="1" applyFill="1" applyAlignment="1">
      <alignment vertical="center"/>
    </xf>
    <xf numFmtId="9" fontId="16" fillId="0" borderId="0" xfId="1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7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10" fontId="18" fillId="0" borderId="1" xfId="0" applyNumberFormat="1" applyFont="1" applyBorder="1" applyAlignment="1">
      <alignment horizontal="right" vertical="center"/>
    </xf>
    <xf numFmtId="10" fontId="15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1" fontId="21" fillId="5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" fontId="22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vertical="center"/>
    </xf>
    <xf numFmtId="9" fontId="2" fillId="0" borderId="0" xfId="1" applyFont="1" applyAlignment="1">
      <alignment vertical="center"/>
    </xf>
    <xf numFmtId="43" fontId="2" fillId="0" borderId="0" xfId="6" applyFont="1"/>
    <xf numFmtId="43" fontId="1" fillId="0" borderId="0" xfId="6" applyFont="1" applyAlignment="1">
      <alignment vertical="center"/>
    </xf>
    <xf numFmtId="169" fontId="22" fillId="6" borderId="0" xfId="0" applyNumberFormat="1" applyFont="1" applyFill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21" fillId="0" borderId="1" xfId="0" applyFont="1" applyBorder="1"/>
    <xf numFmtId="0" fontId="9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2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2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/>
    <xf numFmtId="2" fontId="27" fillId="0" borderId="0" xfId="0" applyNumberFormat="1" applyFont="1"/>
    <xf numFmtId="170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0" fontId="0" fillId="0" borderId="1" xfId="1" applyNumberFormat="1" applyFont="1" applyBorder="1" applyAlignment="1">
      <alignment vertical="center"/>
    </xf>
    <xf numFmtId="0" fontId="0" fillId="0" borderId="0" xfId="0" applyFont="1"/>
    <xf numFmtId="9" fontId="0" fillId="0" borderId="0" xfId="1" applyFont="1"/>
    <xf numFmtId="2" fontId="0" fillId="0" borderId="0" xfId="0" applyNumberFormat="1" applyFont="1"/>
    <xf numFmtId="10" fontId="0" fillId="0" borderId="0" xfId="1" applyNumberFormat="1" applyFont="1"/>
    <xf numFmtId="9" fontId="0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5" fillId="11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 vertical="center" wrapText="1"/>
    </xf>
    <xf numFmtId="170" fontId="25" fillId="11" borderId="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2" fontId="29" fillId="0" borderId="0" xfId="0" applyNumberFormat="1" applyFont="1" applyAlignment="1">
      <alignment horizontal="center"/>
    </xf>
    <xf numFmtId="0" fontId="26" fillId="12" borderId="1" xfId="0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vertical="center" wrapText="1"/>
    </xf>
    <xf numFmtId="0" fontId="26" fillId="12" borderId="0" xfId="0" applyFont="1" applyFill="1" applyAlignment="1">
      <alignment vertical="center" wrapText="1"/>
    </xf>
    <xf numFmtId="0" fontId="26" fillId="0" borderId="1" xfId="0" applyFont="1" applyBorder="1" applyAlignment="1"/>
    <xf numFmtId="0" fontId="29" fillId="0" borderId="0" xfId="0" applyFont="1" applyAlignment="1"/>
    <xf numFmtId="0" fontId="27" fillId="0" borderId="0" xfId="0" applyFont="1" applyAlignment="1"/>
    <xf numFmtId="170" fontId="30" fillId="11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4" fontId="0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3" fontId="0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3" fontId="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66" fontId="0" fillId="0" borderId="1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164" fontId="0" fillId="0" borderId="0" xfId="0" applyNumberFormat="1" applyFont="1"/>
    <xf numFmtId="1" fontId="0" fillId="0" borderId="0" xfId="0" applyNumberFormat="1" applyFont="1"/>
    <xf numFmtId="43" fontId="0" fillId="0" borderId="0" xfId="0" applyNumberFormat="1" applyFont="1"/>
    <xf numFmtId="0" fontId="0" fillId="0" borderId="1" xfId="0" applyFont="1" applyBorder="1"/>
    <xf numFmtId="1" fontId="28" fillId="0" borderId="0" xfId="2" applyNumberFormat="1" applyFont="1" applyAlignment="1">
      <alignment horizontal="left"/>
    </xf>
    <xf numFmtId="1" fontId="31" fillId="0" borderId="1" xfId="2" applyNumberFormat="1" applyFont="1" applyBorder="1" applyAlignment="1">
      <alignment vertical="center"/>
    </xf>
    <xf numFmtId="2" fontId="0" fillId="0" borderId="1" xfId="0" applyNumberFormat="1" applyFont="1" applyBorder="1" applyAlignment="1">
      <alignment horizontal="center" vertical="center" wrapText="1"/>
    </xf>
    <xf numFmtId="1" fontId="28" fillId="0" borderId="1" xfId="2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2" fontId="28" fillId="0" borderId="1" xfId="2" applyNumberFormat="1" applyFont="1" applyBorder="1" applyAlignment="1">
      <alignment horizontal="center" vertical="center" wrapText="1"/>
    </xf>
    <xf numFmtId="1" fontId="28" fillId="0" borderId="1" xfId="2" applyNumberFormat="1" applyFont="1" applyBorder="1" applyAlignment="1">
      <alignment horizontal="left" vertical="center"/>
    </xf>
    <xf numFmtId="0" fontId="31" fillId="0" borderId="1" xfId="2" applyFont="1" applyBorder="1" applyAlignment="1">
      <alignment horizontal="center" vertical="center" wrapText="1"/>
    </xf>
    <xf numFmtId="2" fontId="31" fillId="0" borderId="1" xfId="2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25" fillId="11" borderId="1" xfId="0" applyFont="1" applyFill="1" applyBorder="1" applyAlignment="1">
      <alignment horizontal="left" vertical="center" wrapText="1"/>
    </xf>
    <xf numFmtId="170" fontId="25" fillId="11" borderId="1" xfId="0" applyNumberFormat="1" applyFont="1" applyFill="1" applyBorder="1" applyAlignment="1">
      <alignment horizontal="center" vertical="center"/>
    </xf>
    <xf numFmtId="170" fontId="25" fillId="11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0" fillId="11" borderId="0" xfId="0" applyFont="1" applyFill="1" applyBorder="1" applyAlignment="1">
      <alignment vertical="center" wrapText="1"/>
    </xf>
    <xf numFmtId="170" fontId="30" fillId="11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2" fontId="3" fillId="0" borderId="0" xfId="0" applyNumberFormat="1" applyFont="1"/>
    <xf numFmtId="0" fontId="3" fillId="0" borderId="0" xfId="0" applyFont="1" applyFill="1" applyBorder="1"/>
    <xf numFmtId="2" fontId="3" fillId="0" borderId="0" xfId="0" applyNumberFormat="1" applyFont="1" applyAlignment="1">
      <alignment vertical="center"/>
    </xf>
    <xf numFmtId="2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13" borderId="0" xfId="0" applyFont="1" applyFill="1"/>
    <xf numFmtId="2" fontId="0" fillId="13" borderId="0" xfId="0" applyNumberFormat="1" applyFill="1"/>
    <xf numFmtId="0" fontId="0" fillId="13" borderId="0" xfId="0" applyFill="1"/>
    <xf numFmtId="2" fontId="3" fillId="14" borderId="0" xfId="0" applyNumberFormat="1" applyFont="1" applyFill="1"/>
    <xf numFmtId="0" fontId="3" fillId="15" borderId="0" xfId="0" applyFont="1" applyFill="1"/>
    <xf numFmtId="10" fontId="3" fillId="15" borderId="0" xfId="0" applyNumberFormat="1" applyFont="1" applyFill="1"/>
    <xf numFmtId="0" fontId="3" fillId="16" borderId="0" xfId="0" applyFont="1" applyFill="1"/>
    <xf numFmtId="171" fontId="3" fillId="16" borderId="0" xfId="6" applyNumberFormat="1" applyFont="1" applyFill="1"/>
    <xf numFmtId="10" fontId="3" fillId="16" borderId="0" xfId="1" applyNumberFormat="1" applyFont="1" applyFill="1"/>
    <xf numFmtId="10" fontId="3" fillId="16" borderId="0" xfId="0" applyNumberFormat="1" applyFont="1" applyFill="1"/>
    <xf numFmtId="9" fontId="3" fillId="16" borderId="0" xfId="0" applyNumberFormat="1" applyFont="1" applyFill="1"/>
    <xf numFmtId="0" fontId="3" fillId="16" borderId="0" xfId="0" applyFont="1" applyFill="1" applyAlignment="1"/>
    <xf numFmtId="2" fontId="3" fillId="16" borderId="0" xfId="0" applyNumberFormat="1" applyFont="1" applyFill="1"/>
    <xf numFmtId="2" fontId="0" fillId="16" borderId="0" xfId="0" applyNumberFormat="1" applyFill="1"/>
    <xf numFmtId="14" fontId="0" fillId="0" borderId="0" xfId="0" applyNumberFormat="1"/>
    <xf numFmtId="0" fontId="15" fillId="0" borderId="1" xfId="0" applyFont="1" applyFill="1" applyBorder="1" applyAlignment="1">
      <alignment vertical="center"/>
    </xf>
    <xf numFmtId="2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4" fontId="0" fillId="0" borderId="1" xfId="0" applyNumberFormat="1" applyFont="1" applyBorder="1"/>
    <xf numFmtId="3" fontId="0" fillId="0" borderId="1" xfId="0" applyNumberFormat="1" applyFont="1" applyBorder="1"/>
    <xf numFmtId="4" fontId="3" fillId="0" borderId="1" xfId="0" applyNumberFormat="1" applyFont="1" applyBorder="1"/>
    <xf numFmtId="4" fontId="0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/>
    </xf>
    <xf numFmtId="171" fontId="3" fillId="0" borderId="0" xfId="6" applyNumberFormat="1" applyFont="1" applyAlignment="1">
      <alignment vertical="center"/>
    </xf>
    <xf numFmtId="171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17" borderId="1" xfId="0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168" fontId="9" fillId="0" borderId="7" xfId="0" applyNumberFormat="1" applyFont="1" applyBorder="1" applyAlignment="1">
      <alignment horizontal="center" vertical="center"/>
    </xf>
    <xf numFmtId="168" fontId="9" fillId="0" borderId="15" xfId="0" applyNumberFormat="1" applyFont="1" applyBorder="1" applyAlignment="1">
      <alignment horizontal="center" vertical="center"/>
    </xf>
    <xf numFmtId="168" fontId="9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8" borderId="2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0" fillId="17" borderId="1" xfId="0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" fontId="28" fillId="0" borderId="2" xfId="2" applyNumberFormat="1" applyFont="1" applyBorder="1" applyAlignment="1">
      <alignment horizontal="center"/>
    </xf>
    <xf numFmtId="1" fontId="28" fillId="0" borderId="3" xfId="2" applyNumberFormat="1" applyFont="1" applyBorder="1" applyAlignment="1">
      <alignment horizontal="center"/>
    </xf>
    <xf numFmtId="1" fontId="28" fillId="0" borderId="4" xfId="2" applyNumberFormat="1" applyFont="1" applyBorder="1" applyAlignment="1">
      <alignment horizontal="center"/>
    </xf>
    <xf numFmtId="10" fontId="21" fillId="6" borderId="0" xfId="3" applyNumberFormat="1" applyFont="1" applyFill="1" applyAlignment="1">
      <alignment horizontal="center" vertical="center" wrapText="1"/>
    </xf>
    <xf numFmtId="10" fontId="21" fillId="6" borderId="6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5" fillId="11" borderId="0" xfId="0" applyFont="1" applyFill="1" applyAlignment="1">
      <alignment horizontal="center"/>
    </xf>
    <xf numFmtId="0" fontId="25" fillId="11" borderId="0" xfId="0" applyFont="1" applyFill="1" applyAlignment="1">
      <alignment wrapText="1"/>
    </xf>
    <xf numFmtId="0" fontId="25" fillId="11" borderId="0" xfId="0" applyFont="1" applyFill="1" applyAlignment="1">
      <alignment horizontal="center" vertical="center" wrapText="1"/>
    </xf>
    <xf numFmtId="0" fontId="25" fillId="11" borderId="0" xfId="0" applyFont="1" applyFill="1" applyAlignment="1">
      <alignment horizontal="center" wrapText="1"/>
    </xf>
    <xf numFmtId="0" fontId="25" fillId="11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</cellXfs>
  <cellStyles count="7">
    <cellStyle name="Comma" xfId="6" builtinId="3"/>
    <cellStyle name="Comma 5" xfId="4"/>
    <cellStyle name="Normal" xfId="0" builtinId="0"/>
    <cellStyle name="Normal_Ajit Projections-Hotel" xfId="5"/>
    <cellStyle name="Normal_temp" xfId="2"/>
    <cellStyle name="Percent" xfId="1" builtinId="5"/>
    <cellStyle name="Percent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 &amp; L'!$A$49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 &amp; L'!$C$4:$M$4</c:f>
              <c:numCache>
                <c:formatCode>"FY"\ 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'P &amp; L'!$C$49:$M$49</c:f>
              <c:numCache>
                <c:formatCode>0.00%</c:formatCode>
                <c:ptCount val="11"/>
                <c:pt idx="0">
                  <c:v>0.48639242588454573</c:v>
                </c:pt>
                <c:pt idx="1">
                  <c:v>0.48971816668205803</c:v>
                </c:pt>
                <c:pt idx="2">
                  <c:v>0.48980794188069299</c:v>
                </c:pt>
                <c:pt idx="3">
                  <c:v>0.48989344206986907</c:v>
                </c:pt>
                <c:pt idx="4">
                  <c:v>0.48997487082146546</c:v>
                </c:pt>
                <c:pt idx="5">
                  <c:v>0.49130959014827302</c:v>
                </c:pt>
                <c:pt idx="6">
                  <c:v>0.49132358327708819</c:v>
                </c:pt>
                <c:pt idx="7">
                  <c:v>0.49133691006643609</c:v>
                </c:pt>
                <c:pt idx="8">
                  <c:v>0.49134960224676727</c:v>
                </c:pt>
                <c:pt idx="9">
                  <c:v>0.49136169003755897</c:v>
                </c:pt>
                <c:pt idx="10">
                  <c:v>0.49135017785585261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0117368"/>
        <c:axId val="330116488"/>
      </c:barChart>
      <c:catAx>
        <c:axId val="330117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116488"/>
        <c:crosses val="autoZero"/>
        <c:auto val="1"/>
        <c:lblAlgn val="ctr"/>
        <c:lblOffset val="100"/>
        <c:noMultiLvlLbl val="0"/>
      </c:catAx>
      <c:valAx>
        <c:axId val="33011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MARGIN</a:t>
                </a:r>
                <a:r>
                  <a:rPr lang="en-IN" baseline="0"/>
                  <a:t> %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11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 &amp; L'!$A$50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 &amp; L'!$C$4:$M$4</c:f>
              <c:numCache>
                <c:formatCode>"FY"\ 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'P &amp; L'!$C$50:$M$50</c:f>
              <c:numCache>
                <c:formatCode>0.00%</c:formatCode>
                <c:ptCount val="11"/>
                <c:pt idx="0">
                  <c:v>6.7922847061655731E-2</c:v>
                </c:pt>
                <c:pt idx="1">
                  <c:v>0.27112954761496333</c:v>
                </c:pt>
                <c:pt idx="2">
                  <c:v>0.31060231393185089</c:v>
                </c:pt>
                <c:pt idx="3">
                  <c:v>0.34289113116767417</c:v>
                </c:pt>
                <c:pt idx="4">
                  <c:v>0.36931778156802425</c:v>
                </c:pt>
                <c:pt idx="5">
                  <c:v>0.39221604487569334</c:v>
                </c:pt>
                <c:pt idx="6">
                  <c:v>0.40988892009388395</c:v>
                </c:pt>
                <c:pt idx="7">
                  <c:v>0.42437125794342984</c:v>
                </c:pt>
                <c:pt idx="8">
                  <c:v>0.4362458666994905</c:v>
                </c:pt>
                <c:pt idx="9">
                  <c:v>0.44598809348969387</c:v>
                </c:pt>
                <c:pt idx="10">
                  <c:v>0.45396276201636471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9845768"/>
        <c:axId val="330272936"/>
      </c:barChart>
      <c:catAx>
        <c:axId val="329845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Finacial</a:t>
                </a:r>
                <a:r>
                  <a:rPr lang="en-IN" b="1" baseline="0"/>
                  <a:t> Year</a:t>
                </a:r>
                <a:endParaRPr lang="en-IN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272936"/>
        <c:crosses val="autoZero"/>
        <c:auto val="1"/>
        <c:lblAlgn val="ctr"/>
        <c:lblOffset val="100"/>
        <c:noMultiLvlLbl val="0"/>
      </c:catAx>
      <c:valAx>
        <c:axId val="33027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Margin</a:t>
                </a:r>
                <a:r>
                  <a:rPr lang="en-IN" b="1" baseline="0"/>
                  <a:t> %</a:t>
                </a:r>
                <a:endParaRPr lang="en-IN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45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02540778293122"/>
          <c:y val="3.328132580223227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 &amp; L'!$A$51</c:f>
              <c:strCache>
                <c:ptCount val="1"/>
                <c:pt idx="0">
                  <c:v>Net Profit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 &amp; L'!$C$4:$M$4</c:f>
              <c:numCache>
                <c:formatCode>"FY"\ 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'P &amp; L'!$C$51:$M$51</c:f>
              <c:numCache>
                <c:formatCode>0.00%</c:formatCode>
                <c:ptCount val="11"/>
                <c:pt idx="0">
                  <c:v>-0.10588032575878512</c:v>
                </c:pt>
                <c:pt idx="1">
                  <c:v>8.9930655218650513E-2</c:v>
                </c:pt>
                <c:pt idx="2">
                  <c:v>0.12583612329888735</c:v>
                </c:pt>
                <c:pt idx="3">
                  <c:v>0.15748757055715504</c:v>
                </c:pt>
                <c:pt idx="4">
                  <c:v>0.18446319336108591</c:v>
                </c:pt>
                <c:pt idx="5">
                  <c:v>0.20909927116793559</c:v>
                </c:pt>
                <c:pt idx="6">
                  <c:v>0.23021851240997954</c:v>
                </c:pt>
                <c:pt idx="7">
                  <c:v>0.24911630105545923</c:v>
                </c:pt>
                <c:pt idx="8">
                  <c:v>0.2661350742801632</c:v>
                </c:pt>
                <c:pt idx="9">
                  <c:v>0.28155211109849337</c:v>
                </c:pt>
                <c:pt idx="10">
                  <c:v>0.29586739150912761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0708672"/>
        <c:axId val="330741832"/>
      </c:barChart>
      <c:catAx>
        <c:axId val="33070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49245988087105552"/>
              <c:y val="0.899303024833568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741832"/>
        <c:crosses val="autoZero"/>
        <c:auto val="1"/>
        <c:lblAlgn val="ctr"/>
        <c:lblOffset val="100"/>
        <c:noMultiLvlLbl val="0"/>
      </c:catAx>
      <c:valAx>
        <c:axId val="33074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Margin</a:t>
                </a:r>
                <a:r>
                  <a:rPr lang="en-IN" b="1" baseline="0"/>
                  <a:t> %</a:t>
                </a:r>
                <a:endParaRPr lang="en-IN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70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694444444444444"/>
          <c:y val="4.166666666666666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 &amp; L'!$A$48</c:f>
              <c:strCache>
                <c:ptCount val="1"/>
                <c:pt idx="0">
                  <c:v>Revenue growth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 &amp; L'!$C$4:$M$4</c:f>
              <c:numCache>
                <c:formatCode>"FY"\ 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'P &amp; L'!$C$48:$M$48</c:f>
              <c:numCache>
                <c:formatCode>0.00%</c:formatCode>
                <c:ptCount val="11"/>
                <c:pt idx="1">
                  <c:v>0.64705882352941191</c:v>
                </c:pt>
                <c:pt idx="2">
                  <c:v>5.0000000000000044E-2</c:v>
                </c:pt>
                <c:pt idx="3">
                  <c:v>4.9999999999999822E-2</c:v>
                </c:pt>
                <c:pt idx="4">
                  <c:v>5.0000000000000266E-2</c:v>
                </c:pt>
                <c:pt idx="5">
                  <c:v>5.0000000000000266E-2</c:v>
                </c:pt>
                <c:pt idx="6">
                  <c:v>5.0000000000000044E-2</c:v>
                </c:pt>
                <c:pt idx="7">
                  <c:v>5.0000000000000044E-2</c:v>
                </c:pt>
                <c:pt idx="8">
                  <c:v>5.0000000000000044E-2</c:v>
                </c:pt>
                <c:pt idx="9">
                  <c:v>5.0000000000000044E-2</c:v>
                </c:pt>
                <c:pt idx="10">
                  <c:v>5.0000000000000044E-2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0760072"/>
        <c:axId val="330760456"/>
      </c:barChart>
      <c:catAx>
        <c:axId val="330760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760456"/>
        <c:crosses val="autoZero"/>
        <c:auto val="1"/>
        <c:lblAlgn val="ctr"/>
        <c:lblOffset val="100"/>
        <c:noMultiLvlLbl val="0"/>
      </c:catAx>
      <c:valAx>
        <c:axId val="33076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Groeth</a:t>
                </a:r>
                <a:r>
                  <a:rPr lang="en-IN" b="1" baseline="0"/>
                  <a:t> Rate % (Y-o-Y)</a:t>
                </a:r>
                <a:endParaRPr lang="en-IN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760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</a:rPr>
              <a:t>DEBT</a:t>
            </a:r>
            <a:r>
              <a:rPr lang="en-US" sz="1100" b="1" baseline="0">
                <a:solidFill>
                  <a:schemeClr val="bg1"/>
                </a:solidFill>
              </a:rPr>
              <a:t> SERVICE COVERAGE RATIO (Y-o-Y)</a:t>
            </a:r>
            <a:endParaRPr lang="en-US" sz="11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0649608333841993"/>
          <c:y val="3.767660289552769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DSCR!$A$13</c:f>
              <c:strCache>
                <c:ptCount val="1"/>
                <c:pt idx="0">
                  <c:v>DSCR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DSCR!$B$5:$L$5</c:f>
              <c:numCache>
                <c:formatCode>"FY"\ 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DSCR!$B$13:$L$13</c:f>
              <c:numCache>
                <c:formatCode>0.00</c:formatCode>
                <c:ptCount val="11"/>
                <c:pt idx="0">
                  <c:v>2.5360052980142465</c:v>
                </c:pt>
                <c:pt idx="1">
                  <c:v>2.2392720684852061</c:v>
                </c:pt>
                <c:pt idx="2">
                  <c:v>1.9547176514205926</c:v>
                </c:pt>
                <c:pt idx="3">
                  <c:v>2.0744111912078669</c:v>
                </c:pt>
                <c:pt idx="4">
                  <c:v>2.2171499138464661</c:v>
                </c:pt>
                <c:pt idx="5">
                  <c:v>2.1198641808761152</c:v>
                </c:pt>
                <c:pt idx="6">
                  <c:v>2.3073739569637604</c:v>
                </c:pt>
                <c:pt idx="7">
                  <c:v>2.2401899720069642</c:v>
                </c:pt>
                <c:pt idx="8">
                  <c:v>2.4844544451645656</c:v>
                </c:pt>
                <c:pt idx="9">
                  <c:v>2.4497138111753385</c:v>
                </c:pt>
                <c:pt idx="10">
                  <c:v>3.2291858457730926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0585640"/>
        <c:axId val="330580544"/>
      </c:barChart>
      <c:catAx>
        <c:axId val="330585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</a:t>
                </a:r>
                <a:r>
                  <a:rPr lang="en-IN" b="1" baseline="0"/>
                  <a:t> Year</a:t>
                </a:r>
                <a:endParaRPr lang="en-IN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580544"/>
        <c:crosses val="autoZero"/>
        <c:auto val="1"/>
        <c:lblAlgn val="ctr"/>
        <c:lblOffset val="100"/>
        <c:noMultiLvlLbl val="0"/>
      </c:catAx>
      <c:valAx>
        <c:axId val="33058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DSCR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58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247654</xdr:colOff>
      <xdr:row>52</xdr:row>
      <xdr:rowOff>176211</xdr:rowOff>
    </xdr:from>
    <xdr:to>
      <xdr:col>6</xdr:col>
      <xdr:colOff>647700</xdr:colOff>
      <xdr:row>70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257174</xdr:colOff>
      <xdr:row>53</xdr:row>
      <xdr:rowOff>4761</xdr:rowOff>
    </xdr:from>
    <xdr:to>
      <xdr:col>13</xdr:col>
      <xdr:colOff>2152649</xdr:colOff>
      <xdr:row>69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228599</xdr:colOff>
      <xdr:row>71</xdr:row>
      <xdr:rowOff>4761</xdr:rowOff>
    </xdr:from>
    <xdr:to>
      <xdr:col>7</xdr:col>
      <xdr:colOff>761999</xdr:colOff>
      <xdr:row>87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323849</xdr:colOff>
      <xdr:row>71</xdr:row>
      <xdr:rowOff>14286</xdr:rowOff>
    </xdr:from>
    <xdr:to>
      <xdr:col>13</xdr:col>
      <xdr:colOff>2143124</xdr:colOff>
      <xdr:row>86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16</xdr:row>
      <xdr:rowOff>4761</xdr:rowOff>
    </xdr:from>
    <xdr:to>
      <xdr:col>10</xdr:col>
      <xdr:colOff>9524</xdr:colOff>
      <xdr:row>34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02"/>
  <sheetViews>
    <sheetView zoomScale="101" workbookViewId="0">
      <selection activeCell="F173" sqref="F173"/>
    </sheetView>
  </sheetViews>
  <sheetFormatPr defaultColWidth="13" defaultRowHeight="15" x14ac:dyDescent="0.25"/>
  <cols>
    <col min="1" max="1" width="7.28515625" style="15" customWidth="1"/>
    <col min="2" max="2" width="47.42578125" style="5" customWidth="1"/>
    <col min="3" max="3" width="8.85546875" style="15" customWidth="1"/>
    <col min="4" max="4" width="9.42578125" style="15" customWidth="1"/>
    <col min="5" max="5" width="17.42578125" style="15" customWidth="1"/>
    <col min="6" max="6" width="19.140625" style="15" bestFit="1" customWidth="1"/>
    <col min="7" max="7" width="16.5703125" style="15" bestFit="1" customWidth="1"/>
    <col min="8" max="8" width="13.28515625" style="15" customWidth="1"/>
    <col min="9" max="11" width="13" style="15"/>
    <col min="12" max="12" width="13.28515625" style="15" customWidth="1"/>
    <col min="13" max="16384" width="13" style="15"/>
  </cols>
  <sheetData>
    <row r="1" spans="1:8" ht="24" customHeight="1" x14ac:dyDescent="0.25">
      <c r="A1" s="360" t="s">
        <v>6</v>
      </c>
      <c r="B1" s="360"/>
      <c r="C1" s="360"/>
      <c r="D1" s="360"/>
      <c r="E1" s="360"/>
      <c r="F1" s="360"/>
    </row>
    <row r="2" spans="1:8" s="4" customFormat="1" ht="30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742</v>
      </c>
    </row>
    <row r="3" spans="1:8" ht="22.35" customHeight="1" x14ac:dyDescent="0.25">
      <c r="A3" s="19" t="s">
        <v>91</v>
      </c>
      <c r="B3" s="361" t="s">
        <v>418</v>
      </c>
      <c r="C3" s="364"/>
      <c r="D3" s="364"/>
      <c r="E3" s="364"/>
      <c r="F3" s="365"/>
    </row>
    <row r="4" spans="1:8" ht="22.35" customHeight="1" x14ac:dyDescent="0.25">
      <c r="A4" s="9">
        <v>1</v>
      </c>
      <c r="B4" s="10" t="s">
        <v>743</v>
      </c>
      <c r="C4" s="9"/>
      <c r="D4" s="9"/>
      <c r="E4" s="11"/>
      <c r="F4" s="11"/>
    </row>
    <row r="5" spans="1:8" ht="22.35" hidden="1" customHeight="1" x14ac:dyDescent="0.25">
      <c r="A5" s="9"/>
      <c r="B5" s="46"/>
      <c r="C5" s="17"/>
      <c r="D5" s="9"/>
      <c r="E5" s="47"/>
      <c r="F5" s="51"/>
    </row>
    <row r="6" spans="1:8" ht="22.35" hidden="1" customHeight="1" x14ac:dyDescent="0.25">
      <c r="A6" s="9"/>
      <c r="B6" s="46"/>
      <c r="C6" s="17"/>
      <c r="D6" s="9"/>
      <c r="E6" s="47"/>
      <c r="F6" s="51"/>
    </row>
    <row r="7" spans="1:8" ht="22.35" hidden="1" customHeight="1" x14ac:dyDescent="0.25">
      <c r="A7" s="9"/>
      <c r="B7" s="46"/>
      <c r="C7" s="17"/>
      <c r="D7" s="9"/>
      <c r="E7" s="47"/>
      <c r="F7" s="51"/>
    </row>
    <row r="8" spans="1:8" s="6" customFormat="1" ht="22.35" customHeight="1" x14ac:dyDescent="0.25">
      <c r="A8" s="19"/>
      <c r="B8" s="10" t="s">
        <v>754</v>
      </c>
      <c r="C8" s="19"/>
      <c r="D8" s="19"/>
      <c r="E8" s="197"/>
      <c r="F8" s="52">
        <v>10000000</v>
      </c>
      <c r="H8" s="33"/>
    </row>
    <row r="9" spans="1:8" ht="22.35" customHeight="1" x14ac:dyDescent="0.25">
      <c r="A9" s="19" t="s">
        <v>92</v>
      </c>
      <c r="B9" s="361" t="s">
        <v>119</v>
      </c>
      <c r="C9" s="362"/>
      <c r="D9" s="362"/>
      <c r="E9" s="362"/>
      <c r="F9" s="363"/>
    </row>
    <row r="10" spans="1:8" ht="22.35" customHeight="1" x14ac:dyDescent="0.25">
      <c r="A10" s="19">
        <v>1</v>
      </c>
      <c r="B10" s="30" t="s">
        <v>120</v>
      </c>
      <c r="C10" s="9"/>
      <c r="D10" s="9"/>
      <c r="E10" s="47"/>
      <c r="F10" s="51"/>
    </row>
    <row r="11" spans="1:8" ht="22.35" customHeight="1" x14ac:dyDescent="0.25">
      <c r="A11" s="9" t="s">
        <v>97</v>
      </c>
      <c r="B11" s="10" t="s">
        <v>351</v>
      </c>
      <c r="C11" s="17">
        <v>120</v>
      </c>
      <c r="D11" s="9" t="s">
        <v>359</v>
      </c>
      <c r="E11" s="18">
        <v>12500</v>
      </c>
      <c r="F11" s="79">
        <f>C11*E11</f>
        <v>1500000</v>
      </c>
    </row>
    <row r="12" spans="1:8" ht="22.35" customHeight="1" x14ac:dyDescent="0.25">
      <c r="A12" s="9" t="s">
        <v>98</v>
      </c>
      <c r="B12" s="10" t="s">
        <v>646</v>
      </c>
      <c r="C12" s="17">
        <v>160</v>
      </c>
      <c r="D12" s="9" t="s">
        <v>359</v>
      </c>
      <c r="E12" s="18">
        <v>6100</v>
      </c>
      <c r="F12" s="79">
        <f t="shared" ref="F12:F21" si="0">C12*E12</f>
        <v>976000</v>
      </c>
    </row>
    <row r="13" spans="1:8" ht="22.35" customHeight="1" x14ac:dyDescent="0.25">
      <c r="A13" s="9" t="s">
        <v>99</v>
      </c>
      <c r="B13" s="10" t="s">
        <v>349</v>
      </c>
      <c r="C13" s="17">
        <v>16</v>
      </c>
      <c r="D13" s="9" t="s">
        <v>359</v>
      </c>
      <c r="E13" s="18">
        <v>7500</v>
      </c>
      <c r="F13" s="79">
        <f t="shared" si="0"/>
        <v>120000</v>
      </c>
    </row>
    <row r="14" spans="1:8" ht="22.35" customHeight="1" x14ac:dyDescent="0.25">
      <c r="A14" s="9" t="s">
        <v>106</v>
      </c>
      <c r="B14" s="10" t="s">
        <v>350</v>
      </c>
      <c r="C14" s="17">
        <v>2</v>
      </c>
      <c r="D14" s="9" t="s">
        <v>190</v>
      </c>
      <c r="E14" s="18">
        <v>150000</v>
      </c>
      <c r="F14" s="79">
        <f t="shared" si="0"/>
        <v>300000</v>
      </c>
    </row>
    <row r="15" spans="1:8" ht="22.35" customHeight="1" x14ac:dyDescent="0.25">
      <c r="A15" s="9" t="s">
        <v>107</v>
      </c>
      <c r="B15" s="10" t="s">
        <v>705</v>
      </c>
      <c r="C15" s="17">
        <v>800</v>
      </c>
      <c r="D15" s="9" t="s">
        <v>216</v>
      </c>
      <c r="E15" s="18">
        <v>4550</v>
      </c>
      <c r="F15" s="79">
        <f t="shared" si="0"/>
        <v>3640000</v>
      </c>
    </row>
    <row r="16" spans="1:8" ht="22.35" customHeight="1" x14ac:dyDescent="0.25">
      <c r="A16" s="9" t="s">
        <v>108</v>
      </c>
      <c r="B16" s="10" t="s">
        <v>706</v>
      </c>
      <c r="C16" s="17">
        <v>5840</v>
      </c>
      <c r="D16" s="9" t="s">
        <v>359</v>
      </c>
      <c r="E16" s="18">
        <v>700</v>
      </c>
      <c r="F16" s="79">
        <f t="shared" si="0"/>
        <v>4088000</v>
      </c>
    </row>
    <row r="17" spans="1:6" ht="22.35" customHeight="1" x14ac:dyDescent="0.25">
      <c r="A17" s="9" t="s">
        <v>109</v>
      </c>
      <c r="B17" s="10" t="s">
        <v>699</v>
      </c>
      <c r="C17" s="17">
        <v>350</v>
      </c>
      <c r="D17" s="9" t="s">
        <v>359</v>
      </c>
      <c r="E17" s="18">
        <v>2800</v>
      </c>
      <c r="F17" s="79">
        <f t="shared" si="0"/>
        <v>980000</v>
      </c>
    </row>
    <row r="18" spans="1:6" ht="22.35" customHeight="1" x14ac:dyDescent="0.25">
      <c r="A18" s="9" t="s">
        <v>110</v>
      </c>
      <c r="B18" s="10" t="s">
        <v>659</v>
      </c>
      <c r="C18" s="17">
        <v>600</v>
      </c>
      <c r="D18" s="9" t="s">
        <v>360</v>
      </c>
      <c r="E18" s="18">
        <v>4000</v>
      </c>
      <c r="F18" s="79">
        <f t="shared" si="0"/>
        <v>2400000</v>
      </c>
    </row>
    <row r="19" spans="1:6" ht="22.35" customHeight="1" x14ac:dyDescent="0.25">
      <c r="A19" s="9" t="s">
        <v>91</v>
      </c>
      <c r="B19" s="10" t="s">
        <v>600</v>
      </c>
      <c r="C19" s="17">
        <v>519</v>
      </c>
      <c r="D19" s="9" t="s">
        <v>359</v>
      </c>
      <c r="E19" s="18">
        <v>6100</v>
      </c>
      <c r="F19" s="79">
        <f t="shared" si="0"/>
        <v>3165900</v>
      </c>
    </row>
    <row r="20" spans="1:6" ht="22.35" customHeight="1" x14ac:dyDescent="0.25">
      <c r="A20" s="9" t="s">
        <v>111</v>
      </c>
      <c r="B20" s="10" t="s">
        <v>642</v>
      </c>
      <c r="C20" s="17">
        <v>7234</v>
      </c>
      <c r="D20" s="9" t="s">
        <v>360</v>
      </c>
      <c r="E20" s="18">
        <v>2425</v>
      </c>
      <c r="F20" s="79">
        <f t="shared" si="0"/>
        <v>17542450</v>
      </c>
    </row>
    <row r="21" spans="1:6" ht="22.35" customHeight="1" x14ac:dyDescent="0.25">
      <c r="A21" s="9" t="s">
        <v>352</v>
      </c>
      <c r="B21" s="10" t="s">
        <v>642</v>
      </c>
      <c r="C21" s="17">
        <v>7234</v>
      </c>
      <c r="D21" s="9" t="s">
        <v>360</v>
      </c>
      <c r="E21" s="18">
        <v>2425</v>
      </c>
      <c r="F21" s="79">
        <f t="shared" si="0"/>
        <v>17542450</v>
      </c>
    </row>
    <row r="22" spans="1:6" ht="22.5" customHeight="1" x14ac:dyDescent="0.25">
      <c r="A22" s="9" t="s">
        <v>347</v>
      </c>
      <c r="B22" s="10" t="s">
        <v>599</v>
      </c>
      <c r="C22" s="17">
        <v>100</v>
      </c>
      <c r="D22" s="9" t="s">
        <v>360</v>
      </c>
      <c r="E22" s="18">
        <v>4000</v>
      </c>
      <c r="F22" s="79">
        <f t="shared" ref="F22:F30" si="1">(C22*E22)</f>
        <v>400000</v>
      </c>
    </row>
    <row r="23" spans="1:6" ht="22.35" customHeight="1" x14ac:dyDescent="0.25">
      <c r="A23" s="9" t="s">
        <v>353</v>
      </c>
      <c r="B23" s="10" t="s">
        <v>412</v>
      </c>
      <c r="C23" s="17">
        <v>36</v>
      </c>
      <c r="D23" s="9" t="s">
        <v>359</v>
      </c>
      <c r="E23" s="18">
        <v>8000</v>
      </c>
      <c r="F23" s="79">
        <f t="shared" si="1"/>
        <v>288000</v>
      </c>
    </row>
    <row r="24" spans="1:6" ht="22.35" customHeight="1" x14ac:dyDescent="0.25">
      <c r="A24" s="9" t="s">
        <v>354</v>
      </c>
      <c r="B24" s="10" t="s">
        <v>601</v>
      </c>
      <c r="C24" s="17">
        <v>816</v>
      </c>
      <c r="D24" s="9" t="s">
        <v>359</v>
      </c>
      <c r="E24" s="18">
        <v>6100</v>
      </c>
      <c r="F24" s="79">
        <f t="shared" si="1"/>
        <v>4977600</v>
      </c>
    </row>
    <row r="25" spans="1:6" ht="22.35" customHeight="1" x14ac:dyDescent="0.25">
      <c r="A25" s="9" t="s">
        <v>355</v>
      </c>
      <c r="B25" s="10" t="s">
        <v>602</v>
      </c>
      <c r="C25" s="17">
        <v>400</v>
      </c>
      <c r="D25" s="9" t="s">
        <v>603</v>
      </c>
      <c r="E25" s="18">
        <v>4000</v>
      </c>
      <c r="F25" s="79">
        <f>(C25*E25)</f>
        <v>1600000</v>
      </c>
    </row>
    <row r="26" spans="1:6" ht="22.35" customHeight="1" x14ac:dyDescent="0.25">
      <c r="A26" s="9" t="s">
        <v>356</v>
      </c>
      <c r="B26" s="78" t="s">
        <v>704</v>
      </c>
      <c r="C26" s="9">
        <v>1000</v>
      </c>
      <c r="D26" s="9" t="s">
        <v>359</v>
      </c>
      <c r="E26" s="18">
        <v>500</v>
      </c>
      <c r="F26" s="79">
        <f>(C26*E26)</f>
        <v>500000</v>
      </c>
    </row>
    <row r="27" spans="1:6" ht="22.35" customHeight="1" x14ac:dyDescent="0.25">
      <c r="A27" s="9" t="s">
        <v>357</v>
      </c>
      <c r="B27" s="10" t="s">
        <v>700</v>
      </c>
      <c r="C27" s="17">
        <v>76</v>
      </c>
      <c r="D27" s="9" t="s">
        <v>359</v>
      </c>
      <c r="E27" s="18">
        <v>9500</v>
      </c>
      <c r="F27" s="79">
        <f>(C27*E27)</f>
        <v>722000</v>
      </c>
    </row>
    <row r="28" spans="1:6" ht="22.35" customHeight="1" x14ac:dyDescent="0.25">
      <c r="A28" s="9" t="s">
        <v>358</v>
      </c>
      <c r="B28" s="10" t="s">
        <v>701</v>
      </c>
      <c r="C28" s="17">
        <v>144</v>
      </c>
      <c r="D28" s="9" t="s">
        <v>359</v>
      </c>
      <c r="E28" s="18">
        <v>16000</v>
      </c>
      <c r="F28" s="79">
        <f>(C28*E28)</f>
        <v>2304000</v>
      </c>
    </row>
    <row r="29" spans="1:6" ht="22.35" customHeight="1" x14ac:dyDescent="0.25">
      <c r="A29" s="9" t="s">
        <v>604</v>
      </c>
      <c r="B29" s="78" t="s">
        <v>703</v>
      </c>
      <c r="C29" s="9">
        <v>60</v>
      </c>
      <c r="D29" s="9" t="s">
        <v>359</v>
      </c>
      <c r="E29" s="18">
        <v>10000</v>
      </c>
      <c r="F29" s="79">
        <f>(C29*E29)</f>
        <v>600000</v>
      </c>
    </row>
    <row r="30" spans="1:6" ht="22.35" customHeight="1" x14ac:dyDescent="0.25">
      <c r="A30" s="9" t="s">
        <v>702</v>
      </c>
      <c r="B30" s="10" t="s">
        <v>707</v>
      </c>
      <c r="C30" s="17">
        <v>20</v>
      </c>
      <c r="D30" s="9" t="s">
        <v>359</v>
      </c>
      <c r="E30" s="18">
        <v>4000</v>
      </c>
      <c r="F30" s="79">
        <f t="shared" si="1"/>
        <v>80000</v>
      </c>
    </row>
    <row r="31" spans="1:6" s="6" customFormat="1" ht="22.35" customHeight="1" x14ac:dyDescent="0.25">
      <c r="A31" s="19"/>
      <c r="B31" s="8" t="s">
        <v>118</v>
      </c>
      <c r="C31" s="49">
        <v>11284</v>
      </c>
      <c r="D31" s="9" t="s">
        <v>359</v>
      </c>
      <c r="E31" s="20"/>
      <c r="F31" s="52">
        <f>SUM(F10:F30)</f>
        <v>63726400</v>
      </c>
    </row>
    <row r="32" spans="1:6" s="6" customFormat="1" ht="22.35" customHeight="1" x14ac:dyDescent="0.25">
      <c r="A32" s="19">
        <v>2</v>
      </c>
      <c r="B32" s="30" t="s">
        <v>361</v>
      </c>
      <c r="C32" s="19"/>
      <c r="D32" s="19"/>
      <c r="E32" s="20"/>
      <c r="F32" s="47"/>
    </row>
    <row r="33" spans="1:6" s="6" customFormat="1" ht="22.35" customHeight="1" x14ac:dyDescent="0.25">
      <c r="A33" s="9" t="s">
        <v>97</v>
      </c>
      <c r="B33" s="65" t="s">
        <v>598</v>
      </c>
      <c r="C33" s="88">
        <v>519</v>
      </c>
      <c r="D33" s="9" t="s">
        <v>359</v>
      </c>
      <c r="E33" s="28">
        <v>1000</v>
      </c>
      <c r="F33" s="188">
        <f t="shared" ref="F33:F40" si="2">(C33*E33)</f>
        <v>519000</v>
      </c>
    </row>
    <row r="34" spans="1:6" s="6" customFormat="1" ht="22.35" customHeight="1" x14ac:dyDescent="0.25">
      <c r="A34" s="9" t="s">
        <v>98</v>
      </c>
      <c r="B34" s="65" t="s">
        <v>593</v>
      </c>
      <c r="C34" s="88">
        <v>150</v>
      </c>
      <c r="D34" s="9" t="s">
        <v>359</v>
      </c>
      <c r="E34" s="28">
        <v>1000</v>
      </c>
      <c r="F34" s="188">
        <f t="shared" si="2"/>
        <v>150000</v>
      </c>
    </row>
    <row r="35" spans="1:6" s="6" customFormat="1" ht="22.35" customHeight="1" x14ac:dyDescent="0.25">
      <c r="A35" s="9" t="s">
        <v>99</v>
      </c>
      <c r="B35" s="65" t="s">
        <v>594</v>
      </c>
      <c r="C35" s="88">
        <v>76</v>
      </c>
      <c r="D35" s="9" t="s">
        <v>359</v>
      </c>
      <c r="E35" s="28">
        <v>1000</v>
      </c>
      <c r="F35" s="188">
        <f t="shared" si="2"/>
        <v>76000</v>
      </c>
    </row>
    <row r="36" spans="1:6" s="6" customFormat="1" ht="22.35" customHeight="1" x14ac:dyDescent="0.25">
      <c r="A36" s="9" t="s">
        <v>106</v>
      </c>
      <c r="B36" s="65" t="s">
        <v>595</v>
      </c>
      <c r="C36" s="88">
        <v>100</v>
      </c>
      <c r="D36" s="9" t="s">
        <v>359</v>
      </c>
      <c r="E36" s="28">
        <v>1000</v>
      </c>
      <c r="F36" s="188">
        <f t="shared" si="2"/>
        <v>100000</v>
      </c>
    </row>
    <row r="37" spans="1:6" s="6" customFormat="1" ht="22.35" customHeight="1" x14ac:dyDescent="0.25">
      <c r="A37" s="9" t="s">
        <v>107</v>
      </c>
      <c r="B37" s="65" t="s">
        <v>596</v>
      </c>
      <c r="C37" s="88">
        <v>238</v>
      </c>
      <c r="D37" s="9" t="s">
        <v>359</v>
      </c>
      <c r="E37" s="28">
        <v>4000</v>
      </c>
      <c r="F37" s="188">
        <f t="shared" si="2"/>
        <v>952000</v>
      </c>
    </row>
    <row r="38" spans="1:6" s="6" customFormat="1" ht="22.35" customHeight="1" x14ac:dyDescent="0.25">
      <c r="A38" s="9" t="s">
        <v>108</v>
      </c>
      <c r="B38" s="65" t="s">
        <v>362</v>
      </c>
      <c r="C38" s="88">
        <v>12</v>
      </c>
      <c r="D38" s="9" t="s">
        <v>359</v>
      </c>
      <c r="E38" s="28">
        <v>1500</v>
      </c>
      <c r="F38" s="188">
        <f t="shared" si="2"/>
        <v>18000</v>
      </c>
    </row>
    <row r="39" spans="1:6" s="6" customFormat="1" ht="22.35" customHeight="1" x14ac:dyDescent="0.25">
      <c r="A39" s="9" t="s">
        <v>109</v>
      </c>
      <c r="B39" s="65" t="s">
        <v>597</v>
      </c>
      <c r="C39" s="88">
        <v>36</v>
      </c>
      <c r="D39" s="9" t="s">
        <v>359</v>
      </c>
      <c r="E39" s="28">
        <v>3500</v>
      </c>
      <c r="F39" s="188">
        <f t="shared" si="2"/>
        <v>126000</v>
      </c>
    </row>
    <row r="40" spans="1:6" s="6" customFormat="1" ht="22.35" customHeight="1" x14ac:dyDescent="0.25">
      <c r="A40" s="9" t="s">
        <v>110</v>
      </c>
      <c r="B40" s="65" t="s">
        <v>413</v>
      </c>
      <c r="C40" s="88">
        <v>1</v>
      </c>
      <c r="D40" s="9" t="s">
        <v>220</v>
      </c>
      <c r="E40" s="28">
        <v>100000</v>
      </c>
      <c r="F40" s="188">
        <f t="shared" si="2"/>
        <v>100000</v>
      </c>
    </row>
    <row r="41" spans="1:6" s="6" customFormat="1" ht="22.35" customHeight="1" x14ac:dyDescent="0.25">
      <c r="A41" s="9"/>
      <c r="B41" s="8" t="s">
        <v>5</v>
      </c>
      <c r="C41" s="49"/>
      <c r="D41" s="19"/>
      <c r="E41" s="20"/>
      <c r="F41" s="52">
        <f>SUM(F33:F40)</f>
        <v>2041000</v>
      </c>
    </row>
    <row r="42" spans="1:6" ht="22.35" customHeight="1" x14ac:dyDescent="0.25">
      <c r="A42" s="19">
        <v>3</v>
      </c>
      <c r="B42" s="30" t="s">
        <v>121</v>
      </c>
      <c r="C42" s="9"/>
      <c r="D42" s="9"/>
      <c r="E42" s="18"/>
      <c r="F42" s="51"/>
    </row>
    <row r="43" spans="1:6" ht="22.35" customHeight="1" x14ac:dyDescent="0.25">
      <c r="A43" s="9" t="s">
        <v>97</v>
      </c>
      <c r="B43" s="65" t="s">
        <v>123</v>
      </c>
      <c r="C43" s="9">
        <v>1</v>
      </c>
      <c r="D43" s="9" t="s">
        <v>217</v>
      </c>
      <c r="E43" s="47">
        <v>1450000</v>
      </c>
      <c r="F43" s="51">
        <f>(C43*E43)</f>
        <v>1450000</v>
      </c>
    </row>
    <row r="44" spans="1:6" ht="22.35" customHeight="1" x14ac:dyDescent="0.25">
      <c r="A44" s="9" t="s">
        <v>98</v>
      </c>
      <c r="B44" s="65" t="s">
        <v>228</v>
      </c>
      <c r="C44" s="9">
        <v>1</v>
      </c>
      <c r="D44" s="9" t="s">
        <v>217</v>
      </c>
      <c r="E44" s="47">
        <v>254900</v>
      </c>
      <c r="F44" s="51">
        <f>(C44*E44)</f>
        <v>254900</v>
      </c>
    </row>
    <row r="45" spans="1:6" ht="22.35" customHeight="1" x14ac:dyDescent="0.25">
      <c r="A45" s="9" t="s">
        <v>99</v>
      </c>
      <c r="B45" s="65" t="s">
        <v>388</v>
      </c>
      <c r="C45" s="9">
        <v>1000</v>
      </c>
      <c r="D45" s="9" t="s">
        <v>218</v>
      </c>
      <c r="E45" s="47">
        <v>12</v>
      </c>
      <c r="F45" s="51">
        <f>(C45*E45)</f>
        <v>12000</v>
      </c>
    </row>
    <row r="46" spans="1:6" s="6" customFormat="1" ht="22.35" customHeight="1" x14ac:dyDescent="0.25">
      <c r="A46" s="19"/>
      <c r="B46" s="8" t="s">
        <v>5</v>
      </c>
      <c r="C46" s="19"/>
      <c r="D46" s="19"/>
      <c r="E46" s="20"/>
      <c r="F46" s="52">
        <f>SUM(F43:F45)</f>
        <v>1716900</v>
      </c>
    </row>
    <row r="47" spans="1:6" ht="22.35" customHeight="1" x14ac:dyDescent="0.25">
      <c r="A47" s="19">
        <v>4</v>
      </c>
      <c r="B47" s="30" t="s">
        <v>348</v>
      </c>
      <c r="C47" s="9"/>
      <c r="D47" s="9"/>
      <c r="E47" s="9"/>
      <c r="F47" s="9"/>
    </row>
    <row r="48" spans="1:6" ht="22.35" customHeight="1" x14ac:dyDescent="0.25">
      <c r="A48" s="9" t="s">
        <v>97</v>
      </c>
      <c r="B48" s="46" t="s">
        <v>552</v>
      </c>
      <c r="C48" s="9">
        <v>12</v>
      </c>
      <c r="D48" s="9" t="s">
        <v>8</v>
      </c>
      <c r="E48" s="47">
        <f>(F31+F41+F46)</f>
        <v>67484300</v>
      </c>
      <c r="F48" s="51">
        <f>(C48*E48)/100</f>
        <v>8098116</v>
      </c>
    </row>
    <row r="49" spans="1:8" s="6" customFormat="1" ht="22.35" customHeight="1" x14ac:dyDescent="0.25">
      <c r="A49" s="141"/>
      <c r="B49" s="140" t="s">
        <v>264</v>
      </c>
      <c r="C49" s="141"/>
      <c r="D49" s="141"/>
      <c r="E49" s="143"/>
      <c r="F49" s="142">
        <f>(F31+F41+F46+F48)</f>
        <v>75582416</v>
      </c>
      <c r="G49" s="53">
        <f>F49-F48</f>
        <v>67484300</v>
      </c>
      <c r="H49" s="53"/>
    </row>
    <row r="50" spans="1:8" ht="22.35" customHeight="1" x14ac:dyDescent="0.25">
      <c r="A50" s="92" t="s">
        <v>95</v>
      </c>
      <c r="B50" s="366" t="s">
        <v>122</v>
      </c>
      <c r="C50" s="367"/>
      <c r="D50" s="367"/>
      <c r="E50" s="368"/>
      <c r="F50" s="369"/>
    </row>
    <row r="51" spans="1:8" ht="22.35" customHeight="1" x14ac:dyDescent="0.25">
      <c r="A51" s="19">
        <v>1</v>
      </c>
      <c r="B51" s="156" t="s">
        <v>636</v>
      </c>
      <c r="C51" s="46"/>
      <c r="D51" s="48"/>
      <c r="E51" s="9"/>
      <c r="F51" s="20"/>
    </row>
    <row r="52" spans="1:8" ht="22.35" customHeight="1" x14ac:dyDescent="0.25">
      <c r="A52" s="9" t="s">
        <v>97</v>
      </c>
      <c r="B52" s="158" t="s">
        <v>419</v>
      </c>
      <c r="C52" s="9">
        <v>1</v>
      </c>
      <c r="D52" s="9" t="s">
        <v>217</v>
      </c>
      <c r="E52" s="47">
        <v>1125000</v>
      </c>
      <c r="F52" s="51">
        <f>(C52*E52)</f>
        <v>1125000</v>
      </c>
    </row>
    <row r="53" spans="1:8" ht="18.75" customHeight="1" x14ac:dyDescent="0.25">
      <c r="A53" s="9" t="s">
        <v>98</v>
      </c>
      <c r="B53" s="158" t="s">
        <v>588</v>
      </c>
      <c r="C53" s="9">
        <v>1</v>
      </c>
      <c r="D53" s="9" t="s">
        <v>217</v>
      </c>
      <c r="E53" s="47">
        <v>650000</v>
      </c>
      <c r="F53" s="51">
        <f>(C53*E53)</f>
        <v>650000</v>
      </c>
    </row>
    <row r="54" spans="1:8" s="6" customFormat="1" ht="22.35" customHeight="1" x14ac:dyDescent="0.25">
      <c r="A54" s="19"/>
      <c r="B54" s="8" t="s">
        <v>5</v>
      </c>
      <c r="C54" s="19"/>
      <c r="D54" s="20"/>
      <c r="E54" s="48"/>
      <c r="F54" s="52">
        <f>SUM(F52:F53)</f>
        <v>1775000</v>
      </c>
    </row>
    <row r="55" spans="1:8" s="6" customFormat="1" ht="22.35" customHeight="1" x14ac:dyDescent="0.25">
      <c r="A55" s="19">
        <v>2</v>
      </c>
      <c r="B55" s="30" t="s">
        <v>709</v>
      </c>
      <c r="C55" s="19"/>
      <c r="D55" s="9"/>
      <c r="E55" s="47"/>
      <c r="F55" s="51"/>
    </row>
    <row r="56" spans="1:8" s="6" customFormat="1" ht="22.35" customHeight="1" x14ac:dyDescent="0.25">
      <c r="A56" s="9" t="s">
        <v>97</v>
      </c>
      <c r="B56" s="157" t="s">
        <v>592</v>
      </c>
      <c r="C56" s="9">
        <v>1</v>
      </c>
      <c r="D56" s="9" t="s">
        <v>217</v>
      </c>
      <c r="E56" s="47">
        <v>1050000</v>
      </c>
      <c r="F56" s="51">
        <f>E56</f>
        <v>1050000</v>
      </c>
    </row>
    <row r="57" spans="1:8" s="6" customFormat="1" ht="22.35" customHeight="1" x14ac:dyDescent="0.25">
      <c r="A57" s="9" t="s">
        <v>98</v>
      </c>
      <c r="B57" s="157" t="s">
        <v>591</v>
      </c>
      <c r="C57" s="9">
        <v>1</v>
      </c>
      <c r="D57" s="9" t="s">
        <v>217</v>
      </c>
      <c r="E57" s="47">
        <v>950000</v>
      </c>
      <c r="F57" s="51">
        <f>(C57*E57)</f>
        <v>950000</v>
      </c>
    </row>
    <row r="58" spans="1:8" s="6" customFormat="1" ht="22.35" customHeight="1" x14ac:dyDescent="0.25">
      <c r="A58" s="9" t="s">
        <v>99</v>
      </c>
      <c r="B58" s="157" t="s">
        <v>605</v>
      </c>
      <c r="C58" s="9">
        <v>2</v>
      </c>
      <c r="D58" s="9" t="s">
        <v>217</v>
      </c>
      <c r="E58" s="47">
        <v>2050000</v>
      </c>
      <c r="F58" s="51">
        <f>E58*C58</f>
        <v>4100000</v>
      </c>
    </row>
    <row r="59" spans="1:8" s="6" customFormat="1" ht="22.35" customHeight="1" x14ac:dyDescent="0.25">
      <c r="A59" s="19"/>
      <c r="B59" s="8" t="s">
        <v>5</v>
      </c>
      <c r="C59" s="19"/>
      <c r="D59" s="20"/>
      <c r="E59" s="48"/>
      <c r="F59" s="52">
        <f>SUM(F56:F58)</f>
        <v>6100000</v>
      </c>
    </row>
    <row r="60" spans="1:8" s="6" customFormat="1" ht="22.35" customHeight="1" x14ac:dyDescent="0.25">
      <c r="A60" s="8">
        <v>3</v>
      </c>
      <c r="B60" s="357" t="s">
        <v>405</v>
      </c>
      <c r="C60" s="358"/>
      <c r="D60" s="8"/>
      <c r="E60" s="47"/>
      <c r="F60" s="17"/>
    </row>
    <row r="61" spans="1:8" s="6" customFormat="1" ht="19.350000000000001" customHeight="1" x14ac:dyDescent="0.25">
      <c r="A61" s="9" t="s">
        <v>97</v>
      </c>
      <c r="B61" s="65" t="s">
        <v>643</v>
      </c>
      <c r="C61" s="9" t="s">
        <v>637</v>
      </c>
      <c r="D61" s="9" t="s">
        <v>420</v>
      </c>
      <c r="E61" s="17" t="s">
        <v>406</v>
      </c>
      <c r="F61" s="17" t="s">
        <v>406</v>
      </c>
    </row>
    <row r="62" spans="1:8" s="6" customFormat="1" ht="22.35" customHeight="1" x14ac:dyDescent="0.25">
      <c r="A62" s="9" t="s">
        <v>98</v>
      </c>
      <c r="B62" s="65" t="s">
        <v>363</v>
      </c>
      <c r="C62" s="9">
        <v>2</v>
      </c>
      <c r="D62" s="9" t="s">
        <v>217</v>
      </c>
      <c r="E62" s="17" t="s">
        <v>406</v>
      </c>
      <c r="F62" s="17" t="s">
        <v>406</v>
      </c>
    </row>
    <row r="63" spans="1:8" s="6" customFormat="1" ht="22.35" customHeight="1" x14ac:dyDescent="0.25">
      <c r="A63" s="9" t="s">
        <v>99</v>
      </c>
      <c r="B63" s="65" t="s">
        <v>364</v>
      </c>
      <c r="C63" s="9">
        <v>2</v>
      </c>
      <c r="D63" s="9" t="s">
        <v>217</v>
      </c>
      <c r="E63" s="17" t="s">
        <v>406</v>
      </c>
      <c r="F63" s="17" t="s">
        <v>406</v>
      </c>
    </row>
    <row r="64" spans="1:8" s="6" customFormat="1" ht="22.35" customHeight="1" x14ac:dyDescent="0.25">
      <c r="A64" s="9" t="s">
        <v>106</v>
      </c>
      <c r="B64" s="65" t="s">
        <v>589</v>
      </c>
      <c r="C64" s="9">
        <v>2</v>
      </c>
      <c r="D64" s="9" t="s">
        <v>217</v>
      </c>
      <c r="E64" s="17" t="s">
        <v>406</v>
      </c>
      <c r="F64" s="17" t="s">
        <v>406</v>
      </c>
    </row>
    <row r="65" spans="1:8" s="6" customFormat="1" ht="22.35" customHeight="1" x14ac:dyDescent="0.25">
      <c r="A65" s="9" t="s">
        <v>107</v>
      </c>
      <c r="B65" s="65" t="s">
        <v>366</v>
      </c>
      <c r="C65" s="9">
        <v>4</v>
      </c>
      <c r="D65" s="9" t="s">
        <v>217</v>
      </c>
      <c r="E65" s="17" t="s">
        <v>406</v>
      </c>
      <c r="F65" s="17" t="s">
        <v>406</v>
      </c>
    </row>
    <row r="66" spans="1:8" s="6" customFormat="1" ht="22.35" customHeight="1" x14ac:dyDescent="0.25">
      <c r="A66" s="19"/>
      <c r="B66" s="8" t="s">
        <v>5</v>
      </c>
      <c r="C66" s="8">
        <v>2</v>
      </c>
      <c r="D66" s="19" t="s">
        <v>647</v>
      </c>
      <c r="E66" s="52">
        <v>3514000</v>
      </c>
      <c r="F66" s="52">
        <f>E66*C66</f>
        <v>7028000</v>
      </c>
    </row>
    <row r="67" spans="1:8" s="6" customFormat="1" ht="22.35" customHeight="1" x14ac:dyDescent="0.25">
      <c r="A67" s="8">
        <v>4</v>
      </c>
      <c r="B67" s="30" t="s">
        <v>437</v>
      </c>
      <c r="C67" s="155"/>
      <c r="D67" s="19"/>
      <c r="E67" s="47"/>
      <c r="F67" s="52"/>
    </row>
    <row r="68" spans="1:8" s="6" customFormat="1" ht="22.35" customHeight="1" x14ac:dyDescent="0.25">
      <c r="A68" s="9" t="s">
        <v>97</v>
      </c>
      <c r="B68" s="65" t="s">
        <v>438</v>
      </c>
      <c r="C68" s="9">
        <v>3</v>
      </c>
      <c r="D68" s="9" t="s">
        <v>217</v>
      </c>
      <c r="E68" s="17" t="s">
        <v>406</v>
      </c>
      <c r="F68" s="17" t="s">
        <v>406</v>
      </c>
    </row>
    <row r="69" spans="1:8" s="6" customFormat="1" ht="22.35" customHeight="1" x14ac:dyDescent="0.25">
      <c r="A69" s="9" t="s">
        <v>98</v>
      </c>
      <c r="B69" s="65" t="s">
        <v>439</v>
      </c>
      <c r="C69" s="9">
        <v>1</v>
      </c>
      <c r="D69" s="9" t="s">
        <v>217</v>
      </c>
      <c r="E69" s="17" t="s">
        <v>406</v>
      </c>
      <c r="F69" s="17" t="s">
        <v>406</v>
      </c>
    </row>
    <row r="70" spans="1:8" s="6" customFormat="1" ht="22.35" customHeight="1" x14ac:dyDescent="0.25">
      <c r="A70" s="9" t="s">
        <v>99</v>
      </c>
      <c r="B70" s="65" t="s">
        <v>440</v>
      </c>
      <c r="C70" s="9">
        <v>1</v>
      </c>
      <c r="D70" s="9" t="s">
        <v>217</v>
      </c>
      <c r="E70" s="17" t="s">
        <v>406</v>
      </c>
      <c r="F70" s="17" t="s">
        <v>406</v>
      </c>
    </row>
    <row r="71" spans="1:8" s="6" customFormat="1" ht="22.35" customHeight="1" x14ac:dyDescent="0.25">
      <c r="A71" s="9"/>
      <c r="B71" s="8" t="s">
        <v>5</v>
      </c>
      <c r="C71" s="155"/>
      <c r="D71" s="9"/>
      <c r="E71" s="17"/>
      <c r="F71" s="52">
        <v>6525000</v>
      </c>
    </row>
    <row r="72" spans="1:8" ht="22.35" customHeight="1" x14ac:dyDescent="0.25">
      <c r="A72" s="19">
        <v>5</v>
      </c>
      <c r="B72" s="355" t="s">
        <v>403</v>
      </c>
      <c r="C72" s="356"/>
      <c r="D72" s="9"/>
      <c r="E72" s="47"/>
      <c r="F72" s="47"/>
      <c r="H72" s="6"/>
    </row>
    <row r="73" spans="1:8" ht="22.35" customHeight="1" x14ac:dyDescent="0.25">
      <c r="A73" s="9" t="s">
        <v>97</v>
      </c>
      <c r="B73" s="65" t="s">
        <v>362</v>
      </c>
      <c r="C73" s="45">
        <v>2</v>
      </c>
      <c r="D73" s="9" t="s">
        <v>217</v>
      </c>
      <c r="E73" s="17" t="s">
        <v>406</v>
      </c>
      <c r="F73" s="17" t="s">
        <v>406</v>
      </c>
      <c r="H73" s="6"/>
    </row>
    <row r="74" spans="1:8" ht="22.35" customHeight="1" x14ac:dyDescent="0.25">
      <c r="A74" s="9" t="s">
        <v>98</v>
      </c>
      <c r="B74" s="65" t="s">
        <v>421</v>
      </c>
      <c r="C74" s="45">
        <v>12</v>
      </c>
      <c r="D74" s="9" t="s">
        <v>217</v>
      </c>
      <c r="E74" s="17" t="s">
        <v>406</v>
      </c>
      <c r="F74" s="17" t="s">
        <v>406</v>
      </c>
      <c r="H74" s="6"/>
    </row>
    <row r="75" spans="1:8" ht="22.35" customHeight="1" x14ac:dyDescent="0.25">
      <c r="A75" s="9" t="s">
        <v>106</v>
      </c>
      <c r="B75" s="65" t="s">
        <v>590</v>
      </c>
      <c r="C75" s="45">
        <v>2</v>
      </c>
      <c r="D75" s="9" t="s">
        <v>217</v>
      </c>
      <c r="E75" s="17" t="s">
        <v>406</v>
      </c>
      <c r="F75" s="17" t="s">
        <v>406</v>
      </c>
      <c r="H75" s="6"/>
    </row>
    <row r="76" spans="1:8" ht="22.35" customHeight="1" x14ac:dyDescent="0.25">
      <c r="A76" s="9" t="s">
        <v>107</v>
      </c>
      <c r="B76" s="65" t="s">
        <v>370</v>
      </c>
      <c r="C76" s="45">
        <v>4</v>
      </c>
      <c r="D76" s="9" t="s">
        <v>217</v>
      </c>
      <c r="E76" s="17" t="s">
        <v>406</v>
      </c>
      <c r="F76" s="17" t="s">
        <v>406</v>
      </c>
      <c r="H76" s="6"/>
    </row>
    <row r="77" spans="1:8" ht="22.35" customHeight="1" x14ac:dyDescent="0.25">
      <c r="A77" s="9" t="s">
        <v>108</v>
      </c>
      <c r="B77" s="65" t="s">
        <v>366</v>
      </c>
      <c r="C77" s="45">
        <v>4</v>
      </c>
      <c r="D77" s="9" t="s">
        <v>217</v>
      </c>
      <c r="E77" s="17" t="s">
        <v>406</v>
      </c>
      <c r="F77" s="17" t="s">
        <v>406</v>
      </c>
      <c r="H77" s="6"/>
    </row>
    <row r="78" spans="1:8" ht="22.35" customHeight="1" x14ac:dyDescent="0.25">
      <c r="A78" s="9" t="s">
        <v>109</v>
      </c>
      <c r="B78" s="65" t="s">
        <v>374</v>
      </c>
      <c r="C78" s="45">
        <v>8</v>
      </c>
      <c r="D78" s="9" t="s">
        <v>217</v>
      </c>
      <c r="E78" s="17" t="s">
        <v>406</v>
      </c>
      <c r="F78" s="17" t="s">
        <v>406</v>
      </c>
      <c r="H78" s="6"/>
    </row>
    <row r="79" spans="1:8" ht="22.35" customHeight="1" x14ac:dyDescent="0.25">
      <c r="A79" s="9" t="s">
        <v>110</v>
      </c>
      <c r="B79" s="65" t="s">
        <v>375</v>
      </c>
      <c r="C79" s="45">
        <v>2</v>
      </c>
      <c r="D79" s="9" t="s">
        <v>217</v>
      </c>
      <c r="E79" s="17" t="s">
        <v>406</v>
      </c>
      <c r="F79" s="17" t="s">
        <v>406</v>
      </c>
    </row>
    <row r="80" spans="1:8" ht="22.35" customHeight="1" x14ac:dyDescent="0.25">
      <c r="A80" s="9" t="s">
        <v>91</v>
      </c>
      <c r="B80" s="65" t="s">
        <v>376</v>
      </c>
      <c r="C80" s="45">
        <v>2</v>
      </c>
      <c r="D80" s="9" t="s">
        <v>217</v>
      </c>
      <c r="E80" s="17" t="s">
        <v>406</v>
      </c>
      <c r="F80" s="17" t="s">
        <v>406</v>
      </c>
    </row>
    <row r="81" spans="1:6" ht="22.35" customHeight="1" x14ac:dyDescent="0.25">
      <c r="A81" s="9" t="s">
        <v>111</v>
      </c>
      <c r="B81" s="65" t="s">
        <v>377</v>
      </c>
      <c r="C81" s="45">
        <v>4</v>
      </c>
      <c r="D81" s="9" t="s">
        <v>217</v>
      </c>
      <c r="E81" s="17" t="s">
        <v>406</v>
      </c>
      <c r="F81" s="17" t="s">
        <v>406</v>
      </c>
    </row>
    <row r="82" spans="1:6" ht="22.35" customHeight="1" x14ac:dyDescent="0.25">
      <c r="A82" s="9" t="s">
        <v>352</v>
      </c>
      <c r="B82" s="65" t="s">
        <v>378</v>
      </c>
      <c r="C82" s="45">
        <v>2</v>
      </c>
      <c r="D82" s="9" t="s">
        <v>217</v>
      </c>
      <c r="E82" s="17" t="s">
        <v>406</v>
      </c>
      <c r="F82" s="17" t="s">
        <v>406</v>
      </c>
    </row>
    <row r="83" spans="1:6" s="6" customFormat="1" ht="22.35" customHeight="1" x14ac:dyDescent="0.25">
      <c r="A83" s="9"/>
      <c r="B83" s="8" t="s">
        <v>5</v>
      </c>
      <c r="C83" s="19">
        <v>2</v>
      </c>
      <c r="D83" s="19" t="s">
        <v>217</v>
      </c>
      <c r="E83" s="52">
        <v>17525000</v>
      </c>
      <c r="F83" s="52">
        <f>E83*C83</f>
        <v>35050000</v>
      </c>
    </row>
    <row r="84" spans="1:6" s="6" customFormat="1" ht="22.35" customHeight="1" x14ac:dyDescent="0.25">
      <c r="A84" s="19">
        <v>6</v>
      </c>
      <c r="B84" s="355" t="s">
        <v>422</v>
      </c>
      <c r="C84" s="359"/>
      <c r="D84" s="9"/>
      <c r="E84" s="47"/>
      <c r="F84" s="47"/>
    </row>
    <row r="85" spans="1:6" s="6" customFormat="1" ht="22.35" customHeight="1" x14ac:dyDescent="0.25">
      <c r="A85" s="9" t="s">
        <v>97</v>
      </c>
      <c r="B85" s="65" t="s">
        <v>371</v>
      </c>
      <c r="C85" s="373">
        <v>2</v>
      </c>
      <c r="D85" s="9" t="s">
        <v>217</v>
      </c>
      <c r="E85" s="370">
        <v>4140000</v>
      </c>
      <c r="F85" s="370">
        <f>E85 *C85</f>
        <v>8280000</v>
      </c>
    </row>
    <row r="86" spans="1:6" s="6" customFormat="1" ht="22.35" customHeight="1" x14ac:dyDescent="0.25">
      <c r="A86" s="9" t="s">
        <v>98</v>
      </c>
      <c r="B86" s="65" t="s">
        <v>372</v>
      </c>
      <c r="C86" s="374"/>
      <c r="D86" s="9" t="s">
        <v>217</v>
      </c>
      <c r="E86" s="371"/>
      <c r="F86" s="371"/>
    </row>
    <row r="87" spans="1:6" s="6" customFormat="1" ht="22.35" customHeight="1" x14ac:dyDescent="0.25">
      <c r="A87" s="9" t="s">
        <v>99</v>
      </c>
      <c r="B87" s="65" t="s">
        <v>373</v>
      </c>
      <c r="C87" s="374"/>
      <c r="D87" s="9" t="s">
        <v>217</v>
      </c>
      <c r="E87" s="371"/>
      <c r="F87" s="371"/>
    </row>
    <row r="88" spans="1:6" s="6" customFormat="1" ht="22.35" customHeight="1" x14ac:dyDescent="0.25">
      <c r="A88" s="9" t="s">
        <v>106</v>
      </c>
      <c r="B88" s="65" t="s">
        <v>649</v>
      </c>
      <c r="C88" s="374"/>
      <c r="D88" s="9" t="s">
        <v>217</v>
      </c>
      <c r="E88" s="371"/>
      <c r="F88" s="371"/>
    </row>
    <row r="89" spans="1:6" s="6" customFormat="1" ht="30" x14ac:dyDescent="0.25">
      <c r="A89" s="9" t="s">
        <v>107</v>
      </c>
      <c r="B89" s="65" t="s">
        <v>650</v>
      </c>
      <c r="C89" s="375"/>
      <c r="D89" s="9" t="s">
        <v>217</v>
      </c>
      <c r="E89" s="372"/>
      <c r="F89" s="372"/>
    </row>
    <row r="90" spans="1:6" s="6" customFormat="1" ht="22.5" customHeight="1" x14ac:dyDescent="0.25">
      <c r="A90" s="9"/>
      <c r="B90" s="65"/>
      <c r="C90" s="76"/>
      <c r="D90" s="9"/>
      <c r="E90" s="154"/>
      <c r="F90" s="154"/>
    </row>
    <row r="91" spans="1:6" s="6" customFormat="1" ht="22.35" customHeight="1" x14ac:dyDescent="0.25">
      <c r="A91" s="19"/>
      <c r="B91" s="8" t="s">
        <v>5</v>
      </c>
      <c r="C91" s="50"/>
      <c r="D91" s="19"/>
      <c r="E91" s="154"/>
      <c r="F91" s="52">
        <f>F85+F90</f>
        <v>8280000</v>
      </c>
    </row>
    <row r="92" spans="1:6" s="6" customFormat="1" ht="22.35" customHeight="1" x14ac:dyDescent="0.25">
      <c r="A92" s="19">
        <v>7</v>
      </c>
      <c r="B92" s="355" t="s">
        <v>404</v>
      </c>
      <c r="C92" s="359"/>
      <c r="D92" s="9"/>
      <c r="E92" s="47"/>
      <c r="F92" s="47"/>
    </row>
    <row r="93" spans="1:6" s="6" customFormat="1" ht="22.35" customHeight="1" x14ac:dyDescent="0.25">
      <c r="A93" s="9" t="s">
        <v>97</v>
      </c>
      <c r="B93" s="65" t="s">
        <v>424</v>
      </c>
      <c r="C93" s="9">
        <v>1</v>
      </c>
      <c r="D93" s="9" t="s">
        <v>217</v>
      </c>
      <c r="E93" s="17" t="s">
        <v>406</v>
      </c>
      <c r="F93" s="17" t="s">
        <v>406</v>
      </c>
    </row>
    <row r="94" spans="1:6" s="6" customFormat="1" ht="22.35" customHeight="1" x14ac:dyDescent="0.25">
      <c r="A94" s="9" t="s">
        <v>98</v>
      </c>
      <c r="B94" s="65" t="s">
        <v>369</v>
      </c>
      <c r="C94" s="9">
        <v>1</v>
      </c>
      <c r="D94" s="9" t="s">
        <v>217</v>
      </c>
      <c r="E94" s="17" t="s">
        <v>406</v>
      </c>
      <c r="F94" s="17" t="s">
        <v>406</v>
      </c>
    </row>
    <row r="95" spans="1:6" s="6" customFormat="1" ht="22.35" customHeight="1" x14ac:dyDescent="0.25">
      <c r="A95" s="9" t="s">
        <v>99</v>
      </c>
      <c r="B95" s="65" t="s">
        <v>365</v>
      </c>
      <c r="C95" s="9">
        <v>1</v>
      </c>
      <c r="D95" s="9" t="s">
        <v>217</v>
      </c>
      <c r="E95" s="17" t="s">
        <v>406</v>
      </c>
      <c r="F95" s="17" t="s">
        <v>406</v>
      </c>
    </row>
    <row r="96" spans="1:6" s="6" customFormat="1" ht="22.35" customHeight="1" x14ac:dyDescent="0.25">
      <c r="A96" s="9" t="s">
        <v>106</v>
      </c>
      <c r="B96" s="65" t="s">
        <v>370</v>
      </c>
      <c r="C96" s="9">
        <v>1</v>
      </c>
      <c r="D96" s="9" t="s">
        <v>217</v>
      </c>
      <c r="E96" s="17" t="s">
        <v>406</v>
      </c>
      <c r="F96" s="17" t="s">
        <v>406</v>
      </c>
    </row>
    <row r="97" spans="1:6" s="6" customFormat="1" ht="22.35" customHeight="1" x14ac:dyDescent="0.25">
      <c r="A97" s="9" t="s">
        <v>107</v>
      </c>
      <c r="B97" s="65" t="s">
        <v>366</v>
      </c>
      <c r="C97" s="9">
        <v>2</v>
      </c>
      <c r="D97" s="9" t="s">
        <v>217</v>
      </c>
      <c r="E97" s="17" t="s">
        <v>406</v>
      </c>
      <c r="F97" s="17" t="s">
        <v>406</v>
      </c>
    </row>
    <row r="98" spans="1:6" s="6" customFormat="1" ht="22.35" customHeight="1" x14ac:dyDescent="0.25">
      <c r="A98" s="9" t="s">
        <v>108</v>
      </c>
      <c r="B98" s="65" t="s">
        <v>367</v>
      </c>
      <c r="C98" s="9">
        <v>1</v>
      </c>
      <c r="D98" s="9" t="s">
        <v>217</v>
      </c>
      <c r="E98" s="17" t="s">
        <v>406</v>
      </c>
      <c r="F98" s="17" t="s">
        <v>406</v>
      </c>
    </row>
    <row r="99" spans="1:6" s="6" customFormat="1" ht="22.35" customHeight="1" x14ac:dyDescent="0.25">
      <c r="A99" s="9" t="s">
        <v>109</v>
      </c>
      <c r="B99" s="65" t="s">
        <v>368</v>
      </c>
      <c r="C99" s="9">
        <v>2</v>
      </c>
      <c r="D99" s="9" t="s">
        <v>217</v>
      </c>
      <c r="E99" s="17" t="s">
        <v>406</v>
      </c>
      <c r="F99" s="17" t="s">
        <v>406</v>
      </c>
    </row>
    <row r="100" spans="1:6" s="6" customFormat="1" ht="22.35" customHeight="1" x14ac:dyDescent="0.25">
      <c r="A100" s="19"/>
      <c r="B100" s="8" t="s">
        <v>5</v>
      </c>
      <c r="C100" s="50"/>
      <c r="D100" s="19"/>
      <c r="E100" s="48"/>
      <c r="F100" s="52">
        <v>2050000</v>
      </c>
    </row>
    <row r="101" spans="1:6" s="6" customFormat="1" ht="34.5" customHeight="1" x14ac:dyDescent="0.25">
      <c r="A101" s="19">
        <v>8</v>
      </c>
      <c r="B101" s="357" t="s">
        <v>660</v>
      </c>
      <c r="C101" s="386"/>
      <c r="D101" s="10"/>
      <c r="E101" s="48"/>
      <c r="F101" s="52"/>
    </row>
    <row r="102" spans="1:6" s="6" customFormat="1" ht="22.35" customHeight="1" x14ac:dyDescent="0.25">
      <c r="A102" s="9" t="s">
        <v>97</v>
      </c>
      <c r="B102" s="10" t="s">
        <v>606</v>
      </c>
      <c r="C102" s="12">
        <v>1</v>
      </c>
      <c r="D102" s="12" t="s">
        <v>217</v>
      </c>
      <c r="E102" s="17" t="s">
        <v>608</v>
      </c>
      <c r="F102" s="17" t="s">
        <v>608</v>
      </c>
    </row>
    <row r="103" spans="1:6" s="6" customFormat="1" ht="22.35" customHeight="1" x14ac:dyDescent="0.25">
      <c r="A103" s="9" t="s">
        <v>98</v>
      </c>
      <c r="B103" s="10" t="s">
        <v>607</v>
      </c>
      <c r="C103" s="12" t="s">
        <v>423</v>
      </c>
      <c r="D103" s="12" t="s">
        <v>323</v>
      </c>
      <c r="E103" s="17" t="s">
        <v>608</v>
      </c>
      <c r="F103" s="17" t="s">
        <v>608</v>
      </c>
    </row>
    <row r="104" spans="1:6" s="6" customFormat="1" ht="22.35" customHeight="1" x14ac:dyDescent="0.25">
      <c r="A104" s="19"/>
      <c r="B104" s="8" t="s">
        <v>5</v>
      </c>
      <c r="C104" s="10"/>
      <c r="D104" s="10"/>
      <c r="E104" s="48"/>
      <c r="F104" s="52">
        <v>2950000</v>
      </c>
    </row>
    <row r="105" spans="1:6" ht="30" customHeight="1" x14ac:dyDescent="0.25">
      <c r="A105" s="19">
        <v>9</v>
      </c>
      <c r="B105" s="357" t="s">
        <v>661</v>
      </c>
      <c r="C105" s="386"/>
      <c r="D105" s="9"/>
      <c r="E105" s="47"/>
      <c r="F105" s="47"/>
    </row>
    <row r="106" spans="1:6" ht="18" customHeight="1" x14ac:dyDescent="0.25">
      <c r="A106" s="9" t="s">
        <v>97</v>
      </c>
      <c r="B106" s="26" t="s">
        <v>425</v>
      </c>
      <c r="C106" s="77">
        <v>1</v>
      </c>
      <c r="D106" s="9" t="s">
        <v>217</v>
      </c>
      <c r="E106" s="17" t="s">
        <v>406</v>
      </c>
      <c r="F106" s="17" t="s">
        <v>406</v>
      </c>
    </row>
    <row r="107" spans="1:6" ht="36" customHeight="1" x14ac:dyDescent="0.25">
      <c r="A107" s="9" t="s">
        <v>98</v>
      </c>
      <c r="B107" s="26" t="s">
        <v>662</v>
      </c>
      <c r="C107" s="77">
        <v>1</v>
      </c>
      <c r="D107" s="9" t="s">
        <v>217</v>
      </c>
      <c r="E107" s="17" t="s">
        <v>406</v>
      </c>
      <c r="F107" s="17" t="s">
        <v>406</v>
      </c>
    </row>
    <row r="108" spans="1:6" ht="62.25" customHeight="1" x14ac:dyDescent="0.25">
      <c r="A108" s="9" t="s">
        <v>99</v>
      </c>
      <c r="B108" s="26" t="s">
        <v>663</v>
      </c>
      <c r="C108" s="77">
        <v>1</v>
      </c>
      <c r="D108" s="9" t="s">
        <v>217</v>
      </c>
      <c r="E108" s="17" t="s">
        <v>406</v>
      </c>
      <c r="F108" s="17" t="s">
        <v>406</v>
      </c>
    </row>
    <row r="109" spans="1:6" ht="18" customHeight="1" x14ac:dyDescent="0.25">
      <c r="A109" s="9" t="s">
        <v>106</v>
      </c>
      <c r="B109" s="26" t="s">
        <v>426</v>
      </c>
      <c r="C109" s="77">
        <v>1</v>
      </c>
      <c r="D109" s="9" t="s">
        <v>217</v>
      </c>
      <c r="E109" s="17" t="s">
        <v>406</v>
      </c>
      <c r="F109" s="17" t="s">
        <v>406</v>
      </c>
    </row>
    <row r="110" spans="1:6" ht="18" customHeight="1" x14ac:dyDescent="0.25">
      <c r="A110" s="9" t="s">
        <v>107</v>
      </c>
      <c r="B110" s="26" t="s">
        <v>427</v>
      </c>
      <c r="C110" s="77">
        <v>1</v>
      </c>
      <c r="D110" s="9" t="s">
        <v>217</v>
      </c>
      <c r="E110" s="17" t="s">
        <v>406</v>
      </c>
      <c r="F110" s="17" t="s">
        <v>406</v>
      </c>
    </row>
    <row r="111" spans="1:6" ht="18" customHeight="1" x14ac:dyDescent="0.25">
      <c r="A111" s="9" t="s">
        <v>108</v>
      </c>
      <c r="B111" s="26" t="s">
        <v>428</v>
      </c>
      <c r="C111" s="77">
        <v>1</v>
      </c>
      <c r="D111" s="9" t="s">
        <v>217</v>
      </c>
      <c r="E111" s="17" t="s">
        <v>406</v>
      </c>
      <c r="F111" s="17" t="s">
        <v>406</v>
      </c>
    </row>
    <row r="112" spans="1:6" ht="18" customHeight="1" x14ac:dyDescent="0.25">
      <c r="A112" s="9"/>
      <c r="B112" s="78"/>
      <c r="C112" s="77"/>
      <c r="D112" s="9"/>
      <c r="E112" s="17"/>
      <c r="F112" s="17"/>
    </row>
    <row r="113" spans="1:6" ht="22.35" customHeight="1" x14ac:dyDescent="0.25">
      <c r="A113" s="9"/>
      <c r="B113" s="8" t="s">
        <v>5</v>
      </c>
      <c r="C113" s="19"/>
      <c r="D113" s="19"/>
      <c r="E113" s="48"/>
      <c r="F113" s="52">
        <v>23500000</v>
      </c>
    </row>
    <row r="114" spans="1:6" ht="29.1" customHeight="1" x14ac:dyDescent="0.25">
      <c r="A114" s="19">
        <v>10</v>
      </c>
      <c r="B114" s="357" t="s">
        <v>638</v>
      </c>
      <c r="C114" s="386"/>
      <c r="D114" s="19"/>
      <c r="E114" s="48"/>
      <c r="F114" s="52"/>
    </row>
    <row r="115" spans="1:6" ht="22.35" customHeight="1" x14ac:dyDescent="0.25">
      <c r="A115" s="9" t="s">
        <v>97</v>
      </c>
      <c r="B115" s="78" t="s">
        <v>639</v>
      </c>
      <c r="C115" s="77">
        <v>1</v>
      </c>
      <c r="D115" s="9" t="s">
        <v>217</v>
      </c>
      <c r="E115" s="17" t="s">
        <v>406</v>
      </c>
      <c r="F115" s="17" t="s">
        <v>406</v>
      </c>
    </row>
    <row r="116" spans="1:6" ht="22.35" customHeight="1" x14ac:dyDescent="0.25">
      <c r="A116" s="9" t="s">
        <v>98</v>
      </c>
      <c r="B116" s="135" t="s">
        <v>665</v>
      </c>
      <c r="C116" s="77">
        <v>1</v>
      </c>
      <c r="D116" s="9" t="s">
        <v>217</v>
      </c>
      <c r="E116" s="17" t="s">
        <v>406</v>
      </c>
      <c r="F116" s="17" t="s">
        <v>406</v>
      </c>
    </row>
    <row r="117" spans="1:6" ht="22.35" customHeight="1" x14ac:dyDescent="0.25">
      <c r="A117" s="9"/>
      <c r="B117" s="8" t="s">
        <v>5</v>
      </c>
      <c r="C117" s="134"/>
      <c r="D117" s="19"/>
      <c r="E117" s="48"/>
      <c r="F117" s="52">
        <v>8550000</v>
      </c>
    </row>
    <row r="118" spans="1:6" ht="27" customHeight="1" x14ac:dyDescent="0.25">
      <c r="A118" s="19">
        <v>11</v>
      </c>
      <c r="B118" s="357" t="s">
        <v>710</v>
      </c>
      <c r="C118" s="386"/>
      <c r="D118" s="19"/>
      <c r="E118" s="48"/>
      <c r="F118" s="52"/>
    </row>
    <row r="119" spans="1:6" ht="30" x14ac:dyDescent="0.25">
      <c r="A119" s="9" t="s">
        <v>97</v>
      </c>
      <c r="B119" s="26" t="s">
        <v>708</v>
      </c>
      <c r="C119" s="77">
        <v>1</v>
      </c>
      <c r="D119" s="9" t="s">
        <v>217</v>
      </c>
      <c r="E119" s="49" t="s">
        <v>406</v>
      </c>
      <c r="F119" s="52" t="s">
        <v>406</v>
      </c>
    </row>
    <row r="120" spans="1:6" x14ac:dyDescent="0.25">
      <c r="A120" s="9" t="s">
        <v>98</v>
      </c>
      <c r="B120" s="26" t="s">
        <v>640</v>
      </c>
      <c r="C120" s="77">
        <v>1</v>
      </c>
      <c r="D120" s="9" t="s">
        <v>217</v>
      </c>
      <c r="E120" s="49" t="s">
        <v>406</v>
      </c>
      <c r="F120" s="52" t="s">
        <v>406</v>
      </c>
    </row>
    <row r="121" spans="1:6" ht="22.35" customHeight="1" x14ac:dyDescent="0.25">
      <c r="A121" s="9" t="s">
        <v>99</v>
      </c>
      <c r="B121" s="10" t="s">
        <v>429</v>
      </c>
      <c r="C121" s="77">
        <v>1</v>
      </c>
      <c r="D121" s="9" t="s">
        <v>217</v>
      </c>
      <c r="E121" s="49" t="s">
        <v>406</v>
      </c>
      <c r="F121" s="52" t="s">
        <v>406</v>
      </c>
    </row>
    <row r="122" spans="1:6" ht="22.35" customHeight="1" x14ac:dyDescent="0.25">
      <c r="A122" s="9" t="s">
        <v>106</v>
      </c>
      <c r="B122" s="10" t="s">
        <v>435</v>
      </c>
      <c r="C122" s="77">
        <v>1</v>
      </c>
      <c r="D122" s="9" t="s">
        <v>217</v>
      </c>
      <c r="E122" s="49" t="s">
        <v>406</v>
      </c>
      <c r="F122" s="52" t="s">
        <v>406</v>
      </c>
    </row>
    <row r="123" spans="1:6" ht="22.35" customHeight="1" x14ac:dyDescent="0.25">
      <c r="A123" s="9"/>
      <c r="B123" s="8" t="s">
        <v>5</v>
      </c>
      <c r="C123" s="19">
        <v>1</v>
      </c>
      <c r="D123" s="19"/>
      <c r="E123" s="52">
        <v>15000000</v>
      </c>
      <c r="F123" s="52">
        <f>E123*C123</f>
        <v>15000000</v>
      </c>
    </row>
    <row r="124" spans="1:6" ht="22.35" customHeight="1" x14ac:dyDescent="0.25">
      <c r="A124" s="19">
        <v>12</v>
      </c>
      <c r="B124" s="357" t="s">
        <v>609</v>
      </c>
      <c r="C124" s="386"/>
      <c r="D124" s="19"/>
      <c r="E124" s="49"/>
      <c r="F124" s="52"/>
    </row>
    <row r="125" spans="1:6" ht="22.35" customHeight="1" x14ac:dyDescent="0.25">
      <c r="A125" s="9" t="s">
        <v>97</v>
      </c>
      <c r="B125" s="10" t="s">
        <v>610</v>
      </c>
      <c r="C125" s="77">
        <v>1</v>
      </c>
      <c r="D125" s="9" t="s">
        <v>217</v>
      </c>
      <c r="E125" s="49" t="s">
        <v>406</v>
      </c>
      <c r="F125" s="52" t="s">
        <v>406</v>
      </c>
    </row>
    <row r="126" spans="1:6" ht="22.35" customHeight="1" x14ac:dyDescent="0.25">
      <c r="A126" s="9"/>
      <c r="B126" s="8" t="s">
        <v>5</v>
      </c>
      <c r="C126" s="19"/>
      <c r="D126" s="19"/>
      <c r="E126" s="48"/>
      <c r="F126" s="52">
        <v>750000</v>
      </c>
    </row>
    <row r="127" spans="1:6" ht="22.35" customHeight="1" x14ac:dyDescent="0.25">
      <c r="A127" s="19">
        <v>13</v>
      </c>
      <c r="B127" s="357" t="s">
        <v>382</v>
      </c>
      <c r="C127" s="386"/>
      <c r="D127" s="9"/>
      <c r="E127" s="47"/>
      <c r="F127" s="47"/>
    </row>
    <row r="128" spans="1:6" ht="22.35" customHeight="1" x14ac:dyDescent="0.25">
      <c r="A128" s="9" t="s">
        <v>97</v>
      </c>
      <c r="B128" s="65" t="s">
        <v>645</v>
      </c>
      <c r="C128" s="9">
        <v>5</v>
      </c>
      <c r="D128" s="15" t="s">
        <v>217</v>
      </c>
      <c r="E128" s="17">
        <v>1850000</v>
      </c>
      <c r="F128" s="51">
        <f>(C128*E128)</f>
        <v>9250000</v>
      </c>
    </row>
    <row r="129" spans="1:6" s="6" customFormat="1" ht="22.35" customHeight="1" x14ac:dyDescent="0.25">
      <c r="A129" s="19"/>
      <c r="B129" s="8" t="s">
        <v>5</v>
      </c>
      <c r="C129" s="19"/>
      <c r="D129" s="19"/>
      <c r="E129" s="17"/>
      <c r="F129" s="52">
        <f>SUM(F128:F128)</f>
        <v>9250000</v>
      </c>
    </row>
    <row r="130" spans="1:6" s="6" customFormat="1" ht="29.25" customHeight="1" x14ac:dyDescent="0.25">
      <c r="A130" s="19">
        <v>14</v>
      </c>
      <c r="B130" s="357" t="s">
        <v>611</v>
      </c>
      <c r="C130" s="386"/>
      <c r="D130" s="9"/>
      <c r="E130" s="17"/>
      <c r="F130" s="47"/>
    </row>
    <row r="131" spans="1:6" s="6" customFormat="1" ht="22.35" customHeight="1" x14ac:dyDescent="0.25">
      <c r="A131" s="9" t="s">
        <v>97</v>
      </c>
      <c r="B131" s="10" t="s">
        <v>380</v>
      </c>
      <c r="C131" s="76">
        <v>1</v>
      </c>
      <c r="D131" s="9" t="s">
        <v>217</v>
      </c>
      <c r="E131" s="17" t="s">
        <v>406</v>
      </c>
      <c r="F131" s="17" t="s">
        <v>406</v>
      </c>
    </row>
    <row r="132" spans="1:6" s="6" customFormat="1" ht="30" x14ac:dyDescent="0.25">
      <c r="A132" s="9" t="s">
        <v>98</v>
      </c>
      <c r="B132" s="10" t="s">
        <v>432</v>
      </c>
      <c r="C132" s="22">
        <v>1</v>
      </c>
      <c r="D132" s="22" t="s">
        <v>217</v>
      </c>
      <c r="E132" s="17" t="s">
        <v>406</v>
      </c>
      <c r="F132" s="17" t="s">
        <v>406</v>
      </c>
    </row>
    <row r="133" spans="1:6" s="6" customFormat="1" ht="30" x14ac:dyDescent="0.25">
      <c r="A133" s="9" t="s">
        <v>99</v>
      </c>
      <c r="B133" s="10" t="s">
        <v>430</v>
      </c>
      <c r="C133" s="22">
        <v>1</v>
      </c>
      <c r="D133" s="22" t="s">
        <v>217</v>
      </c>
      <c r="E133" s="17" t="s">
        <v>406</v>
      </c>
      <c r="F133" s="17" t="s">
        <v>406</v>
      </c>
    </row>
    <row r="134" spans="1:6" s="6" customFormat="1" ht="22.35" customHeight="1" x14ac:dyDescent="0.25">
      <c r="A134" s="9"/>
      <c r="B134" s="8" t="s">
        <v>5</v>
      </c>
      <c r="C134" s="19"/>
      <c r="D134" s="19"/>
      <c r="E134" s="47"/>
      <c r="F134" s="52">
        <v>7065000</v>
      </c>
    </row>
    <row r="135" spans="1:6" s="6" customFormat="1" ht="22.35" customHeight="1" x14ac:dyDescent="0.25">
      <c r="A135" s="19">
        <v>15</v>
      </c>
      <c r="B135" s="357" t="s">
        <v>431</v>
      </c>
      <c r="C135" s="386"/>
      <c r="D135" s="19"/>
      <c r="E135" s="47"/>
      <c r="F135" s="52"/>
    </row>
    <row r="136" spans="1:6" s="6" customFormat="1" ht="22.35" customHeight="1" x14ac:dyDescent="0.25">
      <c r="A136" s="9" t="s">
        <v>97</v>
      </c>
      <c r="B136" s="10" t="s">
        <v>612</v>
      </c>
      <c r="C136" s="76">
        <v>1</v>
      </c>
      <c r="D136" s="9" t="s">
        <v>217</v>
      </c>
      <c r="E136" s="17" t="s">
        <v>406</v>
      </c>
      <c r="F136" s="17" t="s">
        <v>406</v>
      </c>
    </row>
    <row r="137" spans="1:6" s="6" customFormat="1" ht="22.35" customHeight="1" x14ac:dyDescent="0.25">
      <c r="A137" s="9" t="s">
        <v>98</v>
      </c>
      <c r="B137" s="10" t="s">
        <v>613</v>
      </c>
      <c r="C137" s="22">
        <v>1</v>
      </c>
      <c r="D137" s="22" t="s">
        <v>217</v>
      </c>
      <c r="E137" s="17" t="s">
        <v>406</v>
      </c>
      <c r="F137" s="17" t="s">
        <v>406</v>
      </c>
    </row>
    <row r="138" spans="1:6" s="6" customFormat="1" ht="22.35" customHeight="1" x14ac:dyDescent="0.25">
      <c r="A138" s="9" t="s">
        <v>99</v>
      </c>
      <c r="B138" s="10" t="s">
        <v>614</v>
      </c>
      <c r="C138" s="22">
        <v>1</v>
      </c>
      <c r="D138" s="22" t="s">
        <v>217</v>
      </c>
      <c r="E138" s="17" t="s">
        <v>406</v>
      </c>
      <c r="F138" s="17" t="s">
        <v>406</v>
      </c>
    </row>
    <row r="139" spans="1:6" s="6" customFormat="1" ht="22.35" customHeight="1" x14ac:dyDescent="0.25">
      <c r="A139" s="9" t="s">
        <v>106</v>
      </c>
      <c r="B139" s="10" t="s">
        <v>615</v>
      </c>
      <c r="C139" s="76">
        <v>1</v>
      </c>
      <c r="D139" s="9" t="s">
        <v>217</v>
      </c>
      <c r="E139" s="17" t="s">
        <v>406</v>
      </c>
      <c r="F139" s="17" t="s">
        <v>406</v>
      </c>
    </row>
    <row r="140" spans="1:6" s="6" customFormat="1" ht="22.35" customHeight="1" x14ac:dyDescent="0.25">
      <c r="A140" s="9" t="s">
        <v>107</v>
      </c>
      <c r="B140" s="10" t="s">
        <v>616</v>
      </c>
      <c r="C140" s="22">
        <v>1</v>
      </c>
      <c r="D140" s="22" t="s">
        <v>217</v>
      </c>
      <c r="E140" s="17" t="s">
        <v>406</v>
      </c>
      <c r="F140" s="17" t="s">
        <v>406</v>
      </c>
    </row>
    <row r="141" spans="1:6" s="6" customFormat="1" ht="22.35" customHeight="1" x14ac:dyDescent="0.25">
      <c r="A141" s="9"/>
      <c r="B141" s="8"/>
      <c r="C141" s="22"/>
      <c r="D141" s="22"/>
      <c r="E141" s="17"/>
      <c r="F141" s="52">
        <v>5521000</v>
      </c>
    </row>
    <row r="142" spans="1:6" ht="22.35" customHeight="1" x14ac:dyDescent="0.25">
      <c r="A142" s="19">
        <v>16</v>
      </c>
      <c r="B142" s="384" t="s">
        <v>379</v>
      </c>
      <c r="C142" s="385"/>
      <c r="D142" s="9"/>
      <c r="E142" s="47"/>
      <c r="F142" s="47"/>
    </row>
    <row r="143" spans="1:6" ht="22.35" customHeight="1" x14ac:dyDescent="0.25">
      <c r="A143" s="9" t="s">
        <v>97</v>
      </c>
      <c r="B143" s="10" t="s">
        <v>433</v>
      </c>
      <c r="C143" s="76">
        <v>1</v>
      </c>
      <c r="D143" s="9" t="s">
        <v>217</v>
      </c>
      <c r="E143" s="17" t="s">
        <v>406</v>
      </c>
      <c r="F143" s="17" t="s">
        <v>406</v>
      </c>
    </row>
    <row r="144" spans="1:6" ht="22.35" customHeight="1" x14ac:dyDescent="0.25">
      <c r="A144" s="9" t="s">
        <v>99</v>
      </c>
      <c r="B144" s="10" t="s">
        <v>434</v>
      </c>
      <c r="C144" s="22">
        <v>1</v>
      </c>
      <c r="D144" s="22" t="s">
        <v>217</v>
      </c>
      <c r="E144" s="17" t="s">
        <v>406</v>
      </c>
      <c r="F144" s="17" t="s">
        <v>406</v>
      </c>
    </row>
    <row r="145" spans="1:8" ht="23.25" customHeight="1" x14ac:dyDescent="0.25">
      <c r="A145" s="9" t="s">
        <v>106</v>
      </c>
      <c r="B145" s="10" t="s">
        <v>664</v>
      </c>
      <c r="C145" s="22">
        <v>1</v>
      </c>
      <c r="D145" s="22" t="s">
        <v>217</v>
      </c>
      <c r="E145" s="17" t="s">
        <v>406</v>
      </c>
      <c r="F145" s="17" t="s">
        <v>406</v>
      </c>
    </row>
    <row r="146" spans="1:8" ht="23.25" customHeight="1" x14ac:dyDescent="0.25">
      <c r="A146" s="9" t="s">
        <v>107</v>
      </c>
      <c r="B146" s="10" t="s">
        <v>648</v>
      </c>
      <c r="C146" s="22">
        <v>1</v>
      </c>
      <c r="D146" s="22" t="s">
        <v>217</v>
      </c>
      <c r="E146" s="17" t="s">
        <v>406</v>
      </c>
      <c r="F146" s="17" t="s">
        <v>406</v>
      </c>
    </row>
    <row r="147" spans="1:8" ht="22.35" customHeight="1" x14ac:dyDescent="0.25">
      <c r="A147" s="9" t="s">
        <v>108</v>
      </c>
      <c r="B147" s="10" t="s">
        <v>381</v>
      </c>
      <c r="C147" s="9">
        <v>20</v>
      </c>
      <c r="D147" s="9" t="s">
        <v>217</v>
      </c>
      <c r="E147" s="17" t="s">
        <v>406</v>
      </c>
      <c r="F147" s="17" t="s">
        <v>406</v>
      </c>
    </row>
    <row r="148" spans="1:8" s="6" customFormat="1" ht="22.35" customHeight="1" x14ac:dyDescent="0.25">
      <c r="A148" s="19"/>
      <c r="B148" s="8" t="s">
        <v>5</v>
      </c>
      <c r="C148" s="19"/>
      <c r="D148" s="19"/>
      <c r="E148" s="48"/>
      <c r="F148" s="52">
        <v>6520000</v>
      </c>
    </row>
    <row r="149" spans="1:8" ht="22.35" customHeight="1" x14ac:dyDescent="0.25">
      <c r="A149" s="19">
        <v>17</v>
      </c>
      <c r="B149" s="355" t="s">
        <v>124</v>
      </c>
      <c r="C149" s="356"/>
      <c r="D149" s="9"/>
      <c r="E149" s="47"/>
      <c r="F149" s="47"/>
    </row>
    <row r="150" spans="1:8" ht="22.35" customHeight="1" x14ac:dyDescent="0.25">
      <c r="A150" s="9" t="s">
        <v>97</v>
      </c>
      <c r="B150" s="65" t="s">
        <v>263</v>
      </c>
      <c r="C150" s="9">
        <v>2</v>
      </c>
      <c r="D150" s="9" t="s">
        <v>217</v>
      </c>
      <c r="E150" s="47">
        <v>3550000</v>
      </c>
      <c r="F150" s="51">
        <f>(C150*E150)</f>
        <v>7100000</v>
      </c>
    </row>
    <row r="151" spans="1:8" ht="22.35" customHeight="1" x14ac:dyDescent="0.25">
      <c r="A151" s="9" t="s">
        <v>98</v>
      </c>
      <c r="B151" s="65" t="s">
        <v>339</v>
      </c>
      <c r="C151" s="22">
        <v>1</v>
      </c>
      <c r="D151" s="22" t="s">
        <v>217</v>
      </c>
      <c r="E151" s="47">
        <v>3250000</v>
      </c>
      <c r="F151" s="51">
        <f>(C151*E151)</f>
        <v>3250000</v>
      </c>
    </row>
    <row r="152" spans="1:8" s="6" customFormat="1" ht="22.35" customHeight="1" x14ac:dyDescent="0.25">
      <c r="A152" s="19"/>
      <c r="B152" s="8" t="s">
        <v>5</v>
      </c>
      <c r="C152" s="19"/>
      <c r="D152" s="19"/>
      <c r="E152" s="24"/>
      <c r="F152" s="52">
        <f>SUM(F150:F151)</f>
        <v>10350000</v>
      </c>
    </row>
    <row r="153" spans="1:8" ht="22.35" customHeight="1" x14ac:dyDescent="0.25">
      <c r="A153" s="19">
        <v>18</v>
      </c>
      <c r="B153" s="355" t="s">
        <v>386</v>
      </c>
      <c r="C153" s="356"/>
      <c r="D153" s="9"/>
      <c r="E153" s="23"/>
      <c r="F153" s="9"/>
    </row>
    <row r="154" spans="1:8" ht="60" x14ac:dyDescent="0.25">
      <c r="A154" s="9" t="s">
        <v>97</v>
      </c>
      <c r="B154" s="10" t="s">
        <v>436</v>
      </c>
      <c r="C154" s="12">
        <v>1</v>
      </c>
      <c r="D154" s="9" t="s">
        <v>217</v>
      </c>
      <c r="E154" s="47">
        <v>1050000</v>
      </c>
      <c r="F154" s="79">
        <f>E154*C154</f>
        <v>1050000</v>
      </c>
    </row>
    <row r="155" spans="1:8" ht="22.35" customHeight="1" x14ac:dyDescent="0.25">
      <c r="A155" s="9" t="s">
        <v>99</v>
      </c>
      <c r="B155" s="10" t="s">
        <v>385</v>
      </c>
      <c r="C155" s="9">
        <v>1</v>
      </c>
      <c r="D155" s="9" t="s">
        <v>217</v>
      </c>
      <c r="E155" s="47">
        <v>500000</v>
      </c>
      <c r="F155" s="51">
        <f>(C155*E155)</f>
        <v>500000</v>
      </c>
    </row>
    <row r="156" spans="1:8" ht="22.35" customHeight="1" x14ac:dyDescent="0.25">
      <c r="A156" s="9" t="s">
        <v>98</v>
      </c>
      <c r="B156" s="10" t="s">
        <v>384</v>
      </c>
      <c r="C156" s="9">
        <v>1</v>
      </c>
      <c r="D156" s="9" t="s">
        <v>220</v>
      </c>
      <c r="E156" s="47">
        <v>1080000</v>
      </c>
      <c r="F156" s="51">
        <f>(C156*E156)</f>
        <v>1080000</v>
      </c>
    </row>
    <row r="157" spans="1:8" ht="22.35" customHeight="1" x14ac:dyDescent="0.25">
      <c r="A157" s="9" t="s">
        <v>106</v>
      </c>
      <c r="B157" s="10" t="s">
        <v>666</v>
      </c>
      <c r="C157" s="9">
        <v>1</v>
      </c>
      <c r="D157" s="9" t="s">
        <v>217</v>
      </c>
      <c r="E157" s="47">
        <v>2050000</v>
      </c>
      <c r="F157" s="51">
        <f>E157</f>
        <v>2050000</v>
      </c>
    </row>
    <row r="158" spans="1:8" s="6" customFormat="1" ht="22.35" customHeight="1" x14ac:dyDescent="0.25">
      <c r="A158" s="19"/>
      <c r="B158" s="8" t="s">
        <v>5</v>
      </c>
      <c r="C158" s="19"/>
      <c r="D158" s="19"/>
      <c r="E158" s="24"/>
      <c r="F158" s="52">
        <f>SUM(F154:F157)</f>
        <v>4680000</v>
      </c>
    </row>
    <row r="159" spans="1:8" s="6" customFormat="1" ht="22.35" customHeight="1" x14ac:dyDescent="0.25">
      <c r="A159" s="19">
        <v>19</v>
      </c>
      <c r="B159" s="65" t="s">
        <v>383</v>
      </c>
      <c r="C159" s="22"/>
      <c r="D159" s="22"/>
      <c r="E159" s="19"/>
      <c r="F159" s="52">
        <v>2042746</v>
      </c>
    </row>
    <row r="160" spans="1:8" s="6" customFormat="1" ht="22.35" customHeight="1" x14ac:dyDescent="0.25">
      <c r="A160" s="19"/>
      <c r="B160" s="355" t="s">
        <v>219</v>
      </c>
      <c r="C160" s="356"/>
      <c r="D160" s="22"/>
      <c r="E160" s="19"/>
      <c r="F160" s="52">
        <f>F54+F59+F66+F71+F83+F91+F100+F104+F113+F117+F123+F126+F129+F134+F141+F148+F152+F158+F159</f>
        <v>162986746</v>
      </c>
      <c r="H160" s="6">
        <v>162986746</v>
      </c>
    </row>
    <row r="161" spans="1:7" ht="22.35" customHeight="1" x14ac:dyDescent="0.25">
      <c r="A161" s="19">
        <v>20</v>
      </c>
      <c r="B161" s="65" t="s">
        <v>346</v>
      </c>
      <c r="C161" s="22">
        <v>12</v>
      </c>
      <c r="D161" s="21" t="s">
        <v>8</v>
      </c>
      <c r="E161" s="18"/>
      <c r="F161" s="51">
        <f>F160*C161/100</f>
        <v>19558409.52</v>
      </c>
    </row>
    <row r="162" spans="1:7" s="6" customFormat="1" ht="22.35" customHeight="1" x14ac:dyDescent="0.25">
      <c r="A162" s="19"/>
      <c r="B162" s="140" t="s">
        <v>221</v>
      </c>
      <c r="C162" s="141"/>
      <c r="D162" s="141"/>
      <c r="E162" s="141"/>
      <c r="F162" s="142">
        <f>SUM(F160:F161)</f>
        <v>182545155.52000001</v>
      </c>
    </row>
    <row r="163" spans="1:7" ht="22.35" customHeight="1" x14ac:dyDescent="0.25">
      <c r="A163" s="19" t="s">
        <v>100</v>
      </c>
      <c r="B163" s="381" t="s">
        <v>125</v>
      </c>
      <c r="C163" s="382"/>
      <c r="D163" s="382"/>
      <c r="E163" s="382"/>
      <c r="F163" s="383"/>
    </row>
    <row r="164" spans="1:7" ht="22.35" customHeight="1" x14ac:dyDescent="0.25">
      <c r="A164" s="9">
        <v>1</v>
      </c>
      <c r="B164" s="355" t="s">
        <v>128</v>
      </c>
      <c r="C164" s="356"/>
      <c r="D164" s="9"/>
      <c r="E164" s="9"/>
      <c r="F164" s="9"/>
    </row>
    <row r="165" spans="1:7" ht="22.35" customHeight="1" x14ac:dyDescent="0.25">
      <c r="A165" s="9" t="s">
        <v>97</v>
      </c>
      <c r="B165" s="65" t="s">
        <v>222</v>
      </c>
      <c r="C165" s="9">
        <v>2</v>
      </c>
      <c r="D165" s="9" t="s">
        <v>190</v>
      </c>
      <c r="E165" s="47">
        <v>35000</v>
      </c>
      <c r="F165" s="51">
        <f t="shared" ref="F165:F171" si="3">(C165*E165)</f>
        <v>70000</v>
      </c>
    </row>
    <row r="166" spans="1:7" ht="22.35" customHeight="1" x14ac:dyDescent="0.25">
      <c r="A166" s="9" t="s">
        <v>98</v>
      </c>
      <c r="B166" s="65" t="s">
        <v>229</v>
      </c>
      <c r="C166" s="9">
        <v>1</v>
      </c>
      <c r="D166" s="9" t="s">
        <v>190</v>
      </c>
      <c r="E166" s="47">
        <v>20000</v>
      </c>
      <c r="F166" s="51">
        <f t="shared" si="3"/>
        <v>20000</v>
      </c>
    </row>
    <row r="167" spans="1:7" ht="22.35" customHeight="1" x14ac:dyDescent="0.25">
      <c r="A167" s="9" t="s">
        <v>99</v>
      </c>
      <c r="B167" s="65" t="s">
        <v>129</v>
      </c>
      <c r="C167" s="9">
        <v>2</v>
      </c>
      <c r="D167" s="9" t="s">
        <v>190</v>
      </c>
      <c r="E167" s="47">
        <v>35000</v>
      </c>
      <c r="F167" s="51">
        <f t="shared" si="3"/>
        <v>70000</v>
      </c>
    </row>
    <row r="168" spans="1:7" ht="22.35" customHeight="1" x14ac:dyDescent="0.25">
      <c r="A168" s="9" t="s">
        <v>106</v>
      </c>
      <c r="B168" s="65" t="s">
        <v>345</v>
      </c>
      <c r="C168" s="9">
        <v>1</v>
      </c>
      <c r="D168" s="9" t="s">
        <v>217</v>
      </c>
      <c r="E168" s="47">
        <f>250000-50000</f>
        <v>200000</v>
      </c>
      <c r="F168" s="51">
        <f t="shared" si="3"/>
        <v>200000</v>
      </c>
    </row>
    <row r="169" spans="1:7" ht="22.35" customHeight="1" x14ac:dyDescent="0.25">
      <c r="A169" s="9" t="s">
        <v>107</v>
      </c>
      <c r="B169" s="65" t="s">
        <v>223</v>
      </c>
      <c r="C169" s="9">
        <v>2</v>
      </c>
      <c r="D169" s="9" t="s">
        <v>217</v>
      </c>
      <c r="E169" s="47">
        <v>45000</v>
      </c>
      <c r="F169" s="51">
        <f t="shared" si="3"/>
        <v>90000</v>
      </c>
    </row>
    <row r="170" spans="1:7" ht="22.35" customHeight="1" x14ac:dyDescent="0.25">
      <c r="A170" s="9" t="s">
        <v>108</v>
      </c>
      <c r="B170" s="65" t="s">
        <v>224</v>
      </c>
      <c r="C170" s="9">
        <v>1</v>
      </c>
      <c r="D170" s="9" t="s">
        <v>217</v>
      </c>
      <c r="E170" s="47">
        <f>150000-25000</f>
        <v>125000</v>
      </c>
      <c r="F170" s="51">
        <f t="shared" si="3"/>
        <v>125000</v>
      </c>
    </row>
    <row r="171" spans="1:7" ht="22.35" customHeight="1" x14ac:dyDescent="0.25">
      <c r="A171" s="9" t="s">
        <v>109</v>
      </c>
      <c r="B171" s="65" t="s">
        <v>225</v>
      </c>
      <c r="C171" s="9">
        <v>1</v>
      </c>
      <c r="D171" s="9" t="s">
        <v>217</v>
      </c>
      <c r="E171" s="47">
        <f>50000-25000</f>
        <v>25000</v>
      </c>
      <c r="F171" s="51">
        <f t="shared" si="3"/>
        <v>25000</v>
      </c>
    </row>
    <row r="172" spans="1:7" s="6" customFormat="1" ht="22.35" customHeight="1" x14ac:dyDescent="0.25">
      <c r="A172" s="19"/>
      <c r="B172" s="140" t="s">
        <v>230</v>
      </c>
      <c r="C172" s="141"/>
      <c r="D172" s="141"/>
      <c r="E172" s="141"/>
      <c r="F172" s="142">
        <f>SUM(F165:F171)</f>
        <v>600000</v>
      </c>
    </row>
    <row r="173" spans="1:7" s="6" customFormat="1" ht="22.35" customHeight="1" x14ac:dyDescent="0.25">
      <c r="A173" s="19"/>
      <c r="B173" s="140" t="s">
        <v>227</v>
      </c>
      <c r="C173" s="141"/>
      <c r="D173" s="141"/>
      <c r="E173" s="141"/>
      <c r="F173" s="142">
        <f>F49+F162+F172</f>
        <v>258727571.52000001</v>
      </c>
      <c r="G173" s="53">
        <f>F173/5</f>
        <v>51745514.304000005</v>
      </c>
    </row>
    <row r="174" spans="1:7" ht="22.35" customHeight="1" x14ac:dyDescent="0.25">
      <c r="A174" s="19" t="s">
        <v>102</v>
      </c>
      <c r="B174" s="361" t="s">
        <v>126</v>
      </c>
      <c r="C174" s="379"/>
      <c r="D174" s="379"/>
      <c r="E174" s="379"/>
      <c r="F174" s="380"/>
    </row>
    <row r="175" spans="1:7" ht="22.35" customHeight="1" x14ac:dyDescent="0.25">
      <c r="A175" s="9">
        <v>1</v>
      </c>
      <c r="B175" s="355" t="s">
        <v>130</v>
      </c>
      <c r="C175" s="356"/>
      <c r="D175" s="9"/>
      <c r="E175" s="9"/>
      <c r="F175" s="9"/>
    </row>
    <row r="176" spans="1:7" ht="22.35" customHeight="1" x14ac:dyDescent="0.25">
      <c r="A176" s="9" t="s">
        <v>97</v>
      </c>
      <c r="B176" s="65" t="s">
        <v>718</v>
      </c>
      <c r="C176" s="25">
        <v>4.0000000000000001E-3</v>
      </c>
      <c r="D176" s="9" t="s">
        <v>8</v>
      </c>
      <c r="E176" s="47">
        <v>192000000</v>
      </c>
      <c r="F176" s="139">
        <f>E176*C176</f>
        <v>768000</v>
      </c>
    </row>
    <row r="177" spans="1:8" ht="22.35" customHeight="1" x14ac:dyDescent="0.25">
      <c r="A177" s="22" t="s">
        <v>98</v>
      </c>
      <c r="B177" s="65" t="s">
        <v>719</v>
      </c>
      <c r="C177" s="25">
        <v>1.5E-3</v>
      </c>
      <c r="D177" s="9" t="s">
        <v>8</v>
      </c>
      <c r="E177" s="47">
        <f>F190</f>
        <v>289000000</v>
      </c>
      <c r="F177" s="139">
        <f>E177*C177</f>
        <v>433500</v>
      </c>
    </row>
    <row r="178" spans="1:8" ht="22.35" customHeight="1" x14ac:dyDescent="0.25">
      <c r="A178" s="22"/>
      <c r="B178" s="46"/>
      <c r="C178" s="25"/>
      <c r="D178" s="9"/>
      <c r="E178" s="47"/>
      <c r="F178" s="52"/>
    </row>
    <row r="179" spans="1:8" s="6" customFormat="1" ht="22.35" customHeight="1" x14ac:dyDescent="0.25">
      <c r="A179" s="19"/>
      <c r="B179" s="8" t="s">
        <v>5</v>
      </c>
      <c r="C179" s="19"/>
      <c r="D179" s="19"/>
      <c r="E179" s="47"/>
      <c r="F179" s="87">
        <f>SUM(F176:F178)</f>
        <v>1201500</v>
      </c>
    </row>
    <row r="180" spans="1:8" ht="22.35" customHeight="1" x14ac:dyDescent="0.25">
      <c r="A180" s="9">
        <v>2</v>
      </c>
      <c r="B180" s="355" t="s">
        <v>127</v>
      </c>
      <c r="C180" s="356"/>
      <c r="D180" s="9"/>
      <c r="E180" s="47"/>
      <c r="F180" s="52"/>
    </row>
    <row r="181" spans="1:8" ht="22.35" customHeight="1" x14ac:dyDescent="0.25">
      <c r="A181" s="9"/>
      <c r="B181" s="65"/>
      <c r="C181" s="9"/>
      <c r="D181" s="9"/>
      <c r="E181" s="47"/>
      <c r="F181" s="87"/>
    </row>
    <row r="182" spans="1:8" ht="22.35" customHeight="1" x14ac:dyDescent="0.25">
      <c r="A182" s="9"/>
      <c r="B182" s="65"/>
      <c r="C182" s="25"/>
      <c r="D182" s="9"/>
      <c r="E182" s="47"/>
      <c r="F182" s="87"/>
    </row>
    <row r="183" spans="1:8" ht="22.35" customHeight="1" x14ac:dyDescent="0.25">
      <c r="A183" s="9" t="s">
        <v>97</v>
      </c>
      <c r="B183" s="65" t="s">
        <v>117</v>
      </c>
      <c r="C183" s="9"/>
      <c r="D183" s="9"/>
      <c r="E183" s="47"/>
      <c r="F183" s="139">
        <v>1667000</v>
      </c>
      <c r="G183" s="146"/>
    </row>
    <row r="184" spans="1:8" ht="22.35" customHeight="1" x14ac:dyDescent="0.25">
      <c r="A184" s="9" t="s">
        <v>98</v>
      </c>
      <c r="B184" s="65" t="s">
        <v>226</v>
      </c>
      <c r="C184" s="21"/>
      <c r="D184" s="9"/>
      <c r="E184" s="47"/>
      <c r="F184" s="139">
        <f>('TL Schd'!C13+'TL Schd'!D13)*10^5</f>
        <v>17062500</v>
      </c>
    </row>
    <row r="185" spans="1:8" s="6" customFormat="1" ht="22.35" customHeight="1" x14ac:dyDescent="0.25">
      <c r="A185" s="19"/>
      <c r="B185" s="8" t="s">
        <v>5</v>
      </c>
      <c r="C185" s="19"/>
      <c r="D185" s="19"/>
      <c r="E185" s="19"/>
      <c r="F185" s="87">
        <f>SUM(F181:F184)</f>
        <v>18729500</v>
      </c>
    </row>
    <row r="186" spans="1:8" s="6" customFormat="1" ht="22.35" customHeight="1" x14ac:dyDescent="0.25">
      <c r="A186" s="19"/>
      <c r="B186" s="376" t="s">
        <v>131</v>
      </c>
      <c r="C186" s="377"/>
      <c r="D186" s="378"/>
      <c r="E186" s="141"/>
      <c r="F186" s="144">
        <f>(F179+F185)</f>
        <v>19931000</v>
      </c>
    </row>
    <row r="187" spans="1:8" s="6" customFormat="1" ht="22.35" customHeight="1" x14ac:dyDescent="0.25">
      <c r="A187" s="19"/>
      <c r="B187" s="159" t="s">
        <v>651</v>
      </c>
      <c r="C187" s="160"/>
      <c r="D187" s="160"/>
      <c r="E187" s="141"/>
      <c r="F187" s="145">
        <f>'CoP-MoF'!C11</f>
        <v>341428.48000001907</v>
      </c>
    </row>
    <row r="188" spans="1:8" s="6" customFormat="1" ht="22.35" customHeight="1" x14ac:dyDescent="0.25">
      <c r="A188" s="19"/>
      <c r="B188" s="161" t="s">
        <v>132</v>
      </c>
      <c r="C188" s="160"/>
      <c r="D188" s="160"/>
      <c r="E188" s="141"/>
      <c r="F188" s="144">
        <f>(F173+F186+F187+F8)</f>
        <v>289000000</v>
      </c>
      <c r="H188" s="346">
        <f>F188/5</f>
        <v>57800000</v>
      </c>
    </row>
    <row r="189" spans="1:8" ht="22.35" customHeight="1" x14ac:dyDescent="0.25">
      <c r="A189" s="9"/>
      <c r="B189" s="46"/>
      <c r="C189" s="9"/>
      <c r="D189" s="9"/>
      <c r="E189" s="9"/>
      <c r="F189" s="87"/>
    </row>
    <row r="190" spans="1:8" s="6" customFormat="1" ht="22.35" customHeight="1" x14ac:dyDescent="0.25">
      <c r="A190" s="19"/>
      <c r="B190" s="32" t="s">
        <v>344</v>
      </c>
      <c r="C190" s="62"/>
      <c r="D190" s="62"/>
      <c r="E190" s="62"/>
      <c r="F190" s="104">
        <v>289000000</v>
      </c>
    </row>
    <row r="191" spans="1:8" x14ac:dyDescent="0.25">
      <c r="F191" s="40"/>
    </row>
    <row r="192" spans="1:8" x14ac:dyDescent="0.25">
      <c r="F192" s="40"/>
    </row>
    <row r="194" spans="2:2" x14ac:dyDescent="0.25">
      <c r="B194" s="15"/>
    </row>
    <row r="195" spans="2:2" x14ac:dyDescent="0.25">
      <c r="B195" s="15"/>
    </row>
    <row r="196" spans="2:2" x14ac:dyDescent="0.25">
      <c r="B196" s="15"/>
    </row>
    <row r="197" spans="2:2" x14ac:dyDescent="0.25">
      <c r="B197" s="15"/>
    </row>
    <row r="198" spans="2:2" x14ac:dyDescent="0.25">
      <c r="B198" s="15"/>
    </row>
    <row r="199" spans="2:2" x14ac:dyDescent="0.25">
      <c r="B199" s="15"/>
    </row>
    <row r="200" spans="2:2" x14ac:dyDescent="0.25">
      <c r="B200" s="15"/>
    </row>
    <row r="201" spans="2:2" x14ac:dyDescent="0.25">
      <c r="B201" s="15"/>
    </row>
    <row r="202" spans="2:2" x14ac:dyDescent="0.25">
      <c r="B202" s="15"/>
    </row>
  </sheetData>
  <customSheetViews>
    <customSheetView guid="{22475485-DA09-46DB-978D-BB94CE1E5597}" scale="130" hiddenRows="1">
      <selection activeCell="B4" sqref="B4"/>
      <pageMargins left="0.7" right="0.7" top="0.75" bottom="0.75" header="0.3" footer="0.3"/>
      <pageSetup paperSize="9" orientation="portrait" verticalDpi="300" r:id="rId1"/>
    </customSheetView>
  </customSheetViews>
  <mergeCells count="29">
    <mergeCell ref="B101:C101"/>
    <mergeCell ref="B114:C114"/>
    <mergeCell ref="B124:C124"/>
    <mergeCell ref="B135:C135"/>
    <mergeCell ref="B130:C130"/>
    <mergeCell ref="B149:C149"/>
    <mergeCell ref="B142:C142"/>
    <mergeCell ref="B127:C127"/>
    <mergeCell ref="B105:C105"/>
    <mergeCell ref="B118:C118"/>
    <mergeCell ref="B164:C164"/>
    <mergeCell ref="B175:C175"/>
    <mergeCell ref="B180:C180"/>
    <mergeCell ref="B186:D186"/>
    <mergeCell ref="B153:C153"/>
    <mergeCell ref="B174:F174"/>
    <mergeCell ref="B163:F163"/>
    <mergeCell ref="B160:C160"/>
    <mergeCell ref="B72:C72"/>
    <mergeCell ref="B60:C60"/>
    <mergeCell ref="B92:C92"/>
    <mergeCell ref="A1:F1"/>
    <mergeCell ref="B9:F9"/>
    <mergeCell ref="B3:F3"/>
    <mergeCell ref="B50:F50"/>
    <mergeCell ref="B84:C84"/>
    <mergeCell ref="E85:E89"/>
    <mergeCell ref="F85:F89"/>
    <mergeCell ref="C85:C89"/>
  </mergeCells>
  <pageMargins left="0.7" right="0.7" top="0.75" bottom="0.75" header="0.3" footer="0.3"/>
  <pageSetup paperSize="9" scale="75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62"/>
  <sheetViews>
    <sheetView tabSelected="1" topLeftCell="E50" workbookViewId="0">
      <selection activeCell="G58" sqref="G58"/>
    </sheetView>
  </sheetViews>
  <sheetFormatPr defaultRowHeight="15" x14ac:dyDescent="0.25"/>
  <cols>
    <col min="3" max="3" width="28.5703125" bestFit="1" customWidth="1"/>
    <col min="4" max="4" width="13.5703125" bestFit="1" customWidth="1"/>
    <col min="5" max="5" width="17.7109375" customWidth="1"/>
    <col min="6" max="6" width="8.85546875" customWidth="1"/>
    <col min="7" max="7" width="45.140625" customWidth="1"/>
    <col min="8" max="8" width="30.140625" customWidth="1"/>
    <col min="9" max="9" width="42.28515625" customWidth="1"/>
    <col min="10" max="10" width="19.140625" customWidth="1"/>
    <col min="11" max="11" width="16" customWidth="1"/>
  </cols>
  <sheetData>
    <row r="2" spans="3:15" x14ac:dyDescent="0.25">
      <c r="H2">
        <v>33</v>
      </c>
      <c r="I2">
        <v>220</v>
      </c>
    </row>
    <row r="3" spans="3:15" x14ac:dyDescent="0.25">
      <c r="D3">
        <v>2000</v>
      </c>
      <c r="E3">
        <v>6600000</v>
      </c>
      <c r="I3" s="39">
        <f>I2/H2</f>
        <v>6.666666666666667</v>
      </c>
    </row>
    <row r="4" spans="3:15" x14ac:dyDescent="0.25">
      <c r="I4" s="39">
        <f>I3*5</f>
        <v>33.333333333333336</v>
      </c>
    </row>
    <row r="5" spans="3:15" x14ac:dyDescent="0.25">
      <c r="E5">
        <f>E3/D3</f>
        <v>3300</v>
      </c>
    </row>
    <row r="6" spans="3:15" x14ac:dyDescent="0.25">
      <c r="E6">
        <f>E5*12700</f>
        <v>41910000</v>
      </c>
    </row>
    <row r="7" spans="3:15" x14ac:dyDescent="0.25">
      <c r="K7" t="s">
        <v>910</v>
      </c>
    </row>
    <row r="8" spans="3:15" x14ac:dyDescent="0.25">
      <c r="K8" t="s">
        <v>911</v>
      </c>
      <c r="L8" t="s">
        <v>912</v>
      </c>
      <c r="M8" t="s">
        <v>913</v>
      </c>
      <c r="N8" t="s">
        <v>914</v>
      </c>
      <c r="O8" t="s">
        <v>915</v>
      </c>
    </row>
    <row r="9" spans="3:15" ht="30" x14ac:dyDescent="0.25">
      <c r="C9" s="352" t="s">
        <v>796</v>
      </c>
      <c r="D9" s="352" t="s">
        <v>797</v>
      </c>
      <c r="E9" s="352" t="s">
        <v>798</v>
      </c>
      <c r="F9" s="352" t="s">
        <v>799</v>
      </c>
      <c r="G9" s="352" t="s">
        <v>800</v>
      </c>
      <c r="K9">
        <v>1</v>
      </c>
      <c r="L9" t="s">
        <v>916</v>
      </c>
      <c r="M9" t="s">
        <v>917</v>
      </c>
      <c r="N9" t="s">
        <v>918</v>
      </c>
      <c r="O9" t="s">
        <v>918</v>
      </c>
    </row>
    <row r="10" spans="3:15" ht="45" x14ac:dyDescent="0.25">
      <c r="C10" s="350" t="s">
        <v>801</v>
      </c>
      <c r="D10" s="350" t="s">
        <v>802</v>
      </c>
      <c r="E10" s="350" t="s">
        <v>803</v>
      </c>
      <c r="F10" s="350" t="s">
        <v>804</v>
      </c>
      <c r="G10" s="350" t="s">
        <v>805</v>
      </c>
      <c r="K10">
        <v>2</v>
      </c>
      <c r="L10" t="s">
        <v>919</v>
      </c>
      <c r="M10" t="s">
        <v>920</v>
      </c>
      <c r="N10" t="s">
        <v>921</v>
      </c>
      <c r="O10" t="s">
        <v>921</v>
      </c>
    </row>
    <row r="11" spans="3:15" ht="45" x14ac:dyDescent="0.25">
      <c r="C11" s="350" t="s">
        <v>806</v>
      </c>
      <c r="D11" s="350" t="s">
        <v>807</v>
      </c>
      <c r="E11" s="350" t="s">
        <v>808</v>
      </c>
      <c r="F11" s="350" t="s">
        <v>809</v>
      </c>
      <c r="G11" s="350" t="s">
        <v>805</v>
      </c>
      <c r="K11">
        <v>3</v>
      </c>
      <c r="L11" t="s">
        <v>922</v>
      </c>
      <c r="M11" t="s">
        <v>923</v>
      </c>
      <c r="N11" t="s">
        <v>924</v>
      </c>
      <c r="O11" t="s">
        <v>925</v>
      </c>
    </row>
    <row r="12" spans="3:15" ht="45" x14ac:dyDescent="0.25">
      <c r="C12" s="350" t="s">
        <v>810</v>
      </c>
      <c r="D12" s="350" t="s">
        <v>811</v>
      </c>
      <c r="E12" s="350" t="s">
        <v>812</v>
      </c>
      <c r="F12" s="350" t="s">
        <v>813</v>
      </c>
      <c r="G12" s="350" t="s">
        <v>805</v>
      </c>
      <c r="K12">
        <v>4</v>
      </c>
      <c r="L12" t="s">
        <v>926</v>
      </c>
      <c r="M12" t="s">
        <v>927</v>
      </c>
      <c r="N12" t="s">
        <v>924</v>
      </c>
      <c r="O12" t="s">
        <v>925</v>
      </c>
    </row>
    <row r="13" spans="3:15" ht="119.25" customHeight="1" x14ac:dyDescent="0.25">
      <c r="C13" s="387" t="s">
        <v>814</v>
      </c>
      <c r="D13" s="387" t="s">
        <v>815</v>
      </c>
      <c r="E13" s="387" t="s">
        <v>816</v>
      </c>
      <c r="F13" s="387" t="s">
        <v>817</v>
      </c>
      <c r="G13" s="387" t="s">
        <v>805</v>
      </c>
      <c r="K13">
        <v>5</v>
      </c>
      <c r="L13" t="s">
        <v>928</v>
      </c>
      <c r="M13" t="s">
        <v>929</v>
      </c>
      <c r="N13" t="s">
        <v>931</v>
      </c>
      <c r="O13" t="s">
        <v>925</v>
      </c>
    </row>
    <row r="14" spans="3:15" x14ac:dyDescent="0.25">
      <c r="C14" s="387"/>
      <c r="D14" s="387"/>
      <c r="E14" s="387"/>
      <c r="F14" s="387"/>
      <c r="G14" s="387"/>
      <c r="M14" t="s">
        <v>930</v>
      </c>
    </row>
    <row r="15" spans="3:15" ht="30" x14ac:dyDescent="0.25">
      <c r="C15" s="350" t="s">
        <v>818</v>
      </c>
      <c r="D15" s="350" t="s">
        <v>819</v>
      </c>
      <c r="E15" s="350" t="s">
        <v>820</v>
      </c>
      <c r="F15" s="350" t="s">
        <v>821</v>
      </c>
      <c r="G15" s="350" t="s">
        <v>805</v>
      </c>
      <c r="K15">
        <v>6</v>
      </c>
      <c r="L15" t="s">
        <v>932</v>
      </c>
      <c r="M15" t="s">
        <v>933</v>
      </c>
      <c r="N15" t="s">
        <v>921</v>
      </c>
      <c r="O15" t="s">
        <v>921</v>
      </c>
    </row>
    <row r="16" spans="3:15" ht="45" x14ac:dyDescent="0.25">
      <c r="C16" s="350" t="s">
        <v>822</v>
      </c>
      <c r="D16" s="350" t="s">
        <v>823</v>
      </c>
      <c r="E16" s="350" t="s">
        <v>824</v>
      </c>
      <c r="F16" s="350" t="s">
        <v>825</v>
      </c>
      <c r="G16" s="350" t="s">
        <v>805</v>
      </c>
      <c r="K16">
        <v>7</v>
      </c>
      <c r="L16" t="s">
        <v>934</v>
      </c>
      <c r="M16" t="s">
        <v>935</v>
      </c>
      <c r="N16" t="s">
        <v>936</v>
      </c>
      <c r="O16" t="s">
        <v>937</v>
      </c>
    </row>
    <row r="17" spans="3:15" ht="30" x14ac:dyDescent="0.25">
      <c r="C17" s="350" t="s">
        <v>826</v>
      </c>
      <c r="D17" s="350" t="s">
        <v>827</v>
      </c>
      <c r="E17" s="350" t="s">
        <v>803</v>
      </c>
      <c r="F17" s="350" t="s">
        <v>828</v>
      </c>
      <c r="G17" s="350" t="s">
        <v>829</v>
      </c>
      <c r="K17">
        <v>8</v>
      </c>
      <c r="L17" t="s">
        <v>938</v>
      </c>
      <c r="M17" t="s">
        <v>921</v>
      </c>
      <c r="N17" t="s">
        <v>939</v>
      </c>
      <c r="O17" t="s">
        <v>925</v>
      </c>
    </row>
    <row r="18" spans="3:15" ht="30" x14ac:dyDescent="0.25">
      <c r="C18" s="350" t="s">
        <v>830</v>
      </c>
      <c r="D18" s="350" t="s">
        <v>831</v>
      </c>
      <c r="E18" s="350" t="s">
        <v>832</v>
      </c>
      <c r="F18" s="350" t="s">
        <v>833</v>
      </c>
      <c r="G18" s="350" t="s">
        <v>805</v>
      </c>
      <c r="K18">
        <v>9</v>
      </c>
      <c r="L18" t="s">
        <v>940</v>
      </c>
      <c r="M18" t="s">
        <v>941</v>
      </c>
      <c r="N18" t="s">
        <v>942</v>
      </c>
      <c r="O18" t="s">
        <v>925</v>
      </c>
    </row>
    <row r="19" spans="3:15" ht="45" x14ac:dyDescent="0.25">
      <c r="C19" s="350" t="s">
        <v>830</v>
      </c>
      <c r="D19" s="350" t="s">
        <v>834</v>
      </c>
      <c r="E19" s="350" t="s">
        <v>832</v>
      </c>
      <c r="F19" s="350" t="s">
        <v>835</v>
      </c>
      <c r="G19" s="350" t="s">
        <v>805</v>
      </c>
      <c r="K19">
        <v>10</v>
      </c>
      <c r="L19" t="s">
        <v>943</v>
      </c>
      <c r="M19" t="s">
        <v>941</v>
      </c>
      <c r="N19" t="s">
        <v>942</v>
      </c>
      <c r="O19" t="s">
        <v>925</v>
      </c>
    </row>
    <row r="20" spans="3:15" ht="45" x14ac:dyDescent="0.25">
      <c r="C20" s="350" t="s">
        <v>836</v>
      </c>
      <c r="D20" s="350" t="s">
        <v>837</v>
      </c>
      <c r="E20" s="350" t="s">
        <v>838</v>
      </c>
      <c r="F20" s="350" t="s">
        <v>835</v>
      </c>
      <c r="G20" s="350" t="s">
        <v>805</v>
      </c>
      <c r="K20">
        <v>11</v>
      </c>
      <c r="L20" t="s">
        <v>944</v>
      </c>
      <c r="M20" t="s">
        <v>945</v>
      </c>
      <c r="N20" t="s">
        <v>946</v>
      </c>
      <c r="O20" t="s">
        <v>921</v>
      </c>
    </row>
    <row r="21" spans="3:15" ht="59.25" customHeight="1" x14ac:dyDescent="0.25">
      <c r="C21" s="387" t="s">
        <v>839</v>
      </c>
      <c r="D21" s="387" t="s">
        <v>840</v>
      </c>
      <c r="E21" s="387" t="s">
        <v>816</v>
      </c>
      <c r="F21" s="387" t="s">
        <v>841</v>
      </c>
      <c r="G21" s="387" t="s">
        <v>805</v>
      </c>
    </row>
    <row r="22" spans="3:15" x14ac:dyDescent="0.25">
      <c r="C22" s="387"/>
      <c r="D22" s="387"/>
      <c r="E22" s="387"/>
      <c r="F22" s="387"/>
      <c r="G22" s="387"/>
    </row>
    <row r="23" spans="3:15" ht="60" x14ac:dyDescent="0.25">
      <c r="C23" s="350" t="s">
        <v>842</v>
      </c>
      <c r="D23" s="350" t="s">
        <v>843</v>
      </c>
      <c r="E23" s="350" t="s">
        <v>844</v>
      </c>
      <c r="F23" s="350" t="s">
        <v>845</v>
      </c>
      <c r="G23" s="350" t="s">
        <v>805</v>
      </c>
    </row>
    <row r="24" spans="3:15" ht="90" x14ac:dyDescent="0.25">
      <c r="C24" s="350" t="s">
        <v>846</v>
      </c>
      <c r="D24" s="350" t="s">
        <v>847</v>
      </c>
      <c r="E24" s="350" t="s">
        <v>803</v>
      </c>
      <c r="F24" s="350" t="s">
        <v>825</v>
      </c>
      <c r="G24" s="350" t="s">
        <v>805</v>
      </c>
    </row>
    <row r="25" spans="3:15" ht="75" x14ac:dyDescent="0.25">
      <c r="C25" s="350" t="s">
        <v>848</v>
      </c>
      <c r="D25" s="350" t="s">
        <v>849</v>
      </c>
      <c r="E25" s="350" t="s">
        <v>850</v>
      </c>
      <c r="F25" s="350" t="s">
        <v>851</v>
      </c>
      <c r="G25" s="350" t="s">
        <v>852</v>
      </c>
    </row>
    <row r="26" spans="3:15" ht="45" x14ac:dyDescent="0.25">
      <c r="C26" s="350" t="s">
        <v>853</v>
      </c>
      <c r="D26" s="350" t="s">
        <v>854</v>
      </c>
      <c r="E26" s="350" t="s">
        <v>855</v>
      </c>
      <c r="F26" s="350" t="s">
        <v>856</v>
      </c>
      <c r="G26" s="350" t="s">
        <v>857</v>
      </c>
    </row>
    <row r="27" spans="3:15" ht="45" x14ac:dyDescent="0.25">
      <c r="C27" s="350" t="s">
        <v>858</v>
      </c>
      <c r="D27" s="350" t="s">
        <v>859</v>
      </c>
      <c r="E27" s="350" t="s">
        <v>860</v>
      </c>
      <c r="F27" s="350" t="s">
        <v>861</v>
      </c>
      <c r="G27" s="350" t="s">
        <v>857</v>
      </c>
    </row>
    <row r="28" spans="3:15" ht="45" x14ac:dyDescent="0.25">
      <c r="C28" s="350" t="s">
        <v>862</v>
      </c>
      <c r="D28" s="350" t="s">
        <v>859</v>
      </c>
      <c r="E28" s="350" t="s">
        <v>863</v>
      </c>
      <c r="F28" s="350" t="s">
        <v>864</v>
      </c>
      <c r="G28" s="350" t="s">
        <v>857</v>
      </c>
    </row>
    <row r="29" spans="3:15" ht="30" x14ac:dyDescent="0.25">
      <c r="C29" s="350" t="s">
        <v>865</v>
      </c>
      <c r="D29" s="350" t="s">
        <v>866</v>
      </c>
      <c r="E29" s="350" t="s">
        <v>803</v>
      </c>
      <c r="F29" s="350" t="s">
        <v>867</v>
      </c>
      <c r="G29" s="350" t="s">
        <v>857</v>
      </c>
    </row>
    <row r="30" spans="3:15" ht="45" x14ac:dyDescent="0.25">
      <c r="C30" s="350" t="s">
        <v>868</v>
      </c>
      <c r="D30" s="350" t="s">
        <v>869</v>
      </c>
      <c r="E30" s="350" t="s">
        <v>812</v>
      </c>
      <c r="F30" s="350" t="s">
        <v>870</v>
      </c>
      <c r="G30" s="350" t="s">
        <v>857</v>
      </c>
    </row>
    <row r="31" spans="3:15" ht="60" x14ac:dyDescent="0.25">
      <c r="C31" s="350" t="s">
        <v>871</v>
      </c>
      <c r="D31" s="350" t="s">
        <v>872</v>
      </c>
      <c r="E31" s="350" t="s">
        <v>873</v>
      </c>
      <c r="F31" s="350" t="s">
        <v>835</v>
      </c>
      <c r="G31" s="350" t="s">
        <v>805</v>
      </c>
    </row>
    <row r="32" spans="3:15" ht="30" x14ac:dyDescent="0.25">
      <c r="C32" s="350" t="s">
        <v>874</v>
      </c>
      <c r="D32" s="350" t="s">
        <v>875</v>
      </c>
      <c r="E32" s="350" t="s">
        <v>876</v>
      </c>
      <c r="F32" s="350" t="s">
        <v>835</v>
      </c>
      <c r="G32" s="350" t="s">
        <v>805</v>
      </c>
    </row>
    <row r="33" spans="3:7" ht="90" x14ac:dyDescent="0.25">
      <c r="C33" s="350" t="s">
        <v>877</v>
      </c>
      <c r="D33" s="350" t="s">
        <v>878</v>
      </c>
      <c r="E33" s="350" t="s">
        <v>803</v>
      </c>
      <c r="F33" s="350" t="s">
        <v>879</v>
      </c>
      <c r="G33" s="350" t="s">
        <v>880</v>
      </c>
    </row>
    <row r="34" spans="3:7" ht="45" x14ac:dyDescent="0.25">
      <c r="C34" s="350" t="s">
        <v>881</v>
      </c>
      <c r="D34" s="350" t="s">
        <v>882</v>
      </c>
      <c r="E34" s="350" t="s">
        <v>832</v>
      </c>
      <c r="F34" s="350" t="s">
        <v>883</v>
      </c>
      <c r="G34" s="350" t="s">
        <v>880</v>
      </c>
    </row>
    <row r="35" spans="3:7" ht="30" x14ac:dyDescent="0.25">
      <c r="C35" s="350" t="s">
        <v>826</v>
      </c>
      <c r="D35" s="350" t="s">
        <v>866</v>
      </c>
      <c r="E35" s="350" t="s">
        <v>884</v>
      </c>
      <c r="F35" s="350" t="s">
        <v>885</v>
      </c>
      <c r="G35" s="350" t="s">
        <v>805</v>
      </c>
    </row>
    <row r="36" spans="3:7" ht="75" x14ac:dyDescent="0.25">
      <c r="C36" s="350" t="s">
        <v>886</v>
      </c>
      <c r="D36" s="350" t="s">
        <v>887</v>
      </c>
      <c r="E36" s="350" t="s">
        <v>888</v>
      </c>
      <c r="F36" s="350" t="s">
        <v>889</v>
      </c>
      <c r="G36" s="350" t="s">
        <v>805</v>
      </c>
    </row>
    <row r="37" spans="3:7" x14ac:dyDescent="0.25">
      <c r="C37" s="387" t="s">
        <v>890</v>
      </c>
      <c r="D37" s="350"/>
      <c r="E37" s="387" t="s">
        <v>892</v>
      </c>
      <c r="F37" s="387" t="s">
        <v>893</v>
      </c>
      <c r="G37" s="387" t="s">
        <v>805</v>
      </c>
    </row>
    <row r="38" spans="3:7" ht="30" x14ac:dyDescent="0.25">
      <c r="C38" s="387"/>
      <c r="D38" s="350" t="s">
        <v>891</v>
      </c>
      <c r="E38" s="387"/>
      <c r="F38" s="387"/>
      <c r="G38" s="387"/>
    </row>
    <row r="39" spans="3:7" x14ac:dyDescent="0.25">
      <c r="C39" s="387"/>
      <c r="D39" s="350"/>
      <c r="E39" s="387"/>
      <c r="F39" s="387"/>
      <c r="G39" s="387"/>
    </row>
    <row r="40" spans="3:7" ht="90" x14ac:dyDescent="0.25">
      <c r="C40" s="350" t="s">
        <v>894</v>
      </c>
      <c r="D40" s="350" t="s">
        <v>895</v>
      </c>
      <c r="E40" s="350" t="s">
        <v>816</v>
      </c>
      <c r="F40" s="350" t="s">
        <v>896</v>
      </c>
      <c r="G40" s="350" t="s">
        <v>897</v>
      </c>
    </row>
    <row r="41" spans="3:7" ht="60" x14ac:dyDescent="0.25">
      <c r="C41" s="350" t="s">
        <v>898</v>
      </c>
      <c r="D41" s="350" t="s">
        <v>899</v>
      </c>
      <c r="E41" s="350" t="s">
        <v>816</v>
      </c>
      <c r="F41" s="350" t="s">
        <v>900</v>
      </c>
      <c r="G41" s="350" t="s">
        <v>897</v>
      </c>
    </row>
    <row r="42" spans="3:7" ht="74.25" customHeight="1" x14ac:dyDescent="0.25">
      <c r="C42" s="387" t="s">
        <v>901</v>
      </c>
      <c r="D42" s="388" t="s">
        <v>902</v>
      </c>
      <c r="E42" s="387" t="s">
        <v>816</v>
      </c>
      <c r="F42" s="387" t="s">
        <v>896</v>
      </c>
      <c r="G42" s="387" t="s">
        <v>897</v>
      </c>
    </row>
    <row r="43" spans="3:7" x14ac:dyDescent="0.25">
      <c r="C43" s="387"/>
      <c r="D43" s="388"/>
      <c r="E43" s="387"/>
      <c r="F43" s="387"/>
      <c r="G43" s="387"/>
    </row>
    <row r="44" spans="3:7" ht="45" x14ac:dyDescent="0.25">
      <c r="C44" s="350" t="s">
        <v>903</v>
      </c>
      <c r="D44" s="351" t="s">
        <v>904</v>
      </c>
      <c r="E44" s="350" t="s">
        <v>905</v>
      </c>
      <c r="F44" s="350" t="s">
        <v>906</v>
      </c>
      <c r="G44" s="350" t="s">
        <v>907</v>
      </c>
    </row>
    <row r="45" spans="3:7" ht="45" x14ac:dyDescent="0.25">
      <c r="C45" s="350" t="s">
        <v>908</v>
      </c>
      <c r="D45" s="351" t="s">
        <v>882</v>
      </c>
      <c r="E45" s="350" t="s">
        <v>803</v>
      </c>
      <c r="F45" s="350" t="s">
        <v>909</v>
      </c>
      <c r="G45" s="350" t="s">
        <v>907</v>
      </c>
    </row>
    <row r="50" spans="6:10" ht="27.75" customHeight="1" x14ac:dyDescent="0.25">
      <c r="F50" s="434" t="s">
        <v>911</v>
      </c>
      <c r="G50" s="436" t="s">
        <v>912</v>
      </c>
      <c r="H50" s="435" t="s">
        <v>913</v>
      </c>
      <c r="I50" s="437" t="s">
        <v>914</v>
      </c>
      <c r="J50" s="438" t="s">
        <v>915</v>
      </c>
    </row>
    <row r="51" spans="6:10" ht="18" customHeight="1" x14ac:dyDescent="0.25">
      <c r="F51" s="14">
        <v>1</v>
      </c>
      <c r="G51" t="s">
        <v>916</v>
      </c>
      <c r="H51" t="s">
        <v>917</v>
      </c>
      <c r="I51" t="s">
        <v>918</v>
      </c>
      <c r="J51" t="s">
        <v>918</v>
      </c>
    </row>
    <row r="52" spans="6:10" ht="18" customHeight="1" x14ac:dyDescent="0.25">
      <c r="F52" s="14">
        <v>2</v>
      </c>
      <c r="G52" t="s">
        <v>919</v>
      </c>
      <c r="H52" t="s">
        <v>920</v>
      </c>
      <c r="I52" t="s">
        <v>921</v>
      </c>
      <c r="J52" t="s">
        <v>921</v>
      </c>
    </row>
    <row r="53" spans="6:10" ht="18" customHeight="1" x14ac:dyDescent="0.25">
      <c r="F53" s="14">
        <v>3</v>
      </c>
      <c r="G53" t="s">
        <v>922</v>
      </c>
      <c r="H53" t="s">
        <v>923</v>
      </c>
      <c r="I53" t="s">
        <v>924</v>
      </c>
      <c r="J53" t="s">
        <v>925</v>
      </c>
    </row>
    <row r="54" spans="6:10" ht="18" customHeight="1" x14ac:dyDescent="0.25">
      <c r="F54" s="14">
        <v>4</v>
      </c>
      <c r="G54" t="s">
        <v>926</v>
      </c>
      <c r="H54" t="s">
        <v>927</v>
      </c>
      <c r="I54" t="s">
        <v>924</v>
      </c>
      <c r="J54" t="s">
        <v>925</v>
      </c>
    </row>
    <row r="55" spans="6:10" ht="50.25" customHeight="1" x14ac:dyDescent="0.25">
      <c r="F55" s="14">
        <v>5</v>
      </c>
      <c r="G55" s="349" t="s">
        <v>928</v>
      </c>
      <c r="H55" s="439" t="s">
        <v>947</v>
      </c>
      <c r="I55" s="349" t="s">
        <v>931</v>
      </c>
      <c r="J55" t="s">
        <v>925</v>
      </c>
    </row>
    <row r="56" spans="6:10" ht="18" customHeight="1" x14ac:dyDescent="0.25">
      <c r="F56" s="14">
        <v>6</v>
      </c>
      <c r="G56" t="s">
        <v>932</v>
      </c>
      <c r="H56" t="s">
        <v>933</v>
      </c>
      <c r="I56" t="s">
        <v>921</v>
      </c>
      <c r="J56" t="s">
        <v>921</v>
      </c>
    </row>
    <row r="57" spans="6:10" ht="18" customHeight="1" x14ac:dyDescent="0.25">
      <c r="F57" s="14">
        <v>7</v>
      </c>
      <c r="G57" t="s">
        <v>934</v>
      </c>
      <c r="H57" t="s">
        <v>935</v>
      </c>
      <c r="I57" t="s">
        <v>936</v>
      </c>
      <c r="J57" t="s">
        <v>937</v>
      </c>
    </row>
    <row r="58" spans="6:10" ht="18" customHeight="1" x14ac:dyDescent="0.25">
      <c r="F58" s="14">
        <v>8</v>
      </c>
      <c r="G58" t="s">
        <v>938</v>
      </c>
      <c r="H58" t="s">
        <v>921</v>
      </c>
      <c r="I58" t="s">
        <v>939</v>
      </c>
      <c r="J58" t="s">
        <v>925</v>
      </c>
    </row>
    <row r="59" spans="6:10" ht="18" customHeight="1" x14ac:dyDescent="0.25">
      <c r="F59" s="14">
        <v>9</v>
      </c>
      <c r="G59" t="s">
        <v>940</v>
      </c>
      <c r="H59" t="s">
        <v>941</v>
      </c>
      <c r="I59" t="s">
        <v>942</v>
      </c>
      <c r="J59" t="s">
        <v>925</v>
      </c>
    </row>
    <row r="60" spans="6:10" ht="18" customHeight="1" x14ac:dyDescent="0.25">
      <c r="F60" s="14">
        <v>10</v>
      </c>
      <c r="G60" t="s">
        <v>943</v>
      </c>
      <c r="H60" t="s">
        <v>941</v>
      </c>
      <c r="I60" t="s">
        <v>942</v>
      </c>
      <c r="J60" t="s">
        <v>925</v>
      </c>
    </row>
    <row r="61" spans="6:10" ht="18" customHeight="1" x14ac:dyDescent="0.25">
      <c r="F61" s="14">
        <v>11</v>
      </c>
      <c r="G61" t="s">
        <v>944</v>
      </c>
      <c r="H61" t="s">
        <v>945</v>
      </c>
      <c r="I61" t="s">
        <v>946</v>
      </c>
      <c r="J61" t="s">
        <v>921</v>
      </c>
    </row>
    <row r="62" spans="6:10" ht="18" customHeight="1" x14ac:dyDescent="0.25"/>
  </sheetData>
  <mergeCells count="19">
    <mergeCell ref="C21:C22"/>
    <mergeCell ref="D21:D22"/>
    <mergeCell ref="E21:E22"/>
    <mergeCell ref="F21:F22"/>
    <mergeCell ref="G21:G22"/>
    <mergeCell ref="C13:C14"/>
    <mergeCell ref="D13:D14"/>
    <mergeCell ref="E13:E14"/>
    <mergeCell ref="F13:F14"/>
    <mergeCell ref="G13:G14"/>
    <mergeCell ref="C37:C39"/>
    <mergeCell ref="E37:E39"/>
    <mergeCell ref="F37:F39"/>
    <mergeCell ref="G37:G39"/>
    <mergeCell ref="C42:C43"/>
    <mergeCell ref="D42:D43"/>
    <mergeCell ref="E42:E43"/>
    <mergeCell ref="F42:F43"/>
    <mergeCell ref="G42:G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1"/>
  <sheetViews>
    <sheetView workbookViewId="0">
      <selection activeCell="E5" sqref="E5"/>
    </sheetView>
  </sheetViews>
  <sheetFormatPr defaultColWidth="13" defaultRowHeight="18.75" x14ac:dyDescent="0.3"/>
  <cols>
    <col min="1" max="1" width="10.7109375" style="54" customWidth="1"/>
    <col min="2" max="2" width="51.140625" style="54" customWidth="1"/>
    <col min="3" max="3" width="26.28515625" style="54" customWidth="1"/>
    <col min="4" max="4" width="20.7109375" style="54" bestFit="1" customWidth="1"/>
    <col min="5" max="5" width="20.28515625" style="54" customWidth="1"/>
    <col min="6" max="16384" width="13" style="54"/>
  </cols>
  <sheetData>
    <row r="1" spans="1:5" s="57" customFormat="1" ht="26.1" customHeight="1" x14ac:dyDescent="0.25">
      <c r="A1" s="360" t="s">
        <v>9</v>
      </c>
      <c r="B1" s="360"/>
      <c r="C1" s="360"/>
    </row>
    <row r="2" spans="1:5" s="56" customFormat="1" ht="21" customHeight="1" x14ac:dyDescent="0.25">
      <c r="A2" s="32" t="s">
        <v>652</v>
      </c>
      <c r="B2" s="32" t="s">
        <v>1</v>
      </c>
      <c r="C2" s="32" t="s">
        <v>7</v>
      </c>
      <c r="D2" s="55"/>
      <c r="E2" s="55"/>
    </row>
    <row r="3" spans="1:5" s="57" customFormat="1" ht="21" customHeight="1" x14ac:dyDescent="0.25">
      <c r="A3" s="62" t="s">
        <v>97</v>
      </c>
      <c r="B3" s="61" t="s">
        <v>112</v>
      </c>
      <c r="C3" s="70"/>
    </row>
    <row r="4" spans="1:5" s="57" customFormat="1" ht="21" customHeight="1" x14ac:dyDescent="0.25">
      <c r="A4" s="35">
        <v>1</v>
      </c>
      <c r="B4" s="70" t="s">
        <v>753</v>
      </c>
      <c r="C4" s="106">
        <f>'Det CoP_MOF'!F8</f>
        <v>10000000</v>
      </c>
      <c r="D4" s="86">
        <f>C4+C5+C6</f>
        <v>268127571.52000001</v>
      </c>
      <c r="E4" s="86">
        <f>D4/5</f>
        <v>53625514.304000005</v>
      </c>
    </row>
    <row r="5" spans="1:5" s="57" customFormat="1" ht="21" customHeight="1" x14ac:dyDescent="0.25">
      <c r="A5" s="35">
        <v>2</v>
      </c>
      <c r="B5" s="70" t="s">
        <v>451</v>
      </c>
      <c r="C5" s="106">
        <f>'Det CoP_MOF'!F49</f>
        <v>75582416</v>
      </c>
      <c r="D5" s="86"/>
      <c r="E5" s="86"/>
    </row>
    <row r="6" spans="1:5" s="57" customFormat="1" ht="21" customHeight="1" x14ac:dyDescent="0.25">
      <c r="A6" s="35">
        <v>3</v>
      </c>
      <c r="B6" s="70" t="s">
        <v>71</v>
      </c>
      <c r="C6" s="106">
        <f>('Det CoP_MOF'!F162)</f>
        <v>182545155.52000001</v>
      </c>
      <c r="D6" s="86"/>
      <c r="E6" s="86"/>
    </row>
    <row r="7" spans="1:5" s="57" customFormat="1" ht="21" customHeight="1" x14ac:dyDescent="0.25">
      <c r="A7" s="35">
        <v>4</v>
      </c>
      <c r="B7" s="70" t="s">
        <v>116</v>
      </c>
      <c r="C7" s="106">
        <f>'Det CoP_MOF'!F172</f>
        <v>600000</v>
      </c>
    </row>
    <row r="8" spans="1:5" s="57" customFormat="1" ht="21" customHeight="1" x14ac:dyDescent="0.25">
      <c r="A8" s="35">
        <v>5</v>
      </c>
      <c r="B8" s="70" t="s">
        <v>490</v>
      </c>
      <c r="C8" s="106">
        <f>'Det CoP_MOF'!F179</f>
        <v>1201500</v>
      </c>
      <c r="D8" s="80"/>
      <c r="E8" s="80"/>
    </row>
    <row r="9" spans="1:5" s="57" customFormat="1" ht="21" customHeight="1" x14ac:dyDescent="0.25">
      <c r="A9" s="35">
        <v>6</v>
      </c>
      <c r="B9" s="70" t="s">
        <v>634</v>
      </c>
      <c r="C9" s="106">
        <f>'Det CoP_MOF'!F183</f>
        <v>1667000</v>
      </c>
      <c r="D9" s="80"/>
      <c r="E9" s="80"/>
    </row>
    <row r="10" spans="1:5" s="57" customFormat="1" ht="21" customHeight="1" x14ac:dyDescent="0.25">
      <c r="A10" s="35">
        <v>7</v>
      </c>
      <c r="B10" s="70" t="s">
        <v>633</v>
      </c>
      <c r="C10" s="106">
        <f>'Det CoP_MOF'!F184</f>
        <v>17062500</v>
      </c>
      <c r="D10" s="80"/>
      <c r="E10" s="80"/>
    </row>
    <row r="11" spans="1:5" s="57" customFormat="1" ht="21" customHeight="1" x14ac:dyDescent="0.25">
      <c r="A11" s="35">
        <v>8</v>
      </c>
      <c r="B11" s="70" t="s">
        <v>651</v>
      </c>
      <c r="C11" s="106">
        <f>C13-SUM(C4:C10)</f>
        <v>341428.48000001907</v>
      </c>
      <c r="D11" s="80"/>
      <c r="E11" s="80"/>
    </row>
    <row r="12" spans="1:5" s="57" customFormat="1" ht="21" hidden="1" customHeight="1" x14ac:dyDescent="0.25">
      <c r="A12" s="71"/>
      <c r="B12" s="70"/>
      <c r="C12" s="73"/>
      <c r="D12" s="80"/>
      <c r="E12" s="80"/>
    </row>
    <row r="13" spans="1:5" s="58" customFormat="1" ht="21" customHeight="1" x14ac:dyDescent="0.25">
      <c r="A13" s="61"/>
      <c r="B13" s="62" t="s">
        <v>43</v>
      </c>
      <c r="C13" s="104">
        <f>'Det CoP_MOF'!F190</f>
        <v>289000000</v>
      </c>
      <c r="D13" s="105"/>
      <c r="E13" s="102"/>
    </row>
    <row r="14" spans="1:5" s="57" customFormat="1" ht="21" customHeight="1" x14ac:dyDescent="0.25">
      <c r="A14" s="62" t="s">
        <v>98</v>
      </c>
      <c r="B14" s="61" t="s">
        <v>113</v>
      </c>
      <c r="C14" s="73"/>
      <c r="E14" s="103"/>
    </row>
    <row r="15" spans="1:5" s="57" customFormat="1" ht="21" customHeight="1" x14ac:dyDescent="0.25">
      <c r="A15" s="35"/>
      <c r="B15" s="70" t="s">
        <v>717</v>
      </c>
      <c r="C15" s="106">
        <f>C13-C16-C18</f>
        <v>89000000</v>
      </c>
      <c r="D15" s="191"/>
      <c r="E15" s="86"/>
    </row>
    <row r="16" spans="1:5" s="57" customFormat="1" ht="21" hidden="1" customHeight="1" x14ac:dyDescent="0.25">
      <c r="A16" s="35"/>
      <c r="B16" s="70"/>
      <c r="C16" s="106"/>
      <c r="D16" s="80"/>
      <c r="E16" s="86"/>
    </row>
    <row r="17" spans="1:5" s="57" customFormat="1" ht="21" customHeight="1" x14ac:dyDescent="0.25">
      <c r="A17" s="35">
        <v>1</v>
      </c>
      <c r="B17" s="70" t="s">
        <v>738</v>
      </c>
      <c r="C17" s="106">
        <f>C15+C16</f>
        <v>89000000</v>
      </c>
      <c r="D17" s="80"/>
    </row>
    <row r="18" spans="1:5" s="57" customFormat="1" ht="21" customHeight="1" x14ac:dyDescent="0.3">
      <c r="A18" s="35">
        <v>2</v>
      </c>
      <c r="B18" s="70" t="s">
        <v>114</v>
      </c>
      <c r="C18" s="106">
        <v>200000000</v>
      </c>
      <c r="D18" s="192"/>
      <c r="E18" s="132"/>
    </row>
    <row r="19" spans="1:5" s="57" customFormat="1" ht="34.35" hidden="1" customHeight="1" x14ac:dyDescent="0.25">
      <c r="A19" s="71"/>
      <c r="B19" s="72"/>
      <c r="C19" s="106"/>
      <c r="D19" s="80"/>
    </row>
    <row r="20" spans="1:5" s="57" customFormat="1" ht="34.35" customHeight="1" x14ac:dyDescent="0.25">
      <c r="A20" s="71"/>
      <c r="B20" s="72" t="s">
        <v>695</v>
      </c>
      <c r="C20" s="106">
        <v>40000000</v>
      </c>
      <c r="D20" s="80"/>
    </row>
    <row r="21" spans="1:5" s="57" customFormat="1" ht="21" customHeight="1" x14ac:dyDescent="0.25">
      <c r="A21" s="61"/>
      <c r="B21" s="62" t="s">
        <v>43</v>
      </c>
      <c r="C21" s="104">
        <f>C13</f>
        <v>289000000</v>
      </c>
      <c r="D21" s="81"/>
    </row>
    <row r="22" spans="1:5" x14ac:dyDescent="0.3">
      <c r="C22" s="89"/>
    </row>
    <row r="23" spans="1:5" x14ac:dyDescent="0.3">
      <c r="B23" s="147" t="s">
        <v>548</v>
      </c>
      <c r="C23" s="148">
        <v>5000000</v>
      </c>
    </row>
    <row r="24" spans="1:5" x14ac:dyDescent="0.3">
      <c r="B24" s="149" t="s">
        <v>549</v>
      </c>
      <c r="C24" s="150">
        <f>C18+C23</f>
        <v>205000000</v>
      </c>
    </row>
    <row r="25" spans="1:5" x14ac:dyDescent="0.3">
      <c r="E25" s="163"/>
    </row>
    <row r="27" spans="1:5" x14ac:dyDescent="0.3">
      <c r="C27" s="133"/>
    </row>
    <row r="28" spans="1:5" x14ac:dyDescent="0.3">
      <c r="C28" s="138"/>
    </row>
    <row r="29" spans="1:5" x14ac:dyDescent="0.3">
      <c r="C29" s="138"/>
    </row>
    <row r="30" spans="1:5" x14ac:dyDescent="0.3">
      <c r="C30" s="138"/>
    </row>
    <row r="31" spans="1:5" x14ac:dyDescent="0.3">
      <c r="C31" s="138"/>
    </row>
  </sheetData>
  <customSheetViews>
    <customSheetView guid="{22475485-DA09-46DB-978D-BB94CE1E5597}" topLeftCell="A7">
      <selection activeCell="B13" sqref="B13"/>
      <pageMargins left="0.7" right="0.7" top="0.75" bottom="0.75" header="0.3" footer="0.3"/>
      <pageSetup paperSize="9" orientation="portrait" verticalDpi="300" r:id="rId1"/>
    </customSheetView>
  </customSheetViews>
  <mergeCells count="1">
    <mergeCell ref="A1:C1"/>
  </mergeCells>
  <pageMargins left="0.7" right="0.7" top="0.75" bottom="0.75" header="0.3" footer="0.3"/>
  <pageSetup paperSize="9" orientation="portrait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85"/>
  <sheetViews>
    <sheetView topLeftCell="A7" workbookViewId="0">
      <selection activeCell="B33" sqref="B33"/>
    </sheetView>
  </sheetViews>
  <sheetFormatPr defaultColWidth="13" defaultRowHeight="15" x14ac:dyDescent="0.25"/>
  <cols>
    <col min="1" max="1" width="7.85546875" style="217" customWidth="1"/>
    <col min="2" max="2" width="67" style="262" customWidth="1"/>
    <col min="3" max="3" width="12.140625" style="275" customWidth="1"/>
    <col min="4" max="4" width="10" style="225" customWidth="1"/>
    <col min="5" max="5" width="12" style="217" customWidth="1"/>
    <col min="6" max="6" width="12.85546875" style="217" customWidth="1"/>
    <col min="7" max="7" width="16" style="217" customWidth="1"/>
    <col min="8" max="16384" width="13" style="217"/>
  </cols>
  <sheetData>
    <row r="1" spans="1:11" s="246" customFormat="1" ht="29.1" customHeight="1" x14ac:dyDescent="0.25">
      <c r="A1" s="389" t="s">
        <v>10</v>
      </c>
      <c r="B1" s="389"/>
      <c r="C1" s="389"/>
      <c r="D1" s="389"/>
    </row>
    <row r="2" spans="1:11" s="273" customFormat="1" ht="21" customHeight="1" x14ac:dyDescent="0.25">
      <c r="A2" s="155" t="s">
        <v>0</v>
      </c>
      <c r="B2" s="155" t="s">
        <v>90</v>
      </c>
      <c r="C2" s="155" t="s">
        <v>88</v>
      </c>
      <c r="D2" s="155" t="s">
        <v>89</v>
      </c>
      <c r="E2" s="243"/>
      <c r="F2" s="276"/>
      <c r="G2" s="246"/>
      <c r="H2" s="246"/>
      <c r="I2" s="246"/>
    </row>
    <row r="3" spans="1:11" s="246" customFormat="1" ht="21" customHeight="1" x14ac:dyDescent="0.25">
      <c r="A3" s="277" t="s">
        <v>91</v>
      </c>
      <c r="B3" s="268" t="s">
        <v>93</v>
      </c>
      <c r="C3" s="266"/>
      <c r="D3" s="223"/>
    </row>
    <row r="4" spans="1:11" s="246" customFormat="1" ht="21" customHeight="1" x14ac:dyDescent="0.25">
      <c r="A4" s="211">
        <v>1</v>
      </c>
      <c r="B4" s="215" t="s">
        <v>166</v>
      </c>
      <c r="C4" s="266">
        <v>24</v>
      </c>
      <c r="D4" s="223" t="s">
        <v>195</v>
      </c>
    </row>
    <row r="5" spans="1:11" s="246" customFormat="1" ht="21" customHeight="1" x14ac:dyDescent="0.25">
      <c r="A5" s="211">
        <v>2</v>
      </c>
      <c r="B5" s="215" t="s">
        <v>167</v>
      </c>
      <c r="C5" s="266">
        <v>365</v>
      </c>
      <c r="D5" s="223" t="s">
        <v>196</v>
      </c>
    </row>
    <row r="6" spans="1:11" s="246" customFormat="1" ht="21" customHeight="1" x14ac:dyDescent="0.25">
      <c r="A6" s="211">
        <v>3</v>
      </c>
      <c r="B6" s="215" t="s">
        <v>340</v>
      </c>
      <c r="C6" s="266">
        <v>350</v>
      </c>
      <c r="D6" s="223" t="s">
        <v>196</v>
      </c>
    </row>
    <row r="7" spans="1:11" s="246" customFormat="1" ht="21" customHeight="1" x14ac:dyDescent="0.25">
      <c r="A7" s="211">
        <v>4</v>
      </c>
      <c r="B7" s="215" t="s">
        <v>191</v>
      </c>
      <c r="C7" s="266" t="s">
        <v>192</v>
      </c>
      <c r="D7" s="223" t="s">
        <v>8</v>
      </c>
    </row>
    <row r="8" spans="1:11" s="246" customFormat="1" ht="21" customHeight="1" x14ac:dyDescent="0.25">
      <c r="A8" s="277" t="s">
        <v>92</v>
      </c>
      <c r="B8" s="268" t="s">
        <v>94</v>
      </c>
      <c r="C8" s="278"/>
      <c r="D8" s="213"/>
      <c r="E8" s="256"/>
      <c r="F8" s="256"/>
      <c r="G8" s="256"/>
      <c r="H8" s="256"/>
      <c r="I8" s="256"/>
      <c r="J8" s="256"/>
      <c r="K8" s="256"/>
    </row>
    <row r="9" spans="1:11" s="246" customFormat="1" ht="21" customHeight="1" x14ac:dyDescent="0.25">
      <c r="A9" s="211">
        <v>5</v>
      </c>
      <c r="B9" s="215" t="s">
        <v>168</v>
      </c>
      <c r="C9" s="260">
        <v>10000</v>
      </c>
      <c r="D9" s="223" t="s">
        <v>193</v>
      </c>
    </row>
    <row r="10" spans="1:11" s="246" customFormat="1" ht="21" customHeight="1" x14ac:dyDescent="0.25">
      <c r="A10" s="211">
        <v>6</v>
      </c>
      <c r="B10" s="215" t="s">
        <v>667</v>
      </c>
      <c r="C10" s="260">
        <v>120000</v>
      </c>
      <c r="D10" s="223" t="s">
        <v>193</v>
      </c>
    </row>
    <row r="11" spans="1:11" s="246" customFormat="1" ht="21" customHeight="1" x14ac:dyDescent="0.25">
      <c r="A11" s="211">
        <v>7</v>
      </c>
      <c r="B11" s="215" t="s">
        <v>728</v>
      </c>
      <c r="C11" s="260">
        <v>14100</v>
      </c>
      <c r="D11" s="223" t="s">
        <v>194</v>
      </c>
    </row>
    <row r="12" spans="1:11" s="246" customFormat="1" ht="21" customHeight="1" x14ac:dyDescent="0.25">
      <c r="A12" s="211">
        <v>8</v>
      </c>
      <c r="B12" s="215" t="s">
        <v>729</v>
      </c>
      <c r="C12" s="260">
        <v>12700</v>
      </c>
      <c r="D12" s="223" t="s">
        <v>194</v>
      </c>
    </row>
    <row r="13" spans="1:11" s="246" customFormat="1" ht="21" customHeight="1" x14ac:dyDescent="0.25">
      <c r="A13" s="211">
        <v>9</v>
      </c>
      <c r="B13" s="215" t="s">
        <v>232</v>
      </c>
      <c r="C13" s="260">
        <v>12700</v>
      </c>
      <c r="D13" s="223" t="s">
        <v>194</v>
      </c>
    </row>
    <row r="14" spans="1:11" s="246" customFormat="1" ht="21" customHeight="1" x14ac:dyDescent="0.25">
      <c r="A14" s="211">
        <v>10</v>
      </c>
      <c r="B14" s="215" t="s">
        <v>169</v>
      </c>
      <c r="C14" s="260">
        <v>7000</v>
      </c>
      <c r="D14" s="223" t="s">
        <v>194</v>
      </c>
    </row>
    <row r="15" spans="1:11" s="246" customFormat="1" ht="21" customHeight="1" x14ac:dyDescent="0.25">
      <c r="A15" s="211">
        <v>11</v>
      </c>
      <c r="B15" s="215" t="s">
        <v>170</v>
      </c>
      <c r="C15" s="260">
        <v>5000</v>
      </c>
      <c r="D15" s="223" t="s">
        <v>193</v>
      </c>
    </row>
    <row r="16" spans="1:11" s="246" customFormat="1" ht="21" customHeight="1" x14ac:dyDescent="0.25">
      <c r="A16" s="211">
        <v>12</v>
      </c>
      <c r="B16" s="215" t="s">
        <v>233</v>
      </c>
      <c r="C16" s="266" t="s">
        <v>441</v>
      </c>
      <c r="D16" s="223" t="s">
        <v>8</v>
      </c>
    </row>
    <row r="17" spans="1:11" s="246" customFormat="1" ht="21" customHeight="1" x14ac:dyDescent="0.25">
      <c r="A17" s="211">
        <v>13</v>
      </c>
      <c r="B17" s="215" t="s">
        <v>765</v>
      </c>
      <c r="C17" s="260">
        <v>7000</v>
      </c>
      <c r="D17" s="223" t="s">
        <v>194</v>
      </c>
    </row>
    <row r="18" spans="1:11" s="246" customFormat="1" ht="21" customHeight="1" x14ac:dyDescent="0.25">
      <c r="A18" s="211">
        <v>14</v>
      </c>
      <c r="B18" s="215" t="s">
        <v>231</v>
      </c>
      <c r="C18" s="267" t="s">
        <v>197</v>
      </c>
      <c r="D18" s="223" t="s">
        <v>8</v>
      </c>
    </row>
    <row r="19" spans="1:11" s="246" customFormat="1" ht="21" customHeight="1" x14ac:dyDescent="0.25">
      <c r="A19" s="199" t="s">
        <v>95</v>
      </c>
      <c r="B19" s="268" t="s">
        <v>96</v>
      </c>
      <c r="C19" s="278"/>
      <c r="D19" s="213"/>
      <c r="E19" s="256"/>
      <c r="F19" s="256"/>
      <c r="G19" s="256"/>
      <c r="H19" s="256"/>
      <c r="I19" s="256"/>
      <c r="J19" s="256"/>
      <c r="K19" s="256"/>
    </row>
    <row r="20" spans="1:11" s="246" customFormat="1" ht="21" customHeight="1" x14ac:dyDescent="0.25">
      <c r="A20" s="223" t="s">
        <v>97</v>
      </c>
      <c r="B20" s="215" t="s">
        <v>171</v>
      </c>
      <c r="C20" s="266"/>
      <c r="D20" s="223"/>
    </row>
    <row r="21" spans="1:11" s="246" customFormat="1" ht="21" customHeight="1" x14ac:dyDescent="0.25">
      <c r="A21" s="211">
        <v>1</v>
      </c>
      <c r="B21" s="215" t="s">
        <v>641</v>
      </c>
      <c r="C21" s="259">
        <v>30000</v>
      </c>
      <c r="D21" s="223" t="s">
        <v>200</v>
      </c>
    </row>
    <row r="22" spans="1:11" s="246" customFormat="1" ht="21" customHeight="1" x14ac:dyDescent="0.25">
      <c r="A22" s="223" t="s">
        <v>98</v>
      </c>
      <c r="B22" s="215" t="s">
        <v>172</v>
      </c>
      <c r="C22" s="259"/>
      <c r="D22" s="223"/>
    </row>
    <row r="23" spans="1:11" s="246" customFormat="1" ht="21" customHeight="1" x14ac:dyDescent="0.25">
      <c r="A23" s="211">
        <v>2</v>
      </c>
      <c r="B23" s="215" t="s">
        <v>173</v>
      </c>
      <c r="C23" s="259">
        <v>50000</v>
      </c>
      <c r="D23" s="223" t="s">
        <v>204</v>
      </c>
    </row>
    <row r="24" spans="1:11" s="246" customFormat="1" ht="21" customHeight="1" x14ac:dyDescent="0.25">
      <c r="A24" s="211">
        <v>3</v>
      </c>
      <c r="B24" s="215" t="s">
        <v>234</v>
      </c>
      <c r="C24" s="259">
        <v>40000</v>
      </c>
      <c r="D24" s="223" t="s">
        <v>204</v>
      </c>
    </row>
    <row r="25" spans="1:11" s="246" customFormat="1" ht="21" customHeight="1" x14ac:dyDescent="0.25">
      <c r="A25" s="211">
        <v>4</v>
      </c>
      <c r="B25" s="215" t="s">
        <v>174</v>
      </c>
      <c r="C25" s="259">
        <f>C23+C24</f>
        <v>90000</v>
      </c>
      <c r="D25" s="223" t="s">
        <v>204</v>
      </c>
    </row>
    <row r="26" spans="1:11" s="246" customFormat="1" ht="21" customHeight="1" x14ac:dyDescent="0.25">
      <c r="A26" s="223" t="s">
        <v>99</v>
      </c>
      <c r="B26" s="268" t="s">
        <v>407</v>
      </c>
      <c r="C26" s="259"/>
      <c r="D26" s="223"/>
    </row>
    <row r="27" spans="1:11" s="246" customFormat="1" ht="21" customHeight="1" x14ac:dyDescent="0.25">
      <c r="A27" s="211">
        <v>5</v>
      </c>
      <c r="B27" s="215" t="s">
        <v>205</v>
      </c>
      <c r="C27" s="259">
        <v>428000</v>
      </c>
      <c r="D27" s="223" t="s">
        <v>204</v>
      </c>
    </row>
    <row r="28" spans="1:11" s="246" customFormat="1" ht="21" customHeight="1" x14ac:dyDescent="0.25">
      <c r="A28" s="211">
        <v>6</v>
      </c>
      <c r="B28" s="215" t="s">
        <v>442</v>
      </c>
      <c r="C28" s="259">
        <v>228000</v>
      </c>
      <c r="D28" s="223" t="s">
        <v>204</v>
      </c>
    </row>
    <row r="29" spans="1:11" s="246" customFormat="1" ht="21" customHeight="1" x14ac:dyDescent="0.25">
      <c r="A29" s="211">
        <v>7</v>
      </c>
      <c r="B29" s="215" t="s">
        <v>175</v>
      </c>
      <c r="C29" s="259">
        <f>C27-C28</f>
        <v>200000</v>
      </c>
      <c r="D29" s="223" t="s">
        <v>204</v>
      </c>
    </row>
    <row r="30" spans="1:11" s="246" customFormat="1" ht="21" customHeight="1" x14ac:dyDescent="0.25">
      <c r="A30" s="390"/>
      <c r="B30" s="390"/>
      <c r="C30" s="390"/>
      <c r="D30" s="390"/>
      <c r="E30" s="390"/>
    </row>
    <row r="31" spans="1:11" s="273" customFormat="1" ht="21" customHeight="1" x14ac:dyDescent="0.25">
      <c r="A31" s="155" t="s">
        <v>0</v>
      </c>
      <c r="B31" s="155" t="s">
        <v>90</v>
      </c>
      <c r="C31" s="155" t="s">
        <v>88</v>
      </c>
      <c r="D31" s="155" t="s">
        <v>89</v>
      </c>
      <c r="E31" s="243"/>
      <c r="F31" s="246"/>
      <c r="G31" s="246"/>
    </row>
    <row r="32" spans="1:11" s="246" customFormat="1" ht="21" customHeight="1" x14ac:dyDescent="0.25">
      <c r="A32" s="199" t="s">
        <v>100</v>
      </c>
      <c r="B32" s="268" t="s">
        <v>101</v>
      </c>
      <c r="C32" s="266"/>
      <c r="D32" s="223"/>
    </row>
    <row r="33" spans="1:11" s="246" customFormat="1" ht="21" customHeight="1" x14ac:dyDescent="0.25">
      <c r="A33" s="211">
        <v>1</v>
      </c>
      <c r="B33" s="215" t="s">
        <v>730</v>
      </c>
      <c r="C33" s="269">
        <v>14100</v>
      </c>
      <c r="D33" s="223" t="s">
        <v>199</v>
      </c>
    </row>
    <row r="34" spans="1:11" s="246" customFormat="1" ht="21" customHeight="1" x14ac:dyDescent="0.25">
      <c r="A34" s="211">
        <v>2</v>
      </c>
      <c r="B34" s="215" t="s">
        <v>731</v>
      </c>
      <c r="C34" s="269">
        <v>12700</v>
      </c>
      <c r="D34" s="223" t="s">
        <v>199</v>
      </c>
    </row>
    <row r="35" spans="1:11" s="246" customFormat="1" ht="21" customHeight="1" x14ac:dyDescent="0.25">
      <c r="A35" s="211">
        <v>3</v>
      </c>
      <c r="B35" s="215" t="s">
        <v>176</v>
      </c>
      <c r="C35" s="269">
        <v>5000</v>
      </c>
      <c r="D35" s="223" t="s">
        <v>617</v>
      </c>
    </row>
    <row r="36" spans="1:11" s="246" customFormat="1" ht="21" customHeight="1" x14ac:dyDescent="0.25">
      <c r="A36" s="211">
        <v>4</v>
      </c>
      <c r="B36" s="215" t="s">
        <v>177</v>
      </c>
      <c r="C36" s="269">
        <v>30000</v>
      </c>
      <c r="D36" s="223" t="s">
        <v>200</v>
      </c>
    </row>
    <row r="37" spans="1:11" s="246" customFormat="1" ht="21" customHeight="1" x14ac:dyDescent="0.25">
      <c r="A37" s="211">
        <v>5</v>
      </c>
      <c r="B37" s="215" t="s">
        <v>178</v>
      </c>
      <c r="C37" s="269">
        <v>90000</v>
      </c>
      <c r="D37" s="223" t="s">
        <v>204</v>
      </c>
    </row>
    <row r="38" spans="1:11" s="246" customFormat="1" ht="21" customHeight="1" x14ac:dyDescent="0.25">
      <c r="A38" s="199" t="s">
        <v>102</v>
      </c>
      <c r="B38" s="268" t="s">
        <v>182</v>
      </c>
      <c r="C38" s="259"/>
      <c r="D38" s="213"/>
      <c r="E38" s="256"/>
      <c r="H38" s="256"/>
      <c r="I38" s="256"/>
      <c r="J38" s="256"/>
    </row>
    <row r="39" spans="1:11" s="246" customFormat="1" ht="21" customHeight="1" x14ac:dyDescent="0.25">
      <c r="A39" s="211">
        <v>1</v>
      </c>
      <c r="B39" s="215" t="s">
        <v>183</v>
      </c>
      <c r="C39" s="259">
        <v>165</v>
      </c>
      <c r="D39" s="223" t="s">
        <v>206</v>
      </c>
    </row>
    <row r="40" spans="1:11" s="246" customFormat="1" ht="21" customHeight="1" x14ac:dyDescent="0.25">
      <c r="A40" s="211">
        <v>2</v>
      </c>
      <c r="B40" s="215" t="s">
        <v>443</v>
      </c>
      <c r="C40" s="259">
        <v>140</v>
      </c>
      <c r="D40" s="223" t="s">
        <v>206</v>
      </c>
    </row>
    <row r="41" spans="1:11" s="246" customFormat="1" ht="21" customHeight="1" x14ac:dyDescent="0.25">
      <c r="A41" s="211">
        <v>3</v>
      </c>
      <c r="B41" s="215" t="s">
        <v>236</v>
      </c>
      <c r="C41" s="259">
        <v>15</v>
      </c>
      <c r="D41" s="223" t="s">
        <v>206</v>
      </c>
    </row>
    <row r="42" spans="1:11" s="246" customFormat="1" ht="21" customHeight="1" x14ac:dyDescent="0.25">
      <c r="A42" s="211"/>
      <c r="B42" s="215"/>
      <c r="C42" s="259"/>
      <c r="D42" s="223" t="s">
        <v>206</v>
      </c>
    </row>
    <row r="43" spans="1:11" s="246" customFormat="1" ht="21" customHeight="1" x14ac:dyDescent="0.25">
      <c r="A43" s="211">
        <v>4</v>
      </c>
      <c r="B43" s="215" t="s">
        <v>444</v>
      </c>
      <c r="C43" s="259">
        <v>120</v>
      </c>
      <c r="D43" s="223" t="s">
        <v>206</v>
      </c>
    </row>
    <row r="44" spans="1:11" s="246" customFormat="1" ht="21" customHeight="1" x14ac:dyDescent="0.25">
      <c r="A44" s="211"/>
      <c r="B44" s="155" t="s">
        <v>45</v>
      </c>
      <c r="C44" s="259">
        <f>SUM(C39:C43)</f>
        <v>440</v>
      </c>
      <c r="D44" s="223" t="s">
        <v>206</v>
      </c>
    </row>
    <row r="45" spans="1:11" s="246" customFormat="1" ht="21" customHeight="1" x14ac:dyDescent="0.25">
      <c r="A45" s="211"/>
      <c r="B45" s="270" t="s">
        <v>446</v>
      </c>
      <c r="C45" s="259">
        <v>345</v>
      </c>
      <c r="D45" s="223" t="s">
        <v>206</v>
      </c>
    </row>
    <row r="46" spans="1:11" s="246" customFormat="1" ht="21" customHeight="1" x14ac:dyDescent="0.25">
      <c r="A46" s="199" t="s">
        <v>103</v>
      </c>
      <c r="B46" s="268" t="s">
        <v>179</v>
      </c>
      <c r="C46" s="259"/>
      <c r="D46" s="213"/>
      <c r="E46" s="256"/>
      <c r="H46" s="256"/>
      <c r="I46" s="256"/>
      <c r="J46" s="256"/>
      <c r="K46" s="256"/>
    </row>
    <row r="47" spans="1:11" s="246" customFormat="1" ht="21" customHeight="1" x14ac:dyDescent="0.25">
      <c r="A47" s="211">
        <v>1</v>
      </c>
      <c r="B47" s="215" t="s">
        <v>277</v>
      </c>
      <c r="C47" s="259">
        <f>C12*C6</f>
        <v>4445000</v>
      </c>
      <c r="D47" s="223" t="s">
        <v>194</v>
      </c>
    </row>
    <row r="48" spans="1:11" s="246" customFormat="1" ht="21" customHeight="1" x14ac:dyDescent="0.25">
      <c r="A48" s="211">
        <v>2</v>
      </c>
      <c r="B48" s="215" t="s">
        <v>415</v>
      </c>
      <c r="C48" s="259">
        <f>(C15*C6)</f>
        <v>1750000</v>
      </c>
      <c r="D48" s="223" t="s">
        <v>193</v>
      </c>
    </row>
    <row r="49" spans="1:10" s="246" customFormat="1" ht="21" customHeight="1" x14ac:dyDescent="0.25">
      <c r="A49" s="211">
        <v>3</v>
      </c>
      <c r="B49" s="215" t="s">
        <v>416</v>
      </c>
      <c r="C49" s="259">
        <f>C6*C21</f>
        <v>10500000</v>
      </c>
      <c r="D49" s="223" t="s">
        <v>448</v>
      </c>
    </row>
    <row r="50" spans="1:10" s="246" customFormat="1" ht="21" customHeight="1" x14ac:dyDescent="0.25">
      <c r="A50" s="211">
        <v>4</v>
      </c>
      <c r="B50" s="215" t="s">
        <v>417</v>
      </c>
      <c r="C50" s="259">
        <f>(C37*C6)</f>
        <v>31500000</v>
      </c>
      <c r="D50" s="223" t="s">
        <v>347</v>
      </c>
    </row>
    <row r="51" spans="1:10" s="246" customFormat="1" ht="21" customHeight="1" x14ac:dyDescent="0.25">
      <c r="A51" s="213" t="s">
        <v>104</v>
      </c>
      <c r="B51" s="268" t="s">
        <v>180</v>
      </c>
      <c r="C51" s="259"/>
      <c r="D51" s="271"/>
      <c r="E51" s="256"/>
      <c r="H51" s="256"/>
      <c r="I51" s="256"/>
    </row>
    <row r="52" spans="1:10" s="246" customFormat="1" ht="21" customHeight="1" x14ac:dyDescent="0.25">
      <c r="A52" s="211">
        <v>1</v>
      </c>
      <c r="B52" s="215" t="s">
        <v>411</v>
      </c>
      <c r="C52" s="259">
        <f>(C9*C6)/1000</f>
        <v>3500</v>
      </c>
      <c r="D52" s="223" t="s">
        <v>198</v>
      </c>
    </row>
    <row r="53" spans="1:10" s="246" customFormat="1" ht="21" customHeight="1" x14ac:dyDescent="0.25">
      <c r="A53" s="211">
        <v>2</v>
      </c>
      <c r="B53" s="215" t="s">
        <v>644</v>
      </c>
      <c r="C53" s="259">
        <f>(C10*C6)/1000</f>
        <v>42000</v>
      </c>
      <c r="D53" s="223" t="s">
        <v>198</v>
      </c>
    </row>
    <row r="54" spans="1:10" s="246" customFormat="1" ht="21" customHeight="1" x14ac:dyDescent="0.25">
      <c r="A54" s="211">
        <v>3</v>
      </c>
      <c r="B54" s="215" t="s">
        <v>447</v>
      </c>
      <c r="C54" s="259">
        <f>C45*16*365</f>
        <v>2014800</v>
      </c>
      <c r="D54" s="223" t="s">
        <v>445</v>
      </c>
    </row>
    <row r="55" spans="1:10" s="246" customFormat="1" ht="21" customHeight="1" x14ac:dyDescent="0.25">
      <c r="A55" s="211">
        <v>4</v>
      </c>
      <c r="B55" s="215" t="s">
        <v>410</v>
      </c>
      <c r="C55" s="259">
        <f>(C29*C6)/1000</f>
        <v>70000</v>
      </c>
      <c r="D55" s="223" t="s">
        <v>208</v>
      </c>
    </row>
    <row r="56" spans="1:10" s="246" customFormat="1" ht="21" customHeight="1" x14ac:dyDescent="0.25">
      <c r="A56" s="199" t="s">
        <v>105</v>
      </c>
      <c r="B56" s="268" t="s">
        <v>181</v>
      </c>
      <c r="C56" s="259"/>
      <c r="D56" s="213"/>
      <c r="E56" s="256"/>
      <c r="F56" s="256"/>
      <c r="G56" s="256"/>
      <c r="H56" s="256"/>
      <c r="I56" s="256"/>
      <c r="J56" s="256"/>
    </row>
    <row r="57" spans="1:10" s="246" customFormat="1" ht="21" customHeight="1" x14ac:dyDescent="0.25">
      <c r="A57" s="211">
        <v>1</v>
      </c>
      <c r="B57" s="215" t="s">
        <v>185</v>
      </c>
      <c r="C57" s="259">
        <v>11950</v>
      </c>
      <c r="D57" s="223" t="s">
        <v>209</v>
      </c>
    </row>
    <row r="58" spans="1:10" s="246" customFormat="1" ht="21" customHeight="1" x14ac:dyDescent="0.25">
      <c r="A58" s="211">
        <v>2</v>
      </c>
      <c r="B58" s="215" t="s">
        <v>186</v>
      </c>
      <c r="C58" s="259">
        <v>12870</v>
      </c>
      <c r="D58" s="223" t="s">
        <v>209</v>
      </c>
    </row>
    <row r="59" spans="1:10" s="246" customFormat="1" ht="21" customHeight="1" x14ac:dyDescent="0.25">
      <c r="A59" s="211">
        <v>3</v>
      </c>
      <c r="B59" s="215" t="s">
        <v>237</v>
      </c>
      <c r="C59" s="259" t="s">
        <v>211</v>
      </c>
      <c r="D59" s="223" t="s">
        <v>210</v>
      </c>
    </row>
    <row r="60" spans="1:10" s="246" customFormat="1" ht="21" customHeight="1" x14ac:dyDescent="0.25">
      <c r="A60" s="211">
        <v>4</v>
      </c>
      <c r="B60" s="248" t="s">
        <v>618</v>
      </c>
      <c r="C60" s="279">
        <v>102</v>
      </c>
      <c r="D60" s="272" t="s">
        <v>201</v>
      </c>
    </row>
    <row r="61" spans="1:10" s="246" customFormat="1" ht="21" customHeight="1" x14ac:dyDescent="0.25">
      <c r="A61" s="211">
        <v>5</v>
      </c>
      <c r="B61" s="248" t="s">
        <v>187</v>
      </c>
      <c r="C61" s="279">
        <v>70</v>
      </c>
      <c r="D61" s="272" t="s">
        <v>201</v>
      </c>
    </row>
    <row r="62" spans="1:10" s="246" customFormat="1" ht="21" customHeight="1" x14ac:dyDescent="0.25">
      <c r="A62" s="211">
        <v>6</v>
      </c>
      <c r="B62" s="248" t="s">
        <v>188</v>
      </c>
      <c r="C62" s="279">
        <v>2</v>
      </c>
      <c r="D62" s="272" t="s">
        <v>201</v>
      </c>
    </row>
    <row r="63" spans="1:10" s="246" customFormat="1" ht="21" customHeight="1" x14ac:dyDescent="0.25">
      <c r="A63" s="211">
        <v>7</v>
      </c>
      <c r="B63" s="248" t="s">
        <v>189</v>
      </c>
      <c r="C63" s="279">
        <f>0.5-0.4</f>
        <v>9.9999999999999978E-2</v>
      </c>
      <c r="D63" s="272" t="s">
        <v>212</v>
      </c>
    </row>
    <row r="64" spans="1:10" s="246" customFormat="1" ht="21" customHeight="1" x14ac:dyDescent="0.25">
      <c r="A64" s="390"/>
      <c r="B64" s="390"/>
      <c r="C64" s="390"/>
      <c r="D64" s="390"/>
      <c r="E64" s="390"/>
    </row>
    <row r="65" spans="1:11" s="273" customFormat="1" ht="21" customHeight="1" x14ac:dyDescent="0.25">
      <c r="A65" s="243"/>
      <c r="B65" s="243"/>
      <c r="C65" s="243"/>
      <c r="D65" s="243"/>
      <c r="E65" s="243"/>
      <c r="F65" s="276"/>
    </row>
    <row r="66" spans="1:11" s="273" customFormat="1" ht="21" customHeight="1" x14ac:dyDescent="0.25">
      <c r="A66" s="256"/>
      <c r="C66" s="243"/>
      <c r="D66" s="243"/>
      <c r="E66" s="243"/>
      <c r="F66" s="276"/>
    </row>
    <row r="67" spans="1:11" s="246" customFormat="1" ht="21" customHeight="1" x14ac:dyDescent="0.25">
      <c r="A67" s="271"/>
      <c r="B67" s="273"/>
      <c r="C67" s="274"/>
      <c r="D67" s="271"/>
    </row>
    <row r="68" spans="1:11" s="246" customFormat="1" ht="21" customHeight="1" x14ac:dyDescent="0.25">
      <c r="A68" s="271"/>
      <c r="B68" s="273"/>
      <c r="C68" s="274"/>
      <c r="D68" s="271"/>
    </row>
    <row r="69" spans="1:11" s="246" customFormat="1" ht="21" customHeight="1" x14ac:dyDescent="0.25">
      <c r="A69" s="271"/>
      <c r="B69" s="273"/>
      <c r="C69" s="274"/>
      <c r="D69" s="271"/>
    </row>
    <row r="70" spans="1:11" s="246" customFormat="1" ht="21" customHeight="1" x14ac:dyDescent="0.25">
      <c r="A70" s="271"/>
      <c r="B70" s="273"/>
      <c r="C70" s="274"/>
      <c r="D70" s="271"/>
    </row>
    <row r="71" spans="1:11" s="246" customFormat="1" ht="21" customHeight="1" x14ac:dyDescent="0.25">
      <c r="A71" s="271"/>
      <c r="B71" s="273"/>
      <c r="C71" s="274"/>
      <c r="D71" s="271"/>
    </row>
    <row r="72" spans="1:11" s="246" customFormat="1" ht="21" customHeight="1" x14ac:dyDescent="0.25">
      <c r="A72" s="271"/>
      <c r="B72" s="273"/>
      <c r="C72" s="274"/>
      <c r="D72" s="271"/>
    </row>
    <row r="73" spans="1:11" s="246" customFormat="1" ht="21" customHeight="1" x14ac:dyDescent="0.25">
      <c r="A73" s="271"/>
      <c r="B73" s="273"/>
      <c r="C73" s="274"/>
      <c r="D73" s="271"/>
    </row>
    <row r="74" spans="1:11" s="246" customFormat="1" ht="21" customHeight="1" x14ac:dyDescent="0.25">
      <c r="A74" s="271"/>
      <c r="B74" s="273"/>
      <c r="C74" s="274"/>
      <c r="D74" s="271"/>
    </row>
    <row r="75" spans="1:11" s="246" customFormat="1" ht="22.35" customHeight="1" x14ac:dyDescent="0.25">
      <c r="A75" s="256"/>
      <c r="B75" s="391"/>
      <c r="C75" s="390"/>
      <c r="D75" s="280"/>
      <c r="E75" s="256"/>
      <c r="F75" s="256"/>
      <c r="G75" s="256"/>
      <c r="H75" s="256"/>
      <c r="I75" s="256"/>
      <c r="J75" s="256"/>
      <c r="K75" s="256"/>
    </row>
    <row r="76" spans="1:11" s="246" customFormat="1" ht="21" customHeight="1" x14ac:dyDescent="0.25">
      <c r="A76" s="271"/>
      <c r="B76" s="273"/>
      <c r="C76" s="274"/>
      <c r="D76" s="271"/>
    </row>
    <row r="77" spans="1:11" s="246" customFormat="1" ht="21" customHeight="1" x14ac:dyDescent="0.25">
      <c r="A77" s="271"/>
      <c r="B77" s="273"/>
      <c r="C77" s="274"/>
      <c r="D77" s="271"/>
    </row>
    <row r="78" spans="1:11" s="246" customFormat="1" ht="21" customHeight="1" x14ac:dyDescent="0.25">
      <c r="A78" s="271"/>
      <c r="B78" s="273"/>
      <c r="C78" s="274"/>
      <c r="D78" s="271"/>
    </row>
    <row r="79" spans="1:11" s="246" customFormat="1" ht="21" customHeight="1" x14ac:dyDescent="0.25">
      <c r="A79" s="271"/>
      <c r="B79" s="273"/>
      <c r="C79" s="274"/>
      <c r="D79" s="271"/>
    </row>
    <row r="80" spans="1:11" s="246" customFormat="1" ht="21" customHeight="1" x14ac:dyDescent="0.25">
      <c r="A80" s="271"/>
      <c r="B80" s="273"/>
      <c r="C80" s="274"/>
      <c r="D80" s="271"/>
    </row>
    <row r="81" spans="1:4" s="246" customFormat="1" ht="21" customHeight="1" x14ac:dyDescent="0.25">
      <c r="A81" s="271"/>
      <c r="B81" s="273"/>
      <c r="C81" s="274"/>
      <c r="D81" s="271"/>
    </row>
    <row r="82" spans="1:4" s="246" customFormat="1" ht="21" customHeight="1" x14ac:dyDescent="0.25">
      <c r="A82" s="271"/>
      <c r="B82" s="273"/>
      <c r="C82" s="274"/>
      <c r="D82" s="271"/>
    </row>
    <row r="83" spans="1:4" s="246" customFormat="1" ht="21" customHeight="1" x14ac:dyDescent="0.25">
      <c r="A83" s="271"/>
      <c r="B83" s="273"/>
      <c r="C83" s="274"/>
      <c r="D83" s="271"/>
    </row>
    <row r="84" spans="1:4" s="246" customFormat="1" ht="21" customHeight="1" x14ac:dyDescent="0.25">
      <c r="A84" s="271"/>
      <c r="B84" s="273"/>
      <c r="C84" s="274"/>
      <c r="D84" s="271"/>
    </row>
    <row r="85" spans="1:4" s="246" customFormat="1" ht="21" customHeight="1" x14ac:dyDescent="0.25">
      <c r="A85" s="271"/>
      <c r="B85" s="273"/>
      <c r="C85" s="274"/>
      <c r="D85" s="271"/>
    </row>
  </sheetData>
  <customSheetViews>
    <customSheetView guid="{22475485-DA09-46DB-978D-BB94CE1E5597}" topLeftCell="A13">
      <selection activeCell="A28" sqref="A28"/>
      <pageMargins left="0.7" right="0.7" top="0.75" bottom="0.75" header="0.3" footer="0.3"/>
      <pageSetup paperSize="9" orientation="portrait" verticalDpi="300" r:id="rId1"/>
    </customSheetView>
  </customSheetViews>
  <mergeCells count="4">
    <mergeCell ref="A1:D1"/>
    <mergeCell ref="A30:E30"/>
    <mergeCell ref="A64:E64"/>
    <mergeCell ref="B75:C75"/>
  </mergeCells>
  <pageMargins left="0.7" right="0.7" top="0.75" bottom="0.75" header="0.3" footer="0.3"/>
  <pageSetup paperSize="9" orientation="portrait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68"/>
  <sheetViews>
    <sheetView workbookViewId="0">
      <selection activeCell="J14" sqref="J14"/>
    </sheetView>
  </sheetViews>
  <sheetFormatPr defaultColWidth="13" defaultRowHeight="15" x14ac:dyDescent="0.25"/>
  <cols>
    <col min="1" max="1" width="7.140625" style="83" customWidth="1"/>
    <col min="2" max="2" width="48" style="217" customWidth="1"/>
    <col min="3" max="3" width="14.28515625" style="225" customWidth="1"/>
    <col min="4" max="4" width="14.85546875" style="225" customWidth="1"/>
    <col min="5" max="5" width="14.28515625" style="217" customWidth="1"/>
    <col min="6" max="6" width="15" style="217" customWidth="1"/>
    <col min="7" max="9" width="13" style="217"/>
    <col min="10" max="10" width="19" style="217" bestFit="1" customWidth="1"/>
    <col min="11" max="16384" width="13" style="217"/>
  </cols>
  <sheetData>
    <row r="1" spans="1:10" ht="26.1" customHeight="1" x14ac:dyDescent="0.25">
      <c r="A1" s="241"/>
      <c r="B1" s="393" t="s">
        <v>756</v>
      </c>
      <c r="C1" s="393"/>
      <c r="D1" s="393"/>
      <c r="E1" s="394"/>
      <c r="F1" s="394"/>
    </row>
    <row r="2" spans="1:10" s="243" customFormat="1" ht="32.25" customHeight="1" x14ac:dyDescent="0.25">
      <c r="A2" s="242"/>
      <c r="B2" s="242" t="s">
        <v>11</v>
      </c>
      <c r="C2" s="242" t="s">
        <v>4</v>
      </c>
      <c r="D2" s="242" t="s">
        <v>12</v>
      </c>
      <c r="E2" s="242" t="s">
        <v>13</v>
      </c>
      <c r="F2" s="242" t="s">
        <v>239</v>
      </c>
      <c r="H2" s="244"/>
    </row>
    <row r="3" spans="1:10" s="246" customFormat="1" ht="21" customHeight="1" x14ac:dyDescent="0.25">
      <c r="A3" s="245"/>
      <c r="B3" s="398" t="s">
        <v>74</v>
      </c>
      <c r="C3" s="399"/>
      <c r="D3" s="399"/>
      <c r="E3" s="399"/>
      <c r="F3" s="399"/>
      <c r="H3" s="247"/>
    </row>
    <row r="4" spans="1:10" s="246" customFormat="1" ht="21" customHeight="1" x14ac:dyDescent="0.25">
      <c r="A4" s="245" t="s">
        <v>97</v>
      </c>
      <c r="B4" s="248" t="s">
        <v>51</v>
      </c>
      <c r="C4" s="249">
        <v>70</v>
      </c>
      <c r="D4" s="250" t="s">
        <v>201</v>
      </c>
      <c r="E4" s="251">
        <f>('Det Assump'!C48)</f>
        <v>1750000</v>
      </c>
      <c r="F4" s="251">
        <f>(E4*C4)</f>
        <v>122500000</v>
      </c>
      <c r="H4" s="252"/>
    </row>
    <row r="5" spans="1:10" s="246" customFormat="1" ht="21" customHeight="1" x14ac:dyDescent="0.25">
      <c r="A5" s="245" t="s">
        <v>98</v>
      </c>
      <c r="B5" s="248" t="s">
        <v>341</v>
      </c>
      <c r="C5" s="249">
        <f>'Det Assump'!C62</f>
        <v>2</v>
      </c>
      <c r="D5" s="250" t="s">
        <v>201</v>
      </c>
      <c r="E5" s="251">
        <f>('Det Assump'!C49)</f>
        <v>10500000</v>
      </c>
      <c r="F5" s="251">
        <f>(E5*C5)</f>
        <v>21000000</v>
      </c>
      <c r="H5" s="252"/>
    </row>
    <row r="6" spans="1:10" s="246" customFormat="1" ht="21" customHeight="1" x14ac:dyDescent="0.25">
      <c r="A6" s="245" t="s">
        <v>99</v>
      </c>
      <c r="B6" s="248" t="s">
        <v>342</v>
      </c>
      <c r="C6" s="249">
        <f>'Det Assump'!C63</f>
        <v>9.9999999999999978E-2</v>
      </c>
      <c r="D6" s="250" t="s">
        <v>238</v>
      </c>
      <c r="E6" s="251">
        <f>('Det Assump'!C50)</f>
        <v>31500000</v>
      </c>
      <c r="F6" s="251">
        <f>(E6*C6)</f>
        <v>3149999.9999999991</v>
      </c>
      <c r="H6" s="252"/>
    </row>
    <row r="7" spans="1:10" s="256" customFormat="1" ht="21" customHeight="1" x14ac:dyDescent="0.25">
      <c r="A7" s="245"/>
      <c r="B7" s="253" t="s">
        <v>75</v>
      </c>
      <c r="C7" s="242"/>
      <c r="D7" s="242"/>
      <c r="E7" s="254"/>
      <c r="F7" s="255">
        <f>SUM(F4:F6)</f>
        <v>146650000</v>
      </c>
      <c r="G7" s="246">
        <f>F7*85%*9/12</f>
        <v>93489375</v>
      </c>
      <c r="H7" s="247"/>
      <c r="I7" s="246"/>
    </row>
    <row r="8" spans="1:10" s="246" customFormat="1" ht="21" customHeight="1" x14ac:dyDescent="0.25">
      <c r="A8" s="245"/>
      <c r="B8" s="398" t="s">
        <v>76</v>
      </c>
      <c r="C8" s="399"/>
      <c r="D8" s="399"/>
      <c r="E8" s="399"/>
      <c r="F8" s="399"/>
    </row>
    <row r="9" spans="1:10" s="246" customFormat="1" ht="21" customHeight="1" x14ac:dyDescent="0.25">
      <c r="A9" s="245"/>
      <c r="B9" s="395" t="s">
        <v>77</v>
      </c>
      <c r="C9" s="396"/>
      <c r="D9" s="396"/>
      <c r="E9" s="396"/>
      <c r="F9" s="397"/>
    </row>
    <row r="10" spans="1:10" s="246" customFormat="1" ht="21" customHeight="1" x14ac:dyDescent="0.25">
      <c r="A10" s="245">
        <v>1</v>
      </c>
      <c r="B10" s="402" t="s">
        <v>249</v>
      </c>
      <c r="C10" s="399"/>
      <c r="D10" s="399"/>
      <c r="E10" s="399"/>
      <c r="F10" s="399"/>
    </row>
    <row r="11" spans="1:10" s="246" customFormat="1" ht="33.75" customHeight="1" x14ac:dyDescent="0.25">
      <c r="A11" s="245" t="s">
        <v>97</v>
      </c>
      <c r="B11" s="248" t="s">
        <v>725</v>
      </c>
      <c r="C11" s="250">
        <v>750</v>
      </c>
      <c r="D11" s="250" t="s">
        <v>240</v>
      </c>
      <c r="E11" s="251">
        <f>('Det Assump'!C52)</f>
        <v>3500</v>
      </c>
      <c r="F11" s="251">
        <f>(E11*C11)</f>
        <v>2625000</v>
      </c>
      <c r="I11" s="246">
        <f>100000/5000*12700</f>
        <v>254000</v>
      </c>
    </row>
    <row r="12" spans="1:10" s="246" customFormat="1" ht="30" customHeight="1" x14ac:dyDescent="0.25">
      <c r="A12" s="245" t="s">
        <v>98</v>
      </c>
      <c r="B12" s="248" t="s">
        <v>668</v>
      </c>
      <c r="C12" s="250">
        <v>600</v>
      </c>
      <c r="D12" s="250" t="s">
        <v>240</v>
      </c>
      <c r="E12" s="251">
        <f>('Det Assump'!C53)</f>
        <v>42000</v>
      </c>
      <c r="F12" s="251">
        <f>(E12*C12)</f>
        <v>25200000</v>
      </c>
    </row>
    <row r="13" spans="1:10" s="256" customFormat="1" ht="21" customHeight="1" x14ac:dyDescent="0.25">
      <c r="A13" s="245"/>
      <c r="B13" s="242" t="s">
        <v>43</v>
      </c>
      <c r="C13" s="242"/>
      <c r="D13" s="242"/>
      <c r="E13" s="251"/>
      <c r="F13" s="255">
        <f>SUM(F11:F12)</f>
        <v>27825000</v>
      </c>
      <c r="G13" s="246"/>
      <c r="H13" s="246"/>
      <c r="I13" s="246">
        <v>600</v>
      </c>
      <c r="J13" s="347">
        <f>750*10^7</f>
        <v>7500000000</v>
      </c>
    </row>
    <row r="14" spans="1:10" s="246" customFormat="1" ht="21" customHeight="1" x14ac:dyDescent="0.25">
      <c r="A14" s="245">
        <v>2</v>
      </c>
      <c r="B14" s="402" t="s">
        <v>740</v>
      </c>
      <c r="C14" s="404"/>
      <c r="D14" s="404"/>
      <c r="E14" s="404"/>
      <c r="F14" s="404"/>
      <c r="J14" s="348">
        <f>J13/I13</f>
        <v>12500000</v>
      </c>
    </row>
    <row r="15" spans="1:10" s="246" customFormat="1" ht="21" customHeight="1" x14ac:dyDescent="0.25">
      <c r="A15" s="245" t="s">
        <v>97</v>
      </c>
      <c r="B15" s="248" t="s">
        <v>343</v>
      </c>
      <c r="C15" s="250">
        <v>10</v>
      </c>
      <c r="D15" s="250" t="s">
        <v>241</v>
      </c>
      <c r="E15" s="251">
        <f>'Det Assump'!C54</f>
        <v>2014800</v>
      </c>
      <c r="F15" s="251">
        <f>(E15*C15)</f>
        <v>20148000</v>
      </c>
    </row>
    <row r="16" spans="1:10" s="246" customFormat="1" ht="21" customHeight="1" x14ac:dyDescent="0.25">
      <c r="A16" s="245" t="s">
        <v>98</v>
      </c>
      <c r="B16" s="248" t="s">
        <v>727</v>
      </c>
      <c r="C16" s="250">
        <v>1</v>
      </c>
      <c r="D16" s="250" t="s">
        <v>726</v>
      </c>
      <c r="E16" s="251">
        <f>'Det Assump'!C48</f>
        <v>1750000</v>
      </c>
      <c r="F16" s="251">
        <f>(E16*C16)</f>
        <v>1750000</v>
      </c>
    </row>
    <row r="17" spans="1:9" s="246" customFormat="1" ht="21" customHeight="1" x14ac:dyDescent="0.25">
      <c r="A17" s="245" t="s">
        <v>99</v>
      </c>
      <c r="B17" s="248" t="s">
        <v>745</v>
      </c>
      <c r="C17" s="250">
        <v>1</v>
      </c>
      <c r="D17" s="250" t="s">
        <v>744</v>
      </c>
      <c r="E17" s="251">
        <v>50000</v>
      </c>
      <c r="F17" s="251">
        <f>E17</f>
        <v>50000</v>
      </c>
    </row>
    <row r="18" spans="1:9" s="246" customFormat="1" ht="21" customHeight="1" x14ac:dyDescent="0.25">
      <c r="A18" s="245"/>
      <c r="B18" s="242" t="s">
        <v>43</v>
      </c>
      <c r="C18" s="242"/>
      <c r="D18" s="242"/>
      <c r="E18" s="251"/>
      <c r="F18" s="255">
        <f>SUM(F15:F17)</f>
        <v>21948000</v>
      </c>
    </row>
    <row r="19" spans="1:9" s="246" customFormat="1" ht="21" customHeight="1" x14ac:dyDescent="0.25">
      <c r="A19" s="245">
        <v>3</v>
      </c>
      <c r="B19" s="253" t="s">
        <v>741</v>
      </c>
      <c r="C19" s="250"/>
      <c r="D19" s="250"/>
      <c r="E19" s="251"/>
      <c r="F19" s="251"/>
    </row>
    <row r="20" spans="1:9" s="246" customFormat="1" ht="21" customHeight="1" x14ac:dyDescent="0.25">
      <c r="A20" s="245" t="s">
        <v>99</v>
      </c>
      <c r="B20" s="248" t="s">
        <v>78</v>
      </c>
      <c r="C20" s="250">
        <v>4000</v>
      </c>
      <c r="D20" s="250" t="s">
        <v>242</v>
      </c>
      <c r="E20" s="251">
        <v>365</v>
      </c>
      <c r="F20" s="251">
        <f>(E20*C20)</f>
        <v>1460000</v>
      </c>
    </row>
    <row r="21" spans="1:9" s="246" customFormat="1" ht="21" customHeight="1" x14ac:dyDescent="0.25">
      <c r="A21" s="245"/>
      <c r="B21" s="248" t="s">
        <v>79</v>
      </c>
      <c r="C21" s="250"/>
      <c r="D21" s="250"/>
      <c r="E21" s="251"/>
      <c r="F21" s="251">
        <f>SUM(F20:F20)</f>
        <v>1460000</v>
      </c>
    </row>
    <row r="22" spans="1:9" s="256" customFormat="1" ht="21" customHeight="1" x14ac:dyDescent="0.25">
      <c r="A22" s="245"/>
      <c r="B22" s="253" t="s">
        <v>80</v>
      </c>
      <c r="C22" s="242"/>
      <c r="D22" s="242"/>
      <c r="E22" s="251"/>
      <c r="F22" s="255">
        <f>(F13+F18+F21)</f>
        <v>51233000</v>
      </c>
      <c r="G22" s="246"/>
      <c r="H22" s="246"/>
      <c r="I22" s="246"/>
    </row>
    <row r="23" spans="1:9" s="246" customFormat="1" ht="21" customHeight="1" x14ac:dyDescent="0.25">
      <c r="A23" s="257"/>
      <c r="B23" s="403" t="s">
        <v>82</v>
      </c>
      <c r="C23" s="403"/>
      <c r="D23" s="403"/>
      <c r="E23" s="403"/>
      <c r="F23" s="403"/>
    </row>
    <row r="24" spans="1:9" s="243" customFormat="1" ht="34.35" customHeight="1" x14ac:dyDescent="0.25">
      <c r="A24" s="242"/>
      <c r="B24" s="242" t="s">
        <v>11</v>
      </c>
      <c r="C24" s="242" t="s">
        <v>4</v>
      </c>
      <c r="D24" s="242" t="s">
        <v>12</v>
      </c>
      <c r="E24" s="242" t="s">
        <v>13</v>
      </c>
      <c r="F24" s="242" t="s">
        <v>239</v>
      </c>
      <c r="G24" s="246"/>
      <c r="H24" s="246"/>
      <c r="I24" s="246"/>
    </row>
    <row r="25" spans="1:9" s="246" customFormat="1" ht="21" customHeight="1" x14ac:dyDescent="0.25">
      <c r="A25" s="245"/>
      <c r="B25" s="395" t="s">
        <v>81</v>
      </c>
      <c r="C25" s="400"/>
      <c r="D25" s="400"/>
      <c r="E25" s="400"/>
      <c r="F25" s="401"/>
    </row>
    <row r="26" spans="1:9" s="246" customFormat="1" ht="21" customHeight="1" x14ac:dyDescent="0.25">
      <c r="A26" s="245">
        <v>1</v>
      </c>
      <c r="B26" s="253" t="s">
        <v>251</v>
      </c>
      <c r="C26" s="250"/>
      <c r="D26" s="250"/>
      <c r="E26" s="248"/>
      <c r="F26" s="248"/>
    </row>
    <row r="27" spans="1:9" s="246" customFormat="1" ht="21" customHeight="1" x14ac:dyDescent="0.25">
      <c r="A27" s="245" t="s">
        <v>97</v>
      </c>
      <c r="B27" s="248" t="s">
        <v>252</v>
      </c>
      <c r="C27" s="250">
        <v>5000</v>
      </c>
      <c r="D27" s="250" t="s">
        <v>243</v>
      </c>
      <c r="E27" s="251">
        <v>12</v>
      </c>
      <c r="F27" s="251">
        <f t="shared" ref="F27:F34" si="0">(E27*C27)</f>
        <v>60000</v>
      </c>
    </row>
    <row r="28" spans="1:9" s="246" customFormat="1" ht="21" customHeight="1" x14ac:dyDescent="0.25">
      <c r="A28" s="245" t="s">
        <v>98</v>
      </c>
      <c r="B28" s="248" t="s">
        <v>253</v>
      </c>
      <c r="C28" s="250">
        <v>10000</v>
      </c>
      <c r="D28" s="250" t="s">
        <v>243</v>
      </c>
      <c r="E28" s="251">
        <v>12</v>
      </c>
      <c r="F28" s="251">
        <f t="shared" si="0"/>
        <v>120000</v>
      </c>
    </row>
    <row r="29" spans="1:9" s="246" customFormat="1" ht="21" customHeight="1" x14ac:dyDescent="0.25">
      <c r="A29" s="245" t="s">
        <v>99</v>
      </c>
      <c r="B29" s="248" t="s">
        <v>254</v>
      </c>
      <c r="C29" s="250">
        <v>20000</v>
      </c>
      <c r="D29" s="250" t="s">
        <v>243</v>
      </c>
      <c r="E29" s="251">
        <v>12</v>
      </c>
      <c r="F29" s="251">
        <f t="shared" si="0"/>
        <v>240000</v>
      </c>
    </row>
    <row r="30" spans="1:9" s="246" customFormat="1" ht="21" customHeight="1" x14ac:dyDescent="0.25">
      <c r="A30" s="245" t="s">
        <v>106</v>
      </c>
      <c r="B30" s="248" t="s">
        <v>255</v>
      </c>
      <c r="C30" s="250">
        <v>0.03</v>
      </c>
      <c r="D30" s="250" t="s">
        <v>244</v>
      </c>
      <c r="E30" s="251">
        <f>('Det CoP_MOF'!F162)</f>
        <v>182545155.52000001</v>
      </c>
      <c r="F30" s="251">
        <f t="shared" si="0"/>
        <v>5476354.6655999999</v>
      </c>
    </row>
    <row r="31" spans="1:9" s="246" customFormat="1" ht="21" customHeight="1" x14ac:dyDescent="0.25">
      <c r="A31" s="245" t="s">
        <v>107</v>
      </c>
      <c r="B31" s="248" t="s">
        <v>256</v>
      </c>
      <c r="C31" s="250">
        <v>5.0000000000000001E-3</v>
      </c>
      <c r="D31" s="250" t="s">
        <v>8</v>
      </c>
      <c r="E31" s="251">
        <f>'CoP-MoF'!C13</f>
        <v>289000000</v>
      </c>
      <c r="F31" s="251">
        <f t="shared" si="0"/>
        <v>1445000</v>
      </c>
    </row>
    <row r="32" spans="1:9" s="246" customFormat="1" ht="21" customHeight="1" x14ac:dyDescent="0.25">
      <c r="A32" s="245" t="s">
        <v>108</v>
      </c>
      <c r="B32" s="248" t="s">
        <v>257</v>
      </c>
      <c r="C32" s="250">
        <f>'sal &amp; wages'!E17/12</f>
        <v>991000</v>
      </c>
      <c r="D32" s="250" t="s">
        <v>243</v>
      </c>
      <c r="E32" s="251">
        <v>12</v>
      </c>
      <c r="F32" s="251">
        <f t="shared" si="0"/>
        <v>11892000</v>
      </c>
    </row>
    <row r="33" spans="1:9" s="246" customFormat="1" ht="21" customHeight="1" x14ac:dyDescent="0.25">
      <c r="A33" s="245" t="s">
        <v>109</v>
      </c>
      <c r="B33" s="248" t="s">
        <v>250</v>
      </c>
      <c r="C33" s="250">
        <f>'sal &amp; wages'!E24/12</f>
        <v>270000</v>
      </c>
      <c r="D33" s="250" t="s">
        <v>243</v>
      </c>
      <c r="E33" s="251">
        <v>12</v>
      </c>
      <c r="F33" s="251">
        <f t="shared" si="0"/>
        <v>3240000</v>
      </c>
    </row>
    <row r="34" spans="1:9" s="246" customFormat="1" ht="21" customHeight="1" x14ac:dyDescent="0.25">
      <c r="A34" s="245" t="s">
        <v>110</v>
      </c>
      <c r="B34" s="248" t="s">
        <v>258</v>
      </c>
      <c r="C34" s="250">
        <v>75000</v>
      </c>
      <c r="D34" s="250" t="s">
        <v>243</v>
      </c>
      <c r="E34" s="251">
        <v>12</v>
      </c>
      <c r="F34" s="251">
        <f t="shared" si="0"/>
        <v>900000</v>
      </c>
    </row>
    <row r="35" spans="1:9" s="246" customFormat="1" ht="21" customHeight="1" x14ac:dyDescent="0.25">
      <c r="A35" s="245"/>
      <c r="B35" s="248" t="s">
        <v>83</v>
      </c>
      <c r="C35" s="250"/>
      <c r="D35" s="250"/>
      <c r="E35" s="251"/>
      <c r="F35" s="251">
        <f>SUM(F27:F34)</f>
        <v>23373354.665600002</v>
      </c>
    </row>
    <row r="36" spans="1:9" s="246" customFormat="1" ht="21" customHeight="1" x14ac:dyDescent="0.25">
      <c r="A36" s="245"/>
      <c r="B36" s="248" t="s">
        <v>326</v>
      </c>
      <c r="C36" s="258">
        <f>'Det CoP_MOF'!F179</f>
        <v>1201500</v>
      </c>
      <c r="D36" s="250" t="s">
        <v>245</v>
      </c>
      <c r="E36" s="251">
        <v>10</v>
      </c>
      <c r="F36" s="251">
        <f>C36/E36</f>
        <v>120150</v>
      </c>
    </row>
    <row r="37" spans="1:9" s="246" customFormat="1" ht="21" customHeight="1" x14ac:dyDescent="0.25">
      <c r="A37" s="245"/>
      <c r="B37" s="248" t="s">
        <v>84</v>
      </c>
      <c r="C37" s="250"/>
      <c r="D37" s="250"/>
      <c r="E37" s="251"/>
      <c r="F37" s="251">
        <f>(F22+F35+F36)</f>
        <v>74726504.665600002</v>
      </c>
    </row>
    <row r="38" spans="1:9" s="246" customFormat="1" ht="21" customHeight="1" x14ac:dyDescent="0.25">
      <c r="A38" s="245"/>
      <c r="B38" s="253" t="s">
        <v>85</v>
      </c>
      <c r="C38" s="242"/>
      <c r="D38" s="242"/>
      <c r="E38" s="251"/>
      <c r="F38" s="251">
        <f>(F7-F37)</f>
        <v>71923495.334399998</v>
      </c>
    </row>
    <row r="39" spans="1:9" s="246" customFormat="1" ht="21" hidden="1" customHeight="1" x14ac:dyDescent="0.25">
      <c r="A39" s="213"/>
      <c r="B39" s="215" t="s">
        <v>86</v>
      </c>
      <c r="C39" s="224"/>
      <c r="D39" s="224"/>
      <c r="E39" s="259"/>
      <c r="F39" s="259"/>
    </row>
    <row r="40" spans="1:9" s="246" customFormat="1" ht="32.1" hidden="1" customHeight="1" x14ac:dyDescent="0.25">
      <c r="A40" s="213"/>
      <c r="B40" s="215" t="s">
        <v>450</v>
      </c>
      <c r="C40" s="260" t="e">
        <f>F40/E40</f>
        <v>#REF!</v>
      </c>
      <c r="D40" s="224" t="s">
        <v>245</v>
      </c>
      <c r="E40" s="259">
        <v>12</v>
      </c>
      <c r="F40" s="259" t="e">
        <f>#REF!</f>
        <v>#REF!</v>
      </c>
    </row>
    <row r="41" spans="1:9" s="246" customFormat="1" ht="21" hidden="1" customHeight="1" x14ac:dyDescent="0.25">
      <c r="A41" s="213"/>
      <c r="B41" s="215" t="s">
        <v>87</v>
      </c>
      <c r="C41" s="224"/>
      <c r="D41" s="224"/>
      <c r="E41" s="259"/>
      <c r="F41" s="259" t="e">
        <f>(F40)</f>
        <v>#REF!</v>
      </c>
    </row>
    <row r="42" spans="1:9" s="256" customFormat="1" ht="21" hidden="1" customHeight="1" x14ac:dyDescent="0.25">
      <c r="A42" s="213"/>
      <c r="B42" s="392" t="s">
        <v>247</v>
      </c>
      <c r="C42" s="392"/>
      <c r="D42" s="392"/>
      <c r="E42" s="392"/>
      <c r="F42" s="261" t="e">
        <f>(F38-F41)</f>
        <v>#REF!</v>
      </c>
      <c r="G42" s="246"/>
      <c r="H42" s="246"/>
      <c r="I42" s="246"/>
    </row>
    <row r="43" spans="1:9" x14ac:dyDescent="0.25">
      <c r="B43" s="262"/>
      <c r="C43" s="263"/>
      <c r="D43" s="263"/>
      <c r="E43" s="262"/>
      <c r="F43" s="262"/>
      <c r="G43" s="246"/>
      <c r="H43" s="246"/>
      <c r="I43" s="246"/>
    </row>
    <row r="44" spans="1:9" x14ac:dyDescent="0.25">
      <c r="B44" s="262"/>
      <c r="C44" s="264"/>
      <c r="D44" s="264"/>
      <c r="E44" s="262"/>
      <c r="F44" s="262"/>
      <c r="G44" s="246"/>
      <c r="H44" s="246"/>
      <c r="I44" s="246"/>
    </row>
    <row r="45" spans="1:9" x14ac:dyDescent="0.25">
      <c r="B45" s="262"/>
      <c r="C45" s="265"/>
      <c r="D45" s="263"/>
      <c r="E45" s="262"/>
      <c r="F45" s="262"/>
      <c r="G45" s="246"/>
      <c r="H45" s="246"/>
      <c r="I45" s="246"/>
    </row>
    <row r="46" spans="1:9" x14ac:dyDescent="0.25">
      <c r="B46" s="262"/>
      <c r="C46" s="263"/>
      <c r="D46" s="263"/>
      <c r="E46" s="262"/>
      <c r="F46" s="262"/>
      <c r="G46" s="246"/>
      <c r="H46" s="246"/>
      <c r="I46" s="246"/>
    </row>
    <row r="47" spans="1:9" x14ac:dyDescent="0.25">
      <c r="B47" s="262"/>
      <c r="C47" s="263"/>
      <c r="D47" s="263"/>
      <c r="E47" s="262"/>
      <c r="F47" s="262"/>
    </row>
    <row r="48" spans="1:9" x14ac:dyDescent="0.25">
      <c r="B48" s="262"/>
      <c r="C48" s="263"/>
      <c r="D48" s="263"/>
      <c r="E48" s="262"/>
      <c r="F48" s="262"/>
    </row>
    <row r="49" spans="2:6" x14ac:dyDescent="0.25">
      <c r="B49" s="262"/>
      <c r="C49" s="263"/>
      <c r="D49" s="263"/>
      <c r="E49" s="262"/>
      <c r="F49" s="262"/>
    </row>
    <row r="50" spans="2:6" x14ac:dyDescent="0.25">
      <c r="B50" s="262"/>
      <c r="C50" s="263"/>
      <c r="D50" s="263"/>
      <c r="E50" s="262"/>
      <c r="F50" s="262"/>
    </row>
    <row r="51" spans="2:6" x14ac:dyDescent="0.25">
      <c r="B51" s="262"/>
      <c r="C51" s="263"/>
      <c r="D51" s="263"/>
      <c r="E51" s="262"/>
      <c r="F51" s="262"/>
    </row>
    <row r="52" spans="2:6" x14ac:dyDescent="0.25">
      <c r="B52" s="262"/>
      <c r="C52" s="263"/>
      <c r="D52" s="263"/>
      <c r="E52" s="262"/>
      <c r="F52" s="262"/>
    </row>
    <row r="53" spans="2:6" x14ac:dyDescent="0.25">
      <c r="B53" s="262"/>
      <c r="C53" s="263"/>
      <c r="D53" s="263"/>
      <c r="E53" s="262"/>
      <c r="F53" s="262"/>
    </row>
    <row r="54" spans="2:6" x14ac:dyDescent="0.25">
      <c r="B54" s="262"/>
      <c r="C54" s="263"/>
      <c r="D54" s="263"/>
      <c r="E54" s="262"/>
      <c r="F54" s="262"/>
    </row>
    <row r="55" spans="2:6" x14ac:dyDescent="0.25">
      <c r="B55" s="262"/>
      <c r="C55" s="263"/>
      <c r="D55" s="263"/>
      <c r="E55" s="262"/>
      <c r="F55" s="262"/>
    </row>
    <row r="56" spans="2:6" x14ac:dyDescent="0.25">
      <c r="B56" s="262"/>
      <c r="C56" s="263"/>
      <c r="D56" s="263"/>
      <c r="E56" s="262"/>
      <c r="F56" s="262"/>
    </row>
    <row r="57" spans="2:6" x14ac:dyDescent="0.25">
      <c r="B57" s="262"/>
      <c r="C57" s="263"/>
      <c r="D57" s="263"/>
      <c r="E57" s="262"/>
      <c r="F57" s="262"/>
    </row>
    <row r="58" spans="2:6" x14ac:dyDescent="0.25">
      <c r="B58" s="262"/>
      <c r="C58" s="263"/>
      <c r="D58" s="263"/>
      <c r="E58" s="262"/>
      <c r="F58" s="262"/>
    </row>
    <row r="59" spans="2:6" x14ac:dyDescent="0.25">
      <c r="B59" s="262"/>
      <c r="C59" s="263"/>
      <c r="D59" s="263"/>
      <c r="E59" s="262"/>
      <c r="F59" s="262"/>
    </row>
    <row r="60" spans="2:6" x14ac:dyDescent="0.25">
      <c r="B60" s="262"/>
      <c r="C60" s="263"/>
      <c r="D60" s="263"/>
      <c r="E60" s="262"/>
      <c r="F60" s="262"/>
    </row>
    <row r="61" spans="2:6" x14ac:dyDescent="0.25">
      <c r="B61" s="262"/>
      <c r="C61" s="263"/>
      <c r="D61" s="263"/>
      <c r="E61" s="262"/>
      <c r="F61" s="262"/>
    </row>
    <row r="62" spans="2:6" x14ac:dyDescent="0.25">
      <c r="B62" s="262"/>
      <c r="C62" s="263"/>
      <c r="D62" s="263"/>
      <c r="E62" s="262"/>
      <c r="F62" s="262"/>
    </row>
    <row r="63" spans="2:6" x14ac:dyDescent="0.25">
      <c r="B63" s="262"/>
      <c r="C63" s="263"/>
      <c r="D63" s="263"/>
      <c r="E63" s="262"/>
      <c r="F63" s="262"/>
    </row>
    <row r="64" spans="2:6" x14ac:dyDescent="0.25">
      <c r="B64" s="262"/>
      <c r="C64" s="263"/>
      <c r="D64" s="263"/>
      <c r="E64" s="262"/>
      <c r="F64" s="262"/>
    </row>
    <row r="65" spans="2:6" x14ac:dyDescent="0.25">
      <c r="B65" s="262"/>
      <c r="C65" s="263"/>
      <c r="D65" s="263"/>
      <c r="E65" s="262"/>
      <c r="F65" s="262"/>
    </row>
    <row r="66" spans="2:6" x14ac:dyDescent="0.25">
      <c r="B66" s="262"/>
      <c r="C66" s="263"/>
      <c r="D66" s="263"/>
      <c r="E66" s="262"/>
      <c r="F66" s="262"/>
    </row>
    <row r="67" spans="2:6" x14ac:dyDescent="0.25">
      <c r="B67" s="262"/>
      <c r="C67" s="263"/>
      <c r="D67" s="263"/>
      <c r="E67" s="262"/>
      <c r="F67" s="262"/>
    </row>
    <row r="68" spans="2:6" x14ac:dyDescent="0.25">
      <c r="B68" s="262"/>
      <c r="C68" s="263"/>
      <c r="D68" s="263"/>
      <c r="E68" s="262"/>
      <c r="F68" s="262"/>
    </row>
  </sheetData>
  <customSheetViews>
    <customSheetView guid="{22475485-DA09-46DB-978D-BB94CE1E5597}">
      <selection activeCell="C4" sqref="C4"/>
      <pageMargins left="0.7" right="0.7" top="0.75" bottom="0.75" header="0.3" footer="0.3"/>
      <pageSetup paperSize="9" orientation="landscape" r:id="rId1"/>
    </customSheetView>
  </customSheetViews>
  <mergeCells count="9">
    <mergeCell ref="B42:E42"/>
    <mergeCell ref="B1:F1"/>
    <mergeCell ref="B9:F9"/>
    <mergeCell ref="B3:F3"/>
    <mergeCell ref="B8:F8"/>
    <mergeCell ref="B25:F25"/>
    <mergeCell ref="B10:F10"/>
    <mergeCell ref="B23:F23"/>
    <mergeCell ref="B14:F14"/>
  </mergeCells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1"/>
  <sheetViews>
    <sheetView topLeftCell="A37" workbookViewId="0">
      <selection activeCell="C50" sqref="C50:M50"/>
    </sheetView>
  </sheetViews>
  <sheetFormatPr defaultColWidth="32.28515625" defaultRowHeight="15" x14ac:dyDescent="0.25"/>
  <cols>
    <col min="1" max="1" width="27.28515625" style="1" customWidth="1"/>
    <col min="2" max="2" width="7.5703125" style="1" customWidth="1"/>
    <col min="3" max="13" width="11.7109375" style="1" customWidth="1"/>
    <col min="14" max="16384" width="32.28515625" style="1"/>
  </cols>
  <sheetData>
    <row r="1" spans="1:14" hidden="1" x14ac:dyDescent="0.25">
      <c r="A1" s="1">
        <v>100000</v>
      </c>
    </row>
    <row r="2" spans="1:14" s="3" customFormat="1" ht="26.1" customHeight="1" x14ac:dyDescent="0.25">
      <c r="A2" s="405" t="s">
        <v>262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</row>
    <row r="3" spans="1:14" s="3" customFormat="1" ht="19.5" customHeight="1" x14ac:dyDescent="0.25"/>
    <row r="4" spans="1:14" s="2" customFormat="1" ht="16.5" customHeight="1" x14ac:dyDescent="0.25">
      <c r="A4" s="227" t="s">
        <v>14</v>
      </c>
      <c r="B4" s="227"/>
      <c r="C4" s="228">
        <v>2025</v>
      </c>
      <c r="D4" s="228">
        <f t="shared" ref="D4:M4" si="0">C4+1</f>
        <v>2026</v>
      </c>
      <c r="E4" s="228">
        <f t="shared" si="0"/>
        <v>2027</v>
      </c>
      <c r="F4" s="228">
        <f t="shared" si="0"/>
        <v>2028</v>
      </c>
      <c r="G4" s="228">
        <f t="shared" si="0"/>
        <v>2029</v>
      </c>
      <c r="H4" s="228">
        <f t="shared" si="0"/>
        <v>2030</v>
      </c>
      <c r="I4" s="228">
        <f t="shared" si="0"/>
        <v>2031</v>
      </c>
      <c r="J4" s="228">
        <f t="shared" si="0"/>
        <v>2032</v>
      </c>
      <c r="K4" s="228">
        <f t="shared" si="0"/>
        <v>2033</v>
      </c>
      <c r="L4" s="228">
        <f t="shared" si="0"/>
        <v>2034</v>
      </c>
      <c r="M4" s="228">
        <f t="shared" si="0"/>
        <v>2035</v>
      </c>
    </row>
    <row r="5" spans="1:14" s="3" customFormat="1" ht="21" customHeight="1" x14ac:dyDescent="0.25">
      <c r="A5" s="222" t="s">
        <v>50</v>
      </c>
      <c r="B5" s="221"/>
      <c r="C5" s="221">
        <v>0.85</v>
      </c>
      <c r="D5" s="221">
        <v>1</v>
      </c>
      <c r="E5" s="221">
        <v>1</v>
      </c>
      <c r="F5" s="221">
        <v>1</v>
      </c>
      <c r="G5" s="221">
        <v>1</v>
      </c>
      <c r="H5" s="221">
        <v>1</v>
      </c>
      <c r="I5" s="221">
        <v>1</v>
      </c>
      <c r="J5" s="221">
        <v>1</v>
      </c>
      <c r="K5" s="221">
        <v>1</v>
      </c>
      <c r="L5" s="221">
        <v>1</v>
      </c>
      <c r="M5" s="221">
        <v>1</v>
      </c>
    </row>
    <row r="6" spans="1:14" s="3" customFormat="1" ht="21" customHeight="1" x14ac:dyDescent="0.25">
      <c r="A6" s="213" t="s">
        <v>261</v>
      </c>
      <c r="B6" s="209"/>
      <c r="C6" s="210">
        <v>1</v>
      </c>
      <c r="D6" s="210">
        <f t="shared" ref="D6:M6" si="1">(C6*1.05)</f>
        <v>1.05</v>
      </c>
      <c r="E6" s="210">
        <f t="shared" si="1"/>
        <v>1.1025</v>
      </c>
      <c r="F6" s="210">
        <f t="shared" si="1"/>
        <v>1.1576250000000001</v>
      </c>
      <c r="G6" s="210">
        <f t="shared" si="1"/>
        <v>1.2155062500000002</v>
      </c>
      <c r="H6" s="210">
        <f t="shared" si="1"/>
        <v>1.2762815625000004</v>
      </c>
      <c r="I6" s="210">
        <f t="shared" si="1"/>
        <v>1.3400956406250004</v>
      </c>
      <c r="J6" s="210">
        <f t="shared" si="1"/>
        <v>1.4071004226562505</v>
      </c>
      <c r="K6" s="210">
        <f t="shared" si="1"/>
        <v>1.477455443789063</v>
      </c>
      <c r="L6" s="210">
        <f t="shared" si="1"/>
        <v>1.5513282159785162</v>
      </c>
      <c r="M6" s="210">
        <f t="shared" si="1"/>
        <v>1.628894626777442</v>
      </c>
    </row>
    <row r="7" spans="1:14" s="3" customFormat="1" ht="21" customHeight="1" x14ac:dyDescent="0.25">
      <c r="A7" s="223" t="s">
        <v>51</v>
      </c>
      <c r="B7" s="209"/>
      <c r="C7" s="210">
        <f>(Assump!$F$4)/A*C$5*C$6*C47/12</f>
        <v>780.9375</v>
      </c>
      <c r="D7" s="210">
        <f>(Assump!$F$4)/A*D$5*D$6</f>
        <v>1286.25</v>
      </c>
      <c r="E7" s="210">
        <f>(Assump!$F$4)/A*E$5*E$6</f>
        <v>1350.5625</v>
      </c>
      <c r="F7" s="210">
        <f>(Assump!$F$4)/A*F$5*F$6</f>
        <v>1418.090625</v>
      </c>
      <c r="G7" s="210">
        <f>(Assump!$F$4)/A*G$5*G$6</f>
        <v>1488.9951562500003</v>
      </c>
      <c r="H7" s="210">
        <f>(Assump!$F$4)/A*H$5*H$6</f>
        <v>1563.4449140625004</v>
      </c>
      <c r="I7" s="210">
        <f>(Assump!$F$4)/A*I$5*I$6</f>
        <v>1641.6171597656255</v>
      </c>
      <c r="J7" s="210">
        <f>(Assump!$F$4)/A*J$5*J$6</f>
        <v>1723.6980177539069</v>
      </c>
      <c r="K7" s="210">
        <f>(Assump!$F$4)/A*K$5*K$6</f>
        <v>1809.8829186416021</v>
      </c>
      <c r="L7" s="210">
        <f>(Assump!$F$4)/A*L$5*L$6</f>
        <v>1900.3770645736824</v>
      </c>
      <c r="M7" s="210">
        <f>(Assump!$F$4)/A*M$5*M$6</f>
        <v>1995.3959178023665</v>
      </c>
    </row>
    <row r="8" spans="1:14" s="3" customFormat="1" ht="21" customHeight="1" x14ac:dyDescent="0.25">
      <c r="A8" s="223" t="s">
        <v>260</v>
      </c>
      <c r="B8" s="209"/>
      <c r="C8" s="210">
        <f>(Assump!$F$6+Assump!$F$5)/A*C$5*C$6*C47/12</f>
        <v>153.95625000000001</v>
      </c>
      <c r="D8" s="210">
        <f>(Assump!$F$6+Assump!$F$5)/A*D$5*D$6</f>
        <v>253.57500000000002</v>
      </c>
      <c r="E8" s="210">
        <f>(Assump!$F$6+Assump!$F$5)/A*E$5*E$6</f>
        <v>266.25375000000003</v>
      </c>
      <c r="F8" s="210">
        <f>(Assump!$F$6+Assump!$F$5)/A*F$5*F$6</f>
        <v>279.56643750000001</v>
      </c>
      <c r="G8" s="210">
        <f>(Assump!$F$6+Assump!$F$5)/A*G$5*G$6</f>
        <v>293.54475937500007</v>
      </c>
      <c r="H8" s="210">
        <f>(Assump!$F$6+Assump!$F$5)/A*H$5*H$6</f>
        <v>308.2219973437501</v>
      </c>
      <c r="I8" s="210">
        <f>(Assump!$F$6+Assump!$F$5)/A*I$5*I$6</f>
        <v>323.63309721093759</v>
      </c>
      <c r="J8" s="210">
        <f>(Assump!$F$6+Assump!$F$5)/A*J$5*J$6</f>
        <v>339.81475207148446</v>
      </c>
      <c r="K8" s="210">
        <f>(Assump!$F$6+Assump!$F$5)/A*K$5*K$6</f>
        <v>356.80548967505871</v>
      </c>
      <c r="L8" s="210">
        <f>(Assump!$F$6+Assump!$F$5)/A*L$5*L$6</f>
        <v>374.64576415881169</v>
      </c>
      <c r="M8" s="210">
        <f>(Assump!$F$6+Assump!$F$5)/A*M$5*M$6</f>
        <v>393.37805236675223</v>
      </c>
    </row>
    <row r="9" spans="1:14" s="3" customFormat="1" ht="21" customHeight="1" x14ac:dyDescent="0.25">
      <c r="A9" s="213" t="s">
        <v>53</v>
      </c>
      <c r="B9" s="212"/>
      <c r="C9" s="100">
        <f>SUM(C7:C8)</f>
        <v>934.89374999999995</v>
      </c>
      <c r="D9" s="100">
        <f t="shared" ref="D9:H9" si="2">SUM(D7:D8)</f>
        <v>1539.825</v>
      </c>
      <c r="E9" s="100">
        <f t="shared" si="2"/>
        <v>1616.8162500000001</v>
      </c>
      <c r="F9" s="100">
        <f t="shared" si="2"/>
        <v>1697.6570624999999</v>
      </c>
      <c r="G9" s="100">
        <f t="shared" si="2"/>
        <v>1782.5399156250003</v>
      </c>
      <c r="H9" s="100">
        <f t="shared" si="2"/>
        <v>1871.6669114062506</v>
      </c>
      <c r="I9" s="100">
        <f t="shared" ref="I9:J9" si="3">SUM(I7:I8)</f>
        <v>1965.2502569765632</v>
      </c>
      <c r="J9" s="100">
        <f t="shared" si="3"/>
        <v>2063.5127698253914</v>
      </c>
      <c r="K9" s="100">
        <f t="shared" ref="K9:L9" si="4">SUM(K7:K8)</f>
        <v>2166.688408316661</v>
      </c>
      <c r="L9" s="100">
        <f t="shared" si="4"/>
        <v>2275.022828732494</v>
      </c>
      <c r="M9" s="100">
        <f t="shared" ref="M9" si="5">SUM(M7:M8)</f>
        <v>2388.7739701691189</v>
      </c>
    </row>
    <row r="10" spans="1:14" s="3" customFormat="1" ht="21" customHeight="1" x14ac:dyDescent="0.25">
      <c r="A10" s="213" t="s">
        <v>54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</row>
    <row r="11" spans="1:14" s="3" customFormat="1" ht="21" customHeight="1" x14ac:dyDescent="0.25">
      <c r="A11" s="223" t="s">
        <v>55</v>
      </c>
      <c r="B11" s="209"/>
      <c r="C11" s="209">
        <f>(Assump!$F$13)/A*C$5*C$6*C47/12</f>
        <v>177.38437499999998</v>
      </c>
      <c r="D11" s="209">
        <f>(Assump!$F$13)/A*D$5*D$6</f>
        <v>292.16250000000002</v>
      </c>
      <c r="E11" s="209">
        <f>(Assump!$F$13)/A*E$5*E$6</f>
        <v>306.770625</v>
      </c>
      <c r="F11" s="209">
        <f>(Assump!$F$13)/A*F$5*F$6</f>
        <v>322.10915625000001</v>
      </c>
      <c r="G11" s="209">
        <f>(Assump!$F$13)/A*G$5*G$6</f>
        <v>338.21461406250006</v>
      </c>
      <c r="H11" s="209">
        <f>(Assump!$F$13)/A*H$5*H$6</f>
        <v>355.12534476562507</v>
      </c>
      <c r="I11" s="209">
        <f>(Assump!$F$13)/A*I$5*I$6</f>
        <v>372.88161200390635</v>
      </c>
      <c r="J11" s="209">
        <f>(Assump!$F$13)/A*J$5*J$6</f>
        <v>391.52569260410166</v>
      </c>
      <c r="K11" s="209">
        <f>(Assump!$F$13)/A*K$5*K$6</f>
        <v>411.10197723430679</v>
      </c>
      <c r="L11" s="209">
        <f>(Assump!$F$13)/A*L$5*L$6</f>
        <v>431.65707609602214</v>
      </c>
      <c r="M11" s="209">
        <f>(Assump!$F$13)/A*M$5*M$6</f>
        <v>453.23992990082326</v>
      </c>
    </row>
    <row r="12" spans="1:14" s="3" customFormat="1" ht="21" customHeight="1" x14ac:dyDescent="0.25">
      <c r="A12" s="223" t="s">
        <v>714</v>
      </c>
      <c r="B12" s="209"/>
      <c r="C12" s="209">
        <f>(Assump!$F$15)/A*C$5*C$6*C47/12</f>
        <v>128.4435</v>
      </c>
      <c r="D12" s="209">
        <f>(Assump!$F$15)/A*D$5*D$6</f>
        <v>211.554</v>
      </c>
      <c r="E12" s="209">
        <f>(Assump!$F$15)/A*E$5*E$6</f>
        <v>222.1317</v>
      </c>
      <c r="F12" s="209">
        <f>(Assump!$F$15)/A*F$5*F$6</f>
        <v>233.23828500000002</v>
      </c>
      <c r="G12" s="209">
        <f>(Assump!$F$15)/A*G$5*G$6</f>
        <v>244.90019925000004</v>
      </c>
      <c r="H12" s="209">
        <f>(Assump!$F$15)/A*H$5*H$6</f>
        <v>257.14520921250005</v>
      </c>
      <c r="I12" s="209">
        <f>(Assump!$F$15)/A*I$5*I$6</f>
        <v>270.00246967312506</v>
      </c>
      <c r="J12" s="209">
        <f>(Assump!$F$15)/A*J$5*J$6</f>
        <v>283.5025931567813</v>
      </c>
      <c r="K12" s="209">
        <f>(Assump!$F$15)/A*K$5*K$6</f>
        <v>297.67772281462038</v>
      </c>
      <c r="L12" s="209">
        <f>(Assump!$F$15)/A*L$5*L$6</f>
        <v>312.56160895535146</v>
      </c>
      <c r="M12" s="209">
        <f>(Assump!$F$15)/A*M$5*M$6</f>
        <v>328.18968940311902</v>
      </c>
    </row>
    <row r="13" spans="1:14" s="3" customFormat="1" ht="21" customHeight="1" x14ac:dyDescent="0.25">
      <c r="A13" s="223" t="s">
        <v>715</v>
      </c>
      <c r="B13" s="209"/>
      <c r="C13" s="209">
        <f>(Assump!$F$21)/A*C$5*C$6*C47/12</f>
        <v>9.3074999999999992</v>
      </c>
      <c r="D13" s="209">
        <f>(Assump!$F$21)/A*D$5*D$6</f>
        <v>15.33</v>
      </c>
      <c r="E13" s="209">
        <f>(Assump!$F$21)/A*E$5*E$6</f>
        <v>16.096499999999999</v>
      </c>
      <c r="F13" s="209">
        <f>(Assump!$F$21)/A*F$5*F$6</f>
        <v>16.901325</v>
      </c>
      <c r="G13" s="209">
        <f>(Assump!$F$21)/A*G$5*G$6</f>
        <v>17.746391250000002</v>
      </c>
      <c r="H13" s="209">
        <f>(Assump!$F$21)/A*H$5*H$6</f>
        <v>18.633710812500006</v>
      </c>
      <c r="I13" s="209">
        <f>(Assump!$F$21)/A*I$5*I$6</f>
        <v>19.565396353125006</v>
      </c>
      <c r="J13" s="209">
        <f>(Assump!$F$21)/A*J$5*J$6</f>
        <v>20.543666170781258</v>
      </c>
      <c r="K13" s="209">
        <f>(Assump!$F$21)/A*K$5*K$6</f>
        <v>21.570849479320319</v>
      </c>
      <c r="L13" s="209">
        <f>(Assump!$F$21)/A*L$5*L$6</f>
        <v>22.649391953286337</v>
      </c>
      <c r="M13" s="209">
        <f>(Assump!$F$21)/A*M$5*M$6</f>
        <v>23.781861550950651</v>
      </c>
    </row>
    <row r="14" spans="1:14" s="3" customFormat="1" ht="21" customHeight="1" x14ac:dyDescent="0.25">
      <c r="A14" s="213" t="s">
        <v>56</v>
      </c>
      <c r="B14" s="212"/>
      <c r="C14" s="212">
        <f t="shared" ref="C14:M14" si="6">SUM(C11:C13)</f>
        <v>315.13537499999995</v>
      </c>
      <c r="D14" s="212">
        <f t="shared" si="6"/>
        <v>519.04650000000004</v>
      </c>
      <c r="E14" s="212">
        <f t="shared" si="6"/>
        <v>544.99882500000001</v>
      </c>
      <c r="F14" s="212">
        <f t="shared" si="6"/>
        <v>572.24876625000002</v>
      </c>
      <c r="G14" s="212">
        <f t="shared" si="6"/>
        <v>600.86120456250012</v>
      </c>
      <c r="H14" s="212">
        <f t="shared" si="6"/>
        <v>630.90426479062512</v>
      </c>
      <c r="I14" s="212">
        <f t="shared" si="6"/>
        <v>662.44947803015646</v>
      </c>
      <c r="J14" s="212">
        <f t="shared" si="6"/>
        <v>695.57195193166422</v>
      </c>
      <c r="K14" s="212">
        <f t="shared" si="6"/>
        <v>730.3505495282476</v>
      </c>
      <c r="L14" s="212">
        <f t="shared" si="6"/>
        <v>766.86807700465988</v>
      </c>
      <c r="M14" s="212">
        <f t="shared" si="6"/>
        <v>805.2114808548929</v>
      </c>
    </row>
    <row r="15" spans="1:14" s="3" customFormat="1" ht="21" customHeight="1" x14ac:dyDescent="0.25">
      <c r="A15" s="213" t="s">
        <v>57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</row>
    <row r="16" spans="1:14" s="3" customFormat="1" ht="21" customHeight="1" x14ac:dyDescent="0.25">
      <c r="A16" s="223" t="s">
        <v>58</v>
      </c>
      <c r="B16" s="209"/>
      <c r="C16" s="209">
        <f>(Assump!$F$35)/A*C$5*C$6*C47/12</f>
        <v>149.00513599320001</v>
      </c>
      <c r="D16" s="209">
        <f>(Assump!$F$35)/A*D$5*D$6</f>
        <v>245.42022398880002</v>
      </c>
      <c r="E16" s="209">
        <f>(Assump!$F$35)/A*E$5*E$6</f>
        <v>257.69123518824</v>
      </c>
      <c r="F16" s="209">
        <f>(Assump!$F$35)/A*F$5*F$6</f>
        <v>270.57579694765207</v>
      </c>
      <c r="G16" s="209">
        <f>(Assump!$F$35)/A*G$5*G$6</f>
        <v>284.10458679503466</v>
      </c>
      <c r="H16" s="209">
        <f>(Assump!$F$35)/A*H$5*H$6</f>
        <v>298.30981613478644</v>
      </c>
      <c r="I16" s="209">
        <f>(Assump!$F$35)/A*I$5*I$6</f>
        <v>313.22530694152579</v>
      </c>
      <c r="J16" s="209">
        <f>(Assump!$F$35)/A*J$5*J$6</f>
        <v>328.88657228860205</v>
      </c>
      <c r="K16" s="209">
        <f>(Assump!$F$35)/A*K$5*K$6</f>
        <v>345.33090090303216</v>
      </c>
      <c r="L16" s="209">
        <f>(Assump!$F$35)/A*L$5*L$6</f>
        <v>362.5974459481838</v>
      </c>
      <c r="M16" s="209">
        <f>(Assump!$F$35)/A*M$5*M$6</f>
        <v>380.72731824559298</v>
      </c>
      <c r="N16" s="193"/>
    </row>
    <row r="17" spans="1:14" s="3" customFormat="1" ht="21" customHeight="1" x14ac:dyDescent="0.25">
      <c r="A17" s="223" t="s">
        <v>722</v>
      </c>
      <c r="B17" s="209"/>
      <c r="C17" s="209">
        <v>0.5</v>
      </c>
      <c r="D17" s="209">
        <f>C17</f>
        <v>0.5</v>
      </c>
      <c r="E17" s="209">
        <f>D17</f>
        <v>0.5</v>
      </c>
      <c r="F17" s="209">
        <f>E17</f>
        <v>0.5</v>
      </c>
      <c r="G17" s="209">
        <f>F17</f>
        <v>0.5</v>
      </c>
      <c r="H17" s="209">
        <f>G17*1.1</f>
        <v>0.55000000000000004</v>
      </c>
      <c r="I17" s="209">
        <f>H17*1</f>
        <v>0.55000000000000004</v>
      </c>
      <c r="J17" s="209">
        <f>I17*1</f>
        <v>0.55000000000000004</v>
      </c>
      <c r="K17" s="209">
        <f>J17*1</f>
        <v>0.55000000000000004</v>
      </c>
      <c r="L17" s="209">
        <f>K17*1</f>
        <v>0.55000000000000004</v>
      </c>
      <c r="M17" s="209">
        <f>L17*1.1</f>
        <v>0.60500000000000009</v>
      </c>
      <c r="N17" s="193"/>
    </row>
    <row r="18" spans="1:14" s="3" customFormat="1" ht="21" customHeight="1" x14ac:dyDescent="0.25">
      <c r="A18" s="224" t="s">
        <v>735</v>
      </c>
      <c r="B18" s="209"/>
      <c r="C18" s="209">
        <f>Assump!$F$16/A*C47/12*C6</f>
        <v>13.125</v>
      </c>
      <c r="D18" s="209">
        <f>Assump!$F$16/A*D47/12*D6</f>
        <v>18.375</v>
      </c>
      <c r="E18" s="209">
        <f>Assump!$F$16/A*E47/12*E6</f>
        <v>19.293749999999999</v>
      </c>
      <c r="F18" s="209">
        <f>Assump!$F$16/A*F47/12*F6</f>
        <v>20.258437500000003</v>
      </c>
      <c r="G18" s="209">
        <f>Assump!$F$16/A*G47/12*G6</f>
        <v>21.271359375000003</v>
      </c>
      <c r="H18" s="209">
        <f>Assump!$F$16/A*H47/12*H6</f>
        <v>22.334927343750007</v>
      </c>
      <c r="I18" s="209">
        <f>Assump!$F$16/A*I47/12*I6</f>
        <v>23.451673710937506</v>
      </c>
      <c r="J18" s="209">
        <f>Assump!$F$16/A*J47/12*J6</f>
        <v>24.624257396484381</v>
      </c>
      <c r="K18" s="209">
        <f>Assump!$F$16/A*K47/12*K6</f>
        <v>25.855470266308604</v>
      </c>
      <c r="L18" s="209">
        <f>Assump!$F$16/A*L47/12*L6</f>
        <v>27.148243779624035</v>
      </c>
      <c r="M18" s="209">
        <f>Assump!$F$16/A*M47/12*M6</f>
        <v>28.505655968605236</v>
      </c>
      <c r="N18" s="193"/>
    </row>
    <row r="19" spans="1:14" s="3" customFormat="1" ht="21" customHeight="1" x14ac:dyDescent="0.25">
      <c r="A19" s="223" t="s">
        <v>737</v>
      </c>
      <c r="B19" s="209"/>
      <c r="C19" s="209">
        <f>('Det CoP_MOF'!$F$179)/A/5</f>
        <v>2.403</v>
      </c>
      <c r="D19" s="209">
        <f>C19</f>
        <v>2.403</v>
      </c>
      <c r="E19" s="209">
        <f t="shared" ref="E19:G19" si="7">D19</f>
        <v>2.403</v>
      </c>
      <c r="F19" s="209">
        <f t="shared" si="7"/>
        <v>2.403</v>
      </c>
      <c r="G19" s="209">
        <f t="shared" si="7"/>
        <v>2.403</v>
      </c>
      <c r="H19" s="209"/>
      <c r="I19" s="209"/>
      <c r="J19" s="209"/>
      <c r="K19" s="209"/>
      <c r="L19" s="209"/>
      <c r="M19" s="209"/>
    </row>
    <row r="20" spans="1:14" s="3" customFormat="1" ht="21" customHeight="1" x14ac:dyDescent="0.25">
      <c r="A20" s="213" t="s">
        <v>59</v>
      </c>
      <c r="B20" s="209"/>
      <c r="C20" s="209">
        <f t="shared" ref="C20:J20" si="8">SUM(C16:C19)</f>
        <v>165.03313599320001</v>
      </c>
      <c r="D20" s="209">
        <f t="shared" si="8"/>
        <v>266.69822398880001</v>
      </c>
      <c r="E20" s="209">
        <f t="shared" si="8"/>
        <v>279.88798518824001</v>
      </c>
      <c r="F20" s="209">
        <f t="shared" si="8"/>
        <v>293.7372344476521</v>
      </c>
      <c r="G20" s="209">
        <f t="shared" si="8"/>
        <v>308.27894617003471</v>
      </c>
      <c r="H20" s="209">
        <f t="shared" si="8"/>
        <v>321.19474347853645</v>
      </c>
      <c r="I20" s="209">
        <f t="shared" si="8"/>
        <v>337.22698065246328</v>
      </c>
      <c r="J20" s="209">
        <f t="shared" si="8"/>
        <v>354.06082968508645</v>
      </c>
      <c r="K20" s="209">
        <f t="shared" ref="K20:M20" si="9">SUM(K16:K19)</f>
        <v>371.73637116934077</v>
      </c>
      <c r="L20" s="209">
        <f t="shared" si="9"/>
        <v>390.29568972780783</v>
      </c>
      <c r="M20" s="209">
        <f t="shared" si="9"/>
        <v>409.83797421419825</v>
      </c>
    </row>
    <row r="21" spans="1:14" s="3" customFormat="1" ht="21" customHeight="1" x14ac:dyDescent="0.25">
      <c r="A21" s="213" t="s">
        <v>60</v>
      </c>
      <c r="B21" s="212"/>
      <c r="C21" s="212">
        <f t="shared" ref="C21:M21" si="10">(C14+C20)</f>
        <v>480.16851099319996</v>
      </c>
      <c r="D21" s="212">
        <f t="shared" si="10"/>
        <v>785.74472398880005</v>
      </c>
      <c r="E21" s="212">
        <f t="shared" si="10"/>
        <v>824.88681018824002</v>
      </c>
      <c r="F21" s="212">
        <f t="shared" si="10"/>
        <v>865.98600069765212</v>
      </c>
      <c r="G21" s="212">
        <f t="shared" si="10"/>
        <v>909.14015073253483</v>
      </c>
      <c r="H21" s="212">
        <f t="shared" si="10"/>
        <v>952.09900826916157</v>
      </c>
      <c r="I21" s="212">
        <f t="shared" si="10"/>
        <v>999.6764586826198</v>
      </c>
      <c r="J21" s="212">
        <f t="shared" si="10"/>
        <v>1049.6327816167507</v>
      </c>
      <c r="K21" s="212">
        <f t="shared" si="10"/>
        <v>1102.0869206975883</v>
      </c>
      <c r="L21" s="212">
        <f t="shared" si="10"/>
        <v>1157.1637667324676</v>
      </c>
      <c r="M21" s="212">
        <f t="shared" si="10"/>
        <v>1215.0494550690912</v>
      </c>
    </row>
    <row r="22" spans="1:14" s="3" customFormat="1" ht="21" customHeight="1" x14ac:dyDescent="0.25">
      <c r="A22" s="223" t="s">
        <v>61</v>
      </c>
      <c r="B22" s="209"/>
      <c r="C22" s="209">
        <f t="shared" ref="C22:M22" si="11">(C9-C21)</f>
        <v>454.7252390068</v>
      </c>
      <c r="D22" s="209">
        <f t="shared" si="11"/>
        <v>754.0802760112</v>
      </c>
      <c r="E22" s="209">
        <f t="shared" si="11"/>
        <v>791.92943981176006</v>
      </c>
      <c r="F22" s="209">
        <f t="shared" si="11"/>
        <v>831.67106180234782</v>
      </c>
      <c r="G22" s="209">
        <f t="shared" si="11"/>
        <v>873.39976489246544</v>
      </c>
      <c r="H22" s="209">
        <f t="shared" si="11"/>
        <v>919.56790313708905</v>
      </c>
      <c r="I22" s="209">
        <f t="shared" si="11"/>
        <v>965.57379829394336</v>
      </c>
      <c r="J22" s="209">
        <f t="shared" si="11"/>
        <v>1013.8799882086407</v>
      </c>
      <c r="K22" s="209">
        <f t="shared" si="11"/>
        <v>1064.6014876190727</v>
      </c>
      <c r="L22" s="209">
        <f t="shared" si="11"/>
        <v>1117.8590620000264</v>
      </c>
      <c r="M22" s="209">
        <f t="shared" si="11"/>
        <v>1173.7245151000277</v>
      </c>
    </row>
    <row r="23" spans="1:14" s="3" customFormat="1" ht="21" customHeight="1" x14ac:dyDescent="0.25">
      <c r="A23" s="223" t="s">
        <v>62</v>
      </c>
      <c r="B23" s="209"/>
      <c r="C23" s="209">
        <f>'TL Schd'!D14</f>
        <v>157.23749999999998</v>
      </c>
      <c r="D23" s="209">
        <f>'TL Schd'!E14</f>
        <v>202.64999999999998</v>
      </c>
      <c r="E23" s="209">
        <f>'TL Schd'!F14</f>
        <v>188.99999999999997</v>
      </c>
      <c r="F23" s="209">
        <f>'TL Schd'!G14</f>
        <v>172.19999999999996</v>
      </c>
      <c r="G23" s="209">
        <f>'TL Schd'!H14</f>
        <v>155.39999999999998</v>
      </c>
      <c r="H23" s="209">
        <f>'TL Schd'!I14</f>
        <v>136.49999999999997</v>
      </c>
      <c r="I23" s="209">
        <f>'TL Schd'!J14</f>
        <v>115.49999999999997</v>
      </c>
      <c r="J23" s="209">
        <f>'TL Schd'!K14</f>
        <v>92.399999999999963</v>
      </c>
      <c r="K23" s="209">
        <f>'TL Schd'!L14</f>
        <v>67.19999999999996</v>
      </c>
      <c r="L23" s="209">
        <f>'TL Schd'!M14</f>
        <v>39.89999999999997</v>
      </c>
      <c r="M23" s="209">
        <f>'TL Schd'!N14</f>
        <v>9.4499999999999851</v>
      </c>
    </row>
    <row r="24" spans="1:14" s="3" customFormat="1" ht="21" customHeight="1" x14ac:dyDescent="0.25">
      <c r="A24" s="223" t="s">
        <v>547</v>
      </c>
      <c r="B24" s="209"/>
      <c r="C24" s="209">
        <f>'TL Schd'!D111</f>
        <v>5.25</v>
      </c>
      <c r="D24" s="209">
        <f>'TL Schd'!E111</f>
        <v>5.25</v>
      </c>
      <c r="E24" s="209">
        <f>'TL Schd'!F111</f>
        <v>5.25</v>
      </c>
      <c r="F24" s="209">
        <f>'TL Schd'!G111</f>
        <v>5.25</v>
      </c>
      <c r="G24" s="209">
        <f>'TL Schd'!H111</f>
        <v>5.25</v>
      </c>
      <c r="H24" s="209">
        <f>'TL Schd'!I111</f>
        <v>5.25</v>
      </c>
      <c r="I24" s="209">
        <f>'TL Schd'!J111</f>
        <v>5.25</v>
      </c>
      <c r="J24" s="209">
        <f>'TL Schd'!K111</f>
        <v>5.25</v>
      </c>
      <c r="K24" s="209">
        <f>'TL Schd'!L111</f>
        <v>5.25</v>
      </c>
      <c r="L24" s="209">
        <f>'TL Schd'!M111</f>
        <v>5.25</v>
      </c>
      <c r="M24" s="209">
        <f>'TL Schd'!N111</f>
        <v>5.25</v>
      </c>
    </row>
    <row r="25" spans="1:14" s="3" customFormat="1" ht="21" customHeight="1" x14ac:dyDescent="0.25">
      <c r="A25" s="223" t="s">
        <v>63</v>
      </c>
      <c r="B25" s="209"/>
      <c r="C25" s="209">
        <f>Depr!B37</f>
        <v>391.22459380665219</v>
      </c>
      <c r="D25" s="209">
        <f>Depr!C37</f>
        <v>336.58822035498912</v>
      </c>
      <c r="E25" s="209">
        <f>Depr!D37</f>
        <v>289.74257135914212</v>
      </c>
      <c r="F25" s="209">
        <f>Depr!E37</f>
        <v>249.55951130693194</v>
      </c>
      <c r="G25" s="209">
        <f>Depr!F37</f>
        <v>215.07607769738723</v>
      </c>
      <c r="H25" s="209">
        <f>Depr!G37</f>
        <v>185.47010982062469</v>
      </c>
      <c r="I25" s="209">
        <f>Depr!H37</f>
        <v>160.03949274759196</v>
      </c>
      <c r="J25" s="209">
        <f>Depr!I37</f>
        <v>138.18447829550809</v>
      </c>
      <c r="K25" s="209">
        <f>Depr!J37</f>
        <v>119.39262506523126</v>
      </c>
      <c r="L25" s="209">
        <f>Depr!K37</f>
        <v>103.22596796809104</v>
      </c>
      <c r="M25" s="209">
        <f>Depr!L37</f>
        <v>89.310085769257398</v>
      </c>
    </row>
    <row r="26" spans="1:14" s="3" customFormat="1" ht="21" customHeight="1" x14ac:dyDescent="0.25">
      <c r="A26" s="223" t="s">
        <v>64</v>
      </c>
      <c r="B26" s="209"/>
      <c r="C26" s="209">
        <f t="shared" ref="C26:H26" si="12">C22-C23-C25-C24</f>
        <v>-98.98685479985221</v>
      </c>
      <c r="D26" s="209">
        <f t="shared" si="12"/>
        <v>209.5920556562109</v>
      </c>
      <c r="E26" s="209">
        <f t="shared" si="12"/>
        <v>307.93686845261794</v>
      </c>
      <c r="F26" s="209">
        <f t="shared" si="12"/>
        <v>404.66155049541595</v>
      </c>
      <c r="G26" s="209">
        <f t="shared" si="12"/>
        <v>497.67368719507823</v>
      </c>
      <c r="H26" s="209">
        <f t="shared" si="12"/>
        <v>592.34779331646439</v>
      </c>
      <c r="I26" s="209">
        <f t="shared" ref="I26:J26" si="13">I22-I23-I25-I24</f>
        <v>684.78430554635133</v>
      </c>
      <c r="J26" s="209">
        <f t="shared" si="13"/>
        <v>778.04550991313272</v>
      </c>
      <c r="K26" s="209">
        <f t="shared" ref="K26:L26" si="14">K22-K23-K25-K24</f>
        <v>872.75886255384148</v>
      </c>
      <c r="L26" s="209">
        <f t="shared" si="14"/>
        <v>969.48309403193548</v>
      </c>
      <c r="M26" s="209">
        <f t="shared" ref="M26" si="15">M22-M23-M25-M24</f>
        <v>1069.7144293307701</v>
      </c>
    </row>
    <row r="27" spans="1:14" s="3" customFormat="1" ht="21" customHeight="1" x14ac:dyDescent="0.25">
      <c r="A27" s="223" t="s">
        <v>757</v>
      </c>
      <c r="B27" s="209"/>
      <c r="C27" s="209">
        <f>Tax!F14</f>
        <v>0</v>
      </c>
      <c r="D27" s="209">
        <f>D26*33.93%</f>
        <v>71.11458448415236</v>
      </c>
      <c r="E27" s="209">
        <f t="shared" ref="E27:M27" si="16">E26*33.93%</f>
        <v>104.48297946597326</v>
      </c>
      <c r="F27" s="209">
        <f t="shared" si="16"/>
        <v>137.30166408309464</v>
      </c>
      <c r="G27" s="209">
        <f t="shared" si="16"/>
        <v>168.86068206529004</v>
      </c>
      <c r="H27" s="209">
        <f t="shared" si="16"/>
        <v>200.98360627227638</v>
      </c>
      <c r="I27" s="209">
        <f t="shared" si="16"/>
        <v>232.34731487187699</v>
      </c>
      <c r="J27" s="209">
        <f t="shared" si="16"/>
        <v>263.99084151352594</v>
      </c>
      <c r="K27" s="209">
        <f t="shared" si="16"/>
        <v>296.12708206451839</v>
      </c>
      <c r="L27" s="209">
        <f t="shared" si="16"/>
        <v>328.94561380503569</v>
      </c>
      <c r="M27" s="209">
        <f t="shared" si="16"/>
        <v>362.95410587193032</v>
      </c>
    </row>
    <row r="28" spans="1:14" s="3" customFormat="1" ht="21" customHeight="1" x14ac:dyDescent="0.25">
      <c r="A28" s="223" t="s">
        <v>65</v>
      </c>
      <c r="B28" s="212"/>
      <c r="C28" s="212">
        <f t="shared" ref="C28:H28" si="17">C26-C27</f>
        <v>-98.98685479985221</v>
      </c>
      <c r="D28" s="212">
        <f t="shared" si="17"/>
        <v>138.47747117205853</v>
      </c>
      <c r="E28" s="212">
        <f t="shared" si="17"/>
        <v>203.4538889866447</v>
      </c>
      <c r="F28" s="212">
        <f t="shared" si="17"/>
        <v>267.35988641232132</v>
      </c>
      <c r="G28" s="212">
        <f t="shared" si="17"/>
        <v>328.81300512978817</v>
      </c>
      <c r="H28" s="212">
        <f t="shared" si="17"/>
        <v>391.36418704418804</v>
      </c>
      <c r="I28" s="212">
        <f t="shared" ref="I28:J28" si="18">I26-I27</f>
        <v>452.43699067447437</v>
      </c>
      <c r="J28" s="212">
        <f t="shared" si="18"/>
        <v>514.05466839960673</v>
      </c>
      <c r="K28" s="212">
        <f t="shared" ref="K28:L28" si="19">K26-K27</f>
        <v>576.63178048932309</v>
      </c>
      <c r="L28" s="212">
        <f t="shared" si="19"/>
        <v>640.53748022689979</v>
      </c>
      <c r="M28" s="212">
        <f t="shared" ref="M28" si="20">M26-M27</f>
        <v>706.76032345883982</v>
      </c>
    </row>
    <row r="29" spans="1:14" s="3" customFormat="1" ht="21" customHeight="1" x14ac:dyDescent="0.25">
      <c r="A29" s="223"/>
      <c r="B29" s="209"/>
      <c r="C29" s="216">
        <f>C27/C26</f>
        <v>0</v>
      </c>
      <c r="D29" s="216">
        <f t="shared" ref="D29:M29" si="21">D27/D26</f>
        <v>0.33929999999999999</v>
      </c>
      <c r="E29" s="216">
        <f t="shared" si="21"/>
        <v>0.33929999999999999</v>
      </c>
      <c r="F29" s="216">
        <f t="shared" si="21"/>
        <v>0.33929999999999999</v>
      </c>
      <c r="G29" s="216">
        <f t="shared" si="21"/>
        <v>0.33929999999999999</v>
      </c>
      <c r="H29" s="216">
        <f t="shared" si="21"/>
        <v>0.33929999999999999</v>
      </c>
      <c r="I29" s="216">
        <f t="shared" si="21"/>
        <v>0.33929999999999999</v>
      </c>
      <c r="J29" s="216">
        <f t="shared" si="21"/>
        <v>0.33929999999999999</v>
      </c>
      <c r="K29" s="216">
        <f t="shared" si="21"/>
        <v>0.33929999999999999</v>
      </c>
      <c r="L29" s="216">
        <f t="shared" si="21"/>
        <v>0.33929999999999999</v>
      </c>
      <c r="M29" s="216">
        <f t="shared" si="21"/>
        <v>0.33929999999999999</v>
      </c>
    </row>
    <row r="30" spans="1:14" s="3" customFormat="1" ht="21" customHeight="1" x14ac:dyDescent="0.25">
      <c r="A30" s="223" t="s">
        <v>66</v>
      </c>
      <c r="B30" s="209"/>
      <c r="C30" s="209">
        <f t="shared" ref="C30:H30" si="22">C25</f>
        <v>391.22459380665219</v>
      </c>
      <c r="D30" s="209">
        <f t="shared" si="22"/>
        <v>336.58822035498912</v>
      </c>
      <c r="E30" s="209">
        <f t="shared" si="22"/>
        <v>289.74257135914212</v>
      </c>
      <c r="F30" s="209">
        <f t="shared" si="22"/>
        <v>249.55951130693194</v>
      </c>
      <c r="G30" s="209">
        <f t="shared" si="22"/>
        <v>215.07607769738723</v>
      </c>
      <c r="H30" s="209">
        <f t="shared" si="22"/>
        <v>185.47010982062469</v>
      </c>
      <c r="I30" s="209">
        <f t="shared" ref="I30:J30" si="23">I25</f>
        <v>160.03949274759196</v>
      </c>
      <c r="J30" s="209">
        <f t="shared" si="23"/>
        <v>138.18447829550809</v>
      </c>
      <c r="K30" s="209">
        <f t="shared" ref="K30:L30" si="24">K25</f>
        <v>119.39262506523126</v>
      </c>
      <c r="L30" s="209">
        <f t="shared" si="24"/>
        <v>103.22596796809104</v>
      </c>
      <c r="M30" s="209">
        <f t="shared" ref="M30" si="25">M25</f>
        <v>89.310085769257398</v>
      </c>
    </row>
    <row r="31" spans="1:14" s="3" customFormat="1" ht="21" customHeight="1" x14ac:dyDescent="0.25">
      <c r="A31" s="223" t="s">
        <v>512</v>
      </c>
      <c r="B31" s="209"/>
      <c r="C31" s="209">
        <f t="shared" ref="C31:H31" si="26">C28+C30</f>
        <v>292.23773900679998</v>
      </c>
      <c r="D31" s="209">
        <f t="shared" si="26"/>
        <v>475.06569152704765</v>
      </c>
      <c r="E31" s="209">
        <f t="shared" si="26"/>
        <v>493.19646034578682</v>
      </c>
      <c r="F31" s="209">
        <f t="shared" si="26"/>
        <v>516.91939771925331</v>
      </c>
      <c r="G31" s="209">
        <f t="shared" si="26"/>
        <v>543.88908282717534</v>
      </c>
      <c r="H31" s="209">
        <f t="shared" si="26"/>
        <v>576.8342968648127</v>
      </c>
      <c r="I31" s="209">
        <f t="shared" ref="I31:J31" si="27">I28+I30</f>
        <v>612.47648342206639</v>
      </c>
      <c r="J31" s="209">
        <f t="shared" si="27"/>
        <v>652.23914669511487</v>
      </c>
      <c r="K31" s="209">
        <f t="shared" ref="K31:L31" si="28">K28+K30</f>
        <v>696.02440555455439</v>
      </c>
      <c r="L31" s="209">
        <f t="shared" si="28"/>
        <v>743.76344819499081</v>
      </c>
      <c r="M31" s="209">
        <f t="shared" ref="M31" si="29">M28+M30</f>
        <v>796.07040922809722</v>
      </c>
    </row>
    <row r="32" spans="1:14" s="3" customFormat="1" ht="21" customHeight="1" x14ac:dyDescent="0.25">
      <c r="A32" s="223" t="s">
        <v>67</v>
      </c>
      <c r="B32" s="209"/>
      <c r="C32" s="209">
        <f>'Cash Flow'!C16</f>
        <v>20</v>
      </c>
      <c r="D32" s="209">
        <f>'Cash Flow'!D16</f>
        <v>100</v>
      </c>
      <c r="E32" s="209">
        <f>'Cash Flow'!E16</f>
        <v>160</v>
      </c>
      <c r="F32" s="209">
        <f>'Cash Flow'!F16</f>
        <v>160</v>
      </c>
      <c r="G32" s="209">
        <f>'Cash Flow'!G16</f>
        <v>160</v>
      </c>
      <c r="H32" s="209">
        <f>'Cash Flow'!H16</f>
        <v>200</v>
      </c>
      <c r="I32" s="209">
        <f>'Cash Flow'!I16</f>
        <v>200</v>
      </c>
      <c r="J32" s="209">
        <f>'Cash Flow'!J16</f>
        <v>240</v>
      </c>
      <c r="K32" s="209">
        <f>'Cash Flow'!K16</f>
        <v>240</v>
      </c>
      <c r="L32" s="209">
        <f>'Cash Flow'!L16</f>
        <v>280</v>
      </c>
      <c r="M32" s="209">
        <f>'Cash Flow'!M16</f>
        <v>239.99999999999977</v>
      </c>
    </row>
    <row r="33" spans="1:13" s="3" customFormat="1" ht="21" customHeight="1" x14ac:dyDescent="0.25">
      <c r="A33" s="223" t="s">
        <v>513</v>
      </c>
      <c r="B33" s="209"/>
      <c r="C33" s="209">
        <f t="shared" ref="C33:H33" si="30">C31-C32</f>
        <v>272.23773900679998</v>
      </c>
      <c r="D33" s="209">
        <f t="shared" si="30"/>
        <v>375.06569152704765</v>
      </c>
      <c r="E33" s="209">
        <f t="shared" si="30"/>
        <v>333.19646034578682</v>
      </c>
      <c r="F33" s="209">
        <f t="shared" si="30"/>
        <v>356.91939771925331</v>
      </c>
      <c r="G33" s="209">
        <f t="shared" si="30"/>
        <v>383.88908282717534</v>
      </c>
      <c r="H33" s="209">
        <f t="shared" si="30"/>
        <v>376.8342968648127</v>
      </c>
      <c r="I33" s="209">
        <f t="shared" ref="I33:J33" si="31">I31-I32</f>
        <v>412.47648342206639</v>
      </c>
      <c r="J33" s="209">
        <f t="shared" si="31"/>
        <v>412.23914669511487</v>
      </c>
      <c r="K33" s="209">
        <f t="shared" ref="K33:L33" si="32">K31-K32</f>
        <v>456.02440555455439</v>
      </c>
      <c r="L33" s="209">
        <f t="shared" si="32"/>
        <v>463.76344819499081</v>
      </c>
      <c r="M33" s="209">
        <f t="shared" ref="M33" si="33">M31-M32</f>
        <v>556.07040922809745</v>
      </c>
    </row>
    <row r="34" spans="1:13" s="3" customFormat="1" ht="21" customHeight="1" x14ac:dyDescent="0.25">
      <c r="A34" s="223" t="s">
        <v>68</v>
      </c>
      <c r="B34" s="212"/>
      <c r="C34" s="212">
        <f>B34+C33</f>
        <v>272.23773900679998</v>
      </c>
      <c r="D34" s="212">
        <f t="shared" ref="D34:M34" si="34">C34+D33</f>
        <v>647.30343053384763</v>
      </c>
      <c r="E34" s="212">
        <f t="shared" si="34"/>
        <v>980.49989087963445</v>
      </c>
      <c r="F34" s="212">
        <f t="shared" si="34"/>
        <v>1337.4192885988878</v>
      </c>
      <c r="G34" s="212">
        <f t="shared" si="34"/>
        <v>1721.3083714260631</v>
      </c>
      <c r="H34" s="212">
        <f t="shared" si="34"/>
        <v>2098.1426682908759</v>
      </c>
      <c r="I34" s="212">
        <f t="shared" si="34"/>
        <v>2510.6191517129423</v>
      </c>
      <c r="J34" s="212">
        <f t="shared" si="34"/>
        <v>2922.8582984080572</v>
      </c>
      <c r="K34" s="212">
        <f t="shared" si="34"/>
        <v>3378.8827039626117</v>
      </c>
      <c r="L34" s="212">
        <f t="shared" si="34"/>
        <v>3842.6461521576025</v>
      </c>
      <c r="M34" s="212">
        <f t="shared" si="34"/>
        <v>4398.7165613856996</v>
      </c>
    </row>
    <row r="35" spans="1:13" s="3" customFormat="1" ht="21" customHeight="1" x14ac:dyDescent="0.25">
      <c r="A35" s="223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</row>
    <row r="36" spans="1:13" x14ac:dyDescent="0.25">
      <c r="A36" s="225"/>
      <c r="B36" s="218"/>
      <c r="C36" s="218">
        <f t="shared" ref="C36:M36" si="35">C22/C9</f>
        <v>0.48639242588454573</v>
      </c>
      <c r="D36" s="218">
        <f t="shared" si="35"/>
        <v>0.48971816668205803</v>
      </c>
      <c r="E36" s="218">
        <f t="shared" si="35"/>
        <v>0.48980794188069299</v>
      </c>
      <c r="F36" s="218">
        <f t="shared" si="35"/>
        <v>0.48989344206986907</v>
      </c>
      <c r="G36" s="218">
        <f t="shared" si="35"/>
        <v>0.48997487082146546</v>
      </c>
      <c r="H36" s="218">
        <f t="shared" si="35"/>
        <v>0.49130959014827302</v>
      </c>
      <c r="I36" s="218">
        <f t="shared" si="35"/>
        <v>0.49132358327708819</v>
      </c>
      <c r="J36" s="218">
        <f t="shared" si="35"/>
        <v>0.49133691006643609</v>
      </c>
      <c r="K36" s="218">
        <f t="shared" si="35"/>
        <v>0.49134960224676727</v>
      </c>
      <c r="L36" s="218">
        <f t="shared" si="35"/>
        <v>0.49136169003755897</v>
      </c>
      <c r="M36" s="218">
        <f t="shared" si="35"/>
        <v>0.49135017785585261</v>
      </c>
    </row>
    <row r="37" spans="1:13" x14ac:dyDescent="0.25">
      <c r="A37" s="225"/>
      <c r="B37" s="218"/>
      <c r="C37" s="218">
        <f t="shared" ref="C37:M37" si="36">C28/C9</f>
        <v>-0.10588032575878512</v>
      </c>
      <c r="D37" s="218">
        <f t="shared" si="36"/>
        <v>8.9930655218650513E-2</v>
      </c>
      <c r="E37" s="218">
        <f t="shared" si="36"/>
        <v>0.12583612329888735</v>
      </c>
      <c r="F37" s="218">
        <f t="shared" si="36"/>
        <v>0.15748757055715504</v>
      </c>
      <c r="G37" s="218">
        <f t="shared" si="36"/>
        <v>0.18446319336108591</v>
      </c>
      <c r="H37" s="218">
        <f t="shared" si="36"/>
        <v>0.20909927116793559</v>
      </c>
      <c r="I37" s="218">
        <f t="shared" si="36"/>
        <v>0.23021851240997954</v>
      </c>
      <c r="J37" s="218">
        <f t="shared" si="36"/>
        <v>0.24911630105545923</v>
      </c>
      <c r="K37" s="218">
        <f t="shared" si="36"/>
        <v>0.2661350742801632</v>
      </c>
      <c r="L37" s="218">
        <f t="shared" si="36"/>
        <v>0.28155211109849337</v>
      </c>
      <c r="M37" s="218">
        <f t="shared" si="36"/>
        <v>0.29586739150912761</v>
      </c>
    </row>
    <row r="38" spans="1:13" x14ac:dyDescent="0.25">
      <c r="A38" s="225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</row>
    <row r="39" spans="1:13" x14ac:dyDescent="0.25">
      <c r="A39" s="225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</row>
    <row r="40" spans="1:13" x14ac:dyDescent="0.25">
      <c r="A40" s="225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</row>
    <row r="41" spans="1:13" x14ac:dyDescent="0.25">
      <c r="A41" s="225"/>
      <c r="B41" s="219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  <row r="42" spans="1:13" x14ac:dyDescent="0.25">
      <c r="A42" s="225" t="str">
        <f>A9</f>
        <v>Gross Annual Sale</v>
      </c>
      <c r="B42" s="219">
        <f t="shared" ref="B42:M42" si="37">B9</f>
        <v>0</v>
      </c>
      <c r="C42" s="219">
        <f t="shared" si="37"/>
        <v>934.89374999999995</v>
      </c>
      <c r="D42" s="219">
        <f t="shared" si="37"/>
        <v>1539.825</v>
      </c>
      <c r="E42" s="219">
        <f t="shared" si="37"/>
        <v>1616.8162500000001</v>
      </c>
      <c r="F42" s="219">
        <f t="shared" si="37"/>
        <v>1697.6570624999999</v>
      </c>
      <c r="G42" s="219">
        <f t="shared" si="37"/>
        <v>1782.5399156250003</v>
      </c>
      <c r="H42" s="219">
        <f t="shared" si="37"/>
        <v>1871.6669114062506</v>
      </c>
      <c r="I42" s="219">
        <f t="shared" si="37"/>
        <v>1965.2502569765632</v>
      </c>
      <c r="J42" s="219">
        <f t="shared" si="37"/>
        <v>2063.5127698253914</v>
      </c>
      <c r="K42" s="219">
        <f t="shared" si="37"/>
        <v>2166.688408316661</v>
      </c>
      <c r="L42" s="219">
        <f t="shared" si="37"/>
        <v>2275.022828732494</v>
      </c>
      <c r="M42" s="219">
        <f t="shared" si="37"/>
        <v>2388.7739701691189</v>
      </c>
    </row>
    <row r="43" spans="1:13" x14ac:dyDescent="0.25">
      <c r="A43" s="225" t="str">
        <f>A22</f>
        <v>EBIDTA</v>
      </c>
      <c r="B43" s="219">
        <f t="shared" ref="B43:M43" si="38">B22</f>
        <v>0</v>
      </c>
      <c r="C43" s="219">
        <f t="shared" si="38"/>
        <v>454.7252390068</v>
      </c>
      <c r="D43" s="219">
        <f t="shared" si="38"/>
        <v>754.0802760112</v>
      </c>
      <c r="E43" s="219">
        <f t="shared" si="38"/>
        <v>791.92943981176006</v>
      </c>
      <c r="F43" s="219">
        <f t="shared" si="38"/>
        <v>831.67106180234782</v>
      </c>
      <c r="G43" s="219">
        <f t="shared" si="38"/>
        <v>873.39976489246544</v>
      </c>
      <c r="H43" s="219">
        <f t="shared" si="38"/>
        <v>919.56790313708905</v>
      </c>
      <c r="I43" s="219">
        <f t="shared" si="38"/>
        <v>965.57379829394336</v>
      </c>
      <c r="J43" s="219">
        <f t="shared" si="38"/>
        <v>1013.8799882086407</v>
      </c>
      <c r="K43" s="219">
        <f t="shared" si="38"/>
        <v>1064.6014876190727</v>
      </c>
      <c r="L43" s="219">
        <f t="shared" si="38"/>
        <v>1117.8590620000264</v>
      </c>
      <c r="M43" s="219">
        <f t="shared" si="38"/>
        <v>1173.7245151000277</v>
      </c>
    </row>
    <row r="44" spans="1:13" x14ac:dyDescent="0.25">
      <c r="A44" s="225" t="s">
        <v>758</v>
      </c>
      <c r="B44" s="219">
        <f>B25</f>
        <v>0</v>
      </c>
      <c r="C44" s="219">
        <f t="shared" ref="C44:L44" si="39">C25</f>
        <v>391.22459380665219</v>
      </c>
      <c r="D44" s="219">
        <f t="shared" si="39"/>
        <v>336.58822035498912</v>
      </c>
      <c r="E44" s="219">
        <f t="shared" si="39"/>
        <v>289.74257135914212</v>
      </c>
      <c r="F44" s="219">
        <f t="shared" si="39"/>
        <v>249.55951130693194</v>
      </c>
      <c r="G44" s="219">
        <f t="shared" si="39"/>
        <v>215.07607769738723</v>
      </c>
      <c r="H44" s="219">
        <f t="shared" si="39"/>
        <v>185.47010982062469</v>
      </c>
      <c r="I44" s="219">
        <f t="shared" si="39"/>
        <v>160.03949274759196</v>
      </c>
      <c r="J44" s="219">
        <f t="shared" si="39"/>
        <v>138.18447829550809</v>
      </c>
      <c r="K44" s="219">
        <f t="shared" si="39"/>
        <v>119.39262506523126</v>
      </c>
      <c r="L44" s="219">
        <f t="shared" si="39"/>
        <v>103.22596796809104</v>
      </c>
      <c r="M44" s="219">
        <f>M25</f>
        <v>89.310085769257398</v>
      </c>
    </row>
    <row r="45" spans="1:13" x14ac:dyDescent="0.25">
      <c r="A45" s="225" t="s">
        <v>759</v>
      </c>
      <c r="B45" s="219">
        <f>B43-B44</f>
        <v>0</v>
      </c>
      <c r="C45" s="219">
        <f t="shared" ref="C45:M45" si="40">C43-C44</f>
        <v>63.500645200147801</v>
      </c>
      <c r="D45" s="219">
        <f t="shared" si="40"/>
        <v>417.49205565621088</v>
      </c>
      <c r="E45" s="219">
        <f t="shared" si="40"/>
        <v>502.18686845261794</v>
      </c>
      <c r="F45" s="219">
        <f t="shared" si="40"/>
        <v>582.11155049541594</v>
      </c>
      <c r="G45" s="219">
        <f t="shared" si="40"/>
        <v>658.32368719507826</v>
      </c>
      <c r="H45" s="219">
        <f t="shared" si="40"/>
        <v>734.09779331646439</v>
      </c>
      <c r="I45" s="219">
        <f t="shared" si="40"/>
        <v>805.53430554635133</v>
      </c>
      <c r="J45" s="219">
        <f t="shared" si="40"/>
        <v>875.69550991313258</v>
      </c>
      <c r="K45" s="219">
        <f t="shared" si="40"/>
        <v>945.20886255384141</v>
      </c>
      <c r="L45" s="219">
        <f t="shared" si="40"/>
        <v>1014.6330940319353</v>
      </c>
      <c r="M45" s="219">
        <f t="shared" si="40"/>
        <v>1084.4144293307704</v>
      </c>
    </row>
    <row r="46" spans="1:13" x14ac:dyDescent="0.25">
      <c r="A46" s="225" t="str">
        <f>A28</f>
        <v>PAT</v>
      </c>
      <c r="B46" s="219">
        <f t="shared" ref="B46:M46" si="41">B28</f>
        <v>0</v>
      </c>
      <c r="C46" s="219">
        <f t="shared" si="41"/>
        <v>-98.98685479985221</v>
      </c>
      <c r="D46" s="219">
        <f t="shared" si="41"/>
        <v>138.47747117205853</v>
      </c>
      <c r="E46" s="219">
        <f t="shared" si="41"/>
        <v>203.4538889866447</v>
      </c>
      <c r="F46" s="219">
        <f t="shared" si="41"/>
        <v>267.35988641232132</v>
      </c>
      <c r="G46" s="219">
        <f t="shared" si="41"/>
        <v>328.81300512978817</v>
      </c>
      <c r="H46" s="219">
        <f t="shared" si="41"/>
        <v>391.36418704418804</v>
      </c>
      <c r="I46" s="219">
        <f t="shared" si="41"/>
        <v>452.43699067447437</v>
      </c>
      <c r="J46" s="219">
        <f t="shared" si="41"/>
        <v>514.05466839960673</v>
      </c>
      <c r="K46" s="219">
        <f t="shared" si="41"/>
        <v>576.63178048932309</v>
      </c>
      <c r="L46" s="219">
        <f t="shared" si="41"/>
        <v>640.53748022689979</v>
      </c>
      <c r="M46" s="219">
        <f t="shared" si="41"/>
        <v>706.76032345883982</v>
      </c>
    </row>
    <row r="47" spans="1:13" x14ac:dyDescent="0.25">
      <c r="A47" s="226" t="s">
        <v>656</v>
      </c>
      <c r="B47" s="226">
        <v>0</v>
      </c>
      <c r="C47" s="226">
        <v>9</v>
      </c>
      <c r="D47" s="226">
        <v>12</v>
      </c>
      <c r="E47" s="226">
        <v>12</v>
      </c>
      <c r="F47" s="226">
        <v>12</v>
      </c>
      <c r="G47" s="226">
        <v>12</v>
      </c>
      <c r="H47" s="226">
        <v>12</v>
      </c>
      <c r="I47" s="226">
        <v>12</v>
      </c>
      <c r="J47" s="226">
        <v>12</v>
      </c>
      <c r="K47" s="226">
        <v>12</v>
      </c>
      <c r="L47" s="226">
        <v>12</v>
      </c>
      <c r="M47" s="226">
        <v>12</v>
      </c>
    </row>
    <row r="48" spans="1:13" x14ac:dyDescent="0.25">
      <c r="A48" s="225" t="s">
        <v>763</v>
      </c>
      <c r="B48" s="217"/>
      <c r="C48" s="220"/>
      <c r="D48" s="220">
        <f t="shared" ref="D48:M48" si="42">D42/C42-1</f>
        <v>0.64705882352941191</v>
      </c>
      <c r="E48" s="220">
        <f t="shared" si="42"/>
        <v>5.0000000000000044E-2</v>
      </c>
      <c r="F48" s="220">
        <f t="shared" si="42"/>
        <v>4.9999999999999822E-2</v>
      </c>
      <c r="G48" s="220">
        <f t="shared" si="42"/>
        <v>5.0000000000000266E-2</v>
      </c>
      <c r="H48" s="220">
        <f t="shared" si="42"/>
        <v>5.0000000000000266E-2</v>
      </c>
      <c r="I48" s="220">
        <f t="shared" si="42"/>
        <v>5.0000000000000044E-2</v>
      </c>
      <c r="J48" s="220">
        <f t="shared" si="42"/>
        <v>5.0000000000000044E-2</v>
      </c>
      <c r="K48" s="220">
        <f t="shared" si="42"/>
        <v>5.0000000000000044E-2</v>
      </c>
      <c r="L48" s="220">
        <f t="shared" si="42"/>
        <v>5.0000000000000044E-2</v>
      </c>
      <c r="M48" s="220">
        <f t="shared" si="42"/>
        <v>5.0000000000000044E-2</v>
      </c>
    </row>
    <row r="49" spans="1:13" x14ac:dyDescent="0.25">
      <c r="A49" s="225" t="s">
        <v>760</v>
      </c>
      <c r="B49" s="217"/>
      <c r="C49" s="220">
        <f>C43/C42</f>
        <v>0.48639242588454573</v>
      </c>
      <c r="D49" s="220">
        <f t="shared" ref="D49:M49" si="43">D43/D42</f>
        <v>0.48971816668205803</v>
      </c>
      <c r="E49" s="220">
        <f t="shared" si="43"/>
        <v>0.48980794188069299</v>
      </c>
      <c r="F49" s="220">
        <f t="shared" si="43"/>
        <v>0.48989344206986907</v>
      </c>
      <c r="G49" s="220">
        <f t="shared" si="43"/>
        <v>0.48997487082146546</v>
      </c>
      <c r="H49" s="220">
        <f t="shared" si="43"/>
        <v>0.49130959014827302</v>
      </c>
      <c r="I49" s="220">
        <f t="shared" si="43"/>
        <v>0.49132358327708819</v>
      </c>
      <c r="J49" s="220">
        <f t="shared" si="43"/>
        <v>0.49133691006643609</v>
      </c>
      <c r="K49" s="220">
        <f t="shared" si="43"/>
        <v>0.49134960224676727</v>
      </c>
      <c r="L49" s="220">
        <f t="shared" si="43"/>
        <v>0.49136169003755897</v>
      </c>
      <c r="M49" s="220">
        <f t="shared" si="43"/>
        <v>0.49135017785585261</v>
      </c>
    </row>
    <row r="50" spans="1:13" x14ac:dyDescent="0.25">
      <c r="A50" s="225" t="s">
        <v>761</v>
      </c>
      <c r="B50" s="217"/>
      <c r="C50" s="220">
        <f>C45/C42</f>
        <v>6.7922847061655731E-2</v>
      </c>
      <c r="D50" s="220">
        <f t="shared" ref="D50:M50" si="44">D45/D42</f>
        <v>0.27112954761496333</v>
      </c>
      <c r="E50" s="220">
        <f t="shared" si="44"/>
        <v>0.31060231393185089</v>
      </c>
      <c r="F50" s="220">
        <f t="shared" si="44"/>
        <v>0.34289113116767417</v>
      </c>
      <c r="G50" s="220">
        <f t="shared" si="44"/>
        <v>0.36931778156802425</v>
      </c>
      <c r="H50" s="220">
        <f t="shared" si="44"/>
        <v>0.39221604487569334</v>
      </c>
      <c r="I50" s="220">
        <f t="shared" si="44"/>
        <v>0.40988892009388395</v>
      </c>
      <c r="J50" s="220">
        <f t="shared" si="44"/>
        <v>0.42437125794342984</v>
      </c>
      <c r="K50" s="220">
        <f t="shared" si="44"/>
        <v>0.4362458666994905</v>
      </c>
      <c r="L50" s="220">
        <f t="shared" si="44"/>
        <v>0.44598809348969387</v>
      </c>
      <c r="M50" s="220">
        <f t="shared" si="44"/>
        <v>0.45396276201636471</v>
      </c>
    </row>
    <row r="51" spans="1:13" x14ac:dyDescent="0.25">
      <c r="A51" s="225" t="s">
        <v>762</v>
      </c>
      <c r="B51" s="217"/>
      <c r="C51" s="220">
        <f>C46/C42</f>
        <v>-0.10588032575878512</v>
      </c>
      <c r="D51" s="220">
        <f t="shared" ref="D51:M51" si="45">D46/D42</f>
        <v>8.9930655218650513E-2</v>
      </c>
      <c r="E51" s="220">
        <f t="shared" si="45"/>
        <v>0.12583612329888735</v>
      </c>
      <c r="F51" s="220">
        <f t="shared" si="45"/>
        <v>0.15748757055715504</v>
      </c>
      <c r="G51" s="220">
        <f t="shared" si="45"/>
        <v>0.18446319336108591</v>
      </c>
      <c r="H51" s="220">
        <f t="shared" si="45"/>
        <v>0.20909927116793559</v>
      </c>
      <c r="I51" s="220">
        <f t="shared" si="45"/>
        <v>0.23021851240997954</v>
      </c>
      <c r="J51" s="220">
        <f t="shared" si="45"/>
        <v>0.24911630105545923</v>
      </c>
      <c r="K51" s="220">
        <f t="shared" si="45"/>
        <v>0.2661350742801632</v>
      </c>
      <c r="L51" s="220">
        <f t="shared" si="45"/>
        <v>0.28155211109849337</v>
      </c>
      <c r="M51" s="220">
        <f t="shared" si="45"/>
        <v>0.29586739150912761</v>
      </c>
    </row>
  </sheetData>
  <customSheetViews>
    <customSheetView guid="{22475485-DA09-46DB-978D-BB94CE1E5597}" hiddenRows="1">
      <pane xSplit="1" ySplit="4" topLeftCell="B5" activePane="bottomRight" state="frozen"/>
      <selection pane="bottomRight" activeCell="D3" sqref="D3"/>
      <pageMargins left="0.7" right="0.7" top="0.75" bottom="0.75" header="0.3" footer="0.3"/>
      <pageSetup paperSize="9" orientation="landscape" verticalDpi="300" r:id="rId1"/>
    </customSheetView>
  </customSheetViews>
  <mergeCells count="1">
    <mergeCell ref="A2:M2"/>
  </mergeCells>
  <pageMargins left="0.7" right="0.7" top="0.75" bottom="0.75" header="0.3" footer="0.3"/>
  <pageSetup paperSize="9" orientation="landscape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0"/>
  <sheetViews>
    <sheetView zoomScale="99" zoomScaleNormal="99" workbookViewId="0">
      <pane xSplit="1" ySplit="2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B16" sqref="B16"/>
    </sheetView>
  </sheetViews>
  <sheetFormatPr defaultColWidth="32.28515625" defaultRowHeight="15" x14ac:dyDescent="0.25"/>
  <cols>
    <col min="1" max="1" width="23.85546875" style="238" customWidth="1"/>
    <col min="2" max="13" width="11.7109375" style="206" customWidth="1"/>
    <col min="14" max="16384" width="32.28515625" style="206"/>
  </cols>
  <sheetData>
    <row r="1" spans="1:13" s="229" customFormat="1" ht="26.1" customHeight="1" x14ac:dyDescent="0.25">
      <c r="A1" s="407" t="s">
        <v>507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</row>
    <row r="2" spans="1:13" s="230" customFormat="1" ht="21" customHeight="1" x14ac:dyDescent="0.25">
      <c r="A2" s="234" t="s">
        <v>452</v>
      </c>
      <c r="B2" s="239">
        <v>2024</v>
      </c>
      <c r="C2" s="239">
        <f t="shared" ref="C2:M2" si="0">B2+1</f>
        <v>2025</v>
      </c>
      <c r="D2" s="239">
        <f t="shared" si="0"/>
        <v>2026</v>
      </c>
      <c r="E2" s="239">
        <f t="shared" si="0"/>
        <v>2027</v>
      </c>
      <c r="F2" s="239">
        <f t="shared" si="0"/>
        <v>2028</v>
      </c>
      <c r="G2" s="239">
        <f t="shared" si="0"/>
        <v>2029</v>
      </c>
      <c r="H2" s="239">
        <f t="shared" si="0"/>
        <v>2030</v>
      </c>
      <c r="I2" s="239">
        <f t="shared" si="0"/>
        <v>2031</v>
      </c>
      <c r="J2" s="239">
        <f t="shared" si="0"/>
        <v>2032</v>
      </c>
      <c r="K2" s="239">
        <f t="shared" si="0"/>
        <v>2033</v>
      </c>
      <c r="L2" s="239">
        <f t="shared" si="0"/>
        <v>2034</v>
      </c>
      <c r="M2" s="239">
        <f t="shared" si="0"/>
        <v>2035</v>
      </c>
    </row>
    <row r="3" spans="1:13" s="230" customFormat="1" ht="21" customHeight="1" x14ac:dyDescent="0.25">
      <c r="A3" s="235" t="s">
        <v>764</v>
      </c>
      <c r="B3" s="232" t="s">
        <v>654</v>
      </c>
      <c r="C3" s="233" t="s">
        <v>734</v>
      </c>
      <c r="D3" s="232" t="s">
        <v>655</v>
      </c>
      <c r="E3" s="232" t="s">
        <v>655</v>
      </c>
      <c r="F3" s="232" t="s">
        <v>655</v>
      </c>
      <c r="G3" s="232" t="s">
        <v>655</v>
      </c>
      <c r="H3" s="232" t="s">
        <v>655</v>
      </c>
      <c r="I3" s="232" t="s">
        <v>655</v>
      </c>
      <c r="J3" s="232" t="s">
        <v>655</v>
      </c>
      <c r="K3" s="232" t="s">
        <v>655</v>
      </c>
      <c r="L3" s="232" t="s">
        <v>655</v>
      </c>
      <c r="M3" s="232" t="s">
        <v>655</v>
      </c>
    </row>
    <row r="4" spans="1:13" s="229" customFormat="1" ht="21" customHeight="1" x14ac:dyDescent="0.25">
      <c r="A4" s="200" t="s">
        <v>42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5" spans="1:13" s="229" customFormat="1" ht="21" customHeight="1" x14ac:dyDescent="0.25">
      <c r="A5" s="202" t="s">
        <v>721</v>
      </c>
      <c r="B5" s="201">
        <f>('CoP-MoF'!C15)/A</f>
        <v>890</v>
      </c>
      <c r="C5" s="201">
        <f t="shared" ref="C5:M5" si="1">B5</f>
        <v>890</v>
      </c>
      <c r="D5" s="201">
        <f t="shared" si="1"/>
        <v>890</v>
      </c>
      <c r="E5" s="201">
        <f t="shared" si="1"/>
        <v>890</v>
      </c>
      <c r="F5" s="201">
        <f t="shared" si="1"/>
        <v>890</v>
      </c>
      <c r="G5" s="201">
        <f t="shared" si="1"/>
        <v>890</v>
      </c>
      <c r="H5" s="201">
        <f t="shared" si="1"/>
        <v>890</v>
      </c>
      <c r="I5" s="201">
        <f t="shared" si="1"/>
        <v>890</v>
      </c>
      <c r="J5" s="201">
        <f t="shared" si="1"/>
        <v>890</v>
      </c>
      <c r="K5" s="201">
        <f t="shared" si="1"/>
        <v>890</v>
      </c>
      <c r="L5" s="201">
        <f t="shared" si="1"/>
        <v>890</v>
      </c>
      <c r="M5" s="201">
        <f t="shared" si="1"/>
        <v>890</v>
      </c>
    </row>
    <row r="6" spans="1:13" s="229" customFormat="1" ht="21" customHeight="1" x14ac:dyDescent="0.25">
      <c r="A6" s="202" t="s">
        <v>495</v>
      </c>
      <c r="B6" s="201">
        <f>'Cash Flow'!B5+'Cash Flow'!B12</f>
        <v>0</v>
      </c>
      <c r="C6" s="201">
        <f>B6+'Cash Flow'!C5+'Cash Flow'!C12</f>
        <v>1.0131452001477896</v>
      </c>
      <c r="D6" s="201">
        <f>C6+'Cash Flow'!D5+'Cash Flow'!D12</f>
        <v>239.49061637220632</v>
      </c>
      <c r="E6" s="201">
        <f>D6+'Cash Flow'!E5+'Cash Flow'!E12</f>
        <v>542.94450535885107</v>
      </c>
      <c r="F6" s="201">
        <f>E6+'Cash Flow'!F5+'Cash Flow'!F12</f>
        <v>910.30439177117239</v>
      </c>
      <c r="G6" s="201">
        <f>F6+'Cash Flow'!G5+'Cash Flow'!G12</f>
        <v>1239.1173969009606</v>
      </c>
      <c r="H6" s="201">
        <f>G6+'Cash Flow'!H5+'Cash Flow'!H12</f>
        <v>1630.4815839451485</v>
      </c>
      <c r="I6" s="201">
        <f>H6+'Cash Flow'!I5+'Cash Flow'!I12</f>
        <v>2082.9185746196226</v>
      </c>
      <c r="J6" s="201">
        <f>I6+'Cash Flow'!J5+'Cash Flow'!J12</f>
        <v>2596.9732430192294</v>
      </c>
      <c r="K6" s="201">
        <f>J6+'Cash Flow'!K5+'Cash Flow'!K12</f>
        <v>3173.6050235085522</v>
      </c>
      <c r="L6" s="201">
        <f>K6+'Cash Flow'!L5+'Cash Flow'!L12</f>
        <v>3814.142503735452</v>
      </c>
      <c r="M6" s="201">
        <f>L6+'Cash Flow'!M5+'Cash Flow'!M12</f>
        <v>4520.9028271942916</v>
      </c>
    </row>
    <row r="7" spans="1:13" s="229" customFormat="1" ht="21" customHeight="1" x14ac:dyDescent="0.25">
      <c r="A7" s="202" t="s">
        <v>494</v>
      </c>
      <c r="B7" s="201">
        <f>'Cash Flow'!B7-B10</f>
        <v>1980</v>
      </c>
      <c r="C7" s="201">
        <f>B7+'Cash Flow'!C7-C10</f>
        <v>1880</v>
      </c>
      <c r="D7" s="201">
        <f>C7+'Cash Flow'!D7-D10</f>
        <v>1720</v>
      </c>
      <c r="E7" s="201">
        <f>D7+'Cash Flow'!E7-E10</f>
        <v>1560</v>
      </c>
      <c r="F7" s="201">
        <f>E7+'Cash Flow'!F7-F10</f>
        <v>1400</v>
      </c>
      <c r="G7" s="201">
        <f>F7+'Cash Flow'!G7-G10</f>
        <v>1200</v>
      </c>
      <c r="H7" s="201">
        <f>G7+'Cash Flow'!H7-H10</f>
        <v>1000</v>
      </c>
      <c r="I7" s="201">
        <f>H7+'Cash Flow'!I7-I10</f>
        <v>760</v>
      </c>
      <c r="J7" s="201">
        <f>I7+'Cash Flow'!J7-J10</f>
        <v>520</v>
      </c>
      <c r="K7" s="201">
        <f>J7+'Cash Flow'!K7-K10</f>
        <v>240</v>
      </c>
      <c r="L7" s="201">
        <f>K7+'Cash Flow'!L7-L10</f>
        <v>2.2737367544323206E-13</v>
      </c>
      <c r="M7" s="201">
        <f>L7+'Cash Flow'!M7-M10</f>
        <v>2.2737367544323206E-13</v>
      </c>
    </row>
    <row r="8" spans="1:13" s="229" customFormat="1" ht="21" customHeight="1" x14ac:dyDescent="0.25">
      <c r="A8" s="236" t="s">
        <v>467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</row>
    <row r="9" spans="1:13" s="229" customFormat="1" ht="21" customHeight="1" x14ac:dyDescent="0.25">
      <c r="A9" s="202" t="s">
        <v>461</v>
      </c>
      <c r="B9" s="201">
        <f>WC!B27</f>
        <v>0</v>
      </c>
      <c r="C9" s="201">
        <f>WC!C27</f>
        <v>13.296456249999999</v>
      </c>
      <c r="D9" s="201">
        <f>WC!D27</f>
        <v>17.370633823529413</v>
      </c>
      <c r="E9" s="201">
        <f>WC!E27</f>
        <v>17.88916551470588</v>
      </c>
      <c r="F9" s="201">
        <f>WC!F27</f>
        <v>18.433623790441178</v>
      </c>
      <c r="G9" s="201">
        <f>WC!G27</f>
        <v>19.005304979963238</v>
      </c>
      <c r="H9" s="201">
        <f>WC!H27</f>
        <v>19.605570228961401</v>
      </c>
      <c r="I9" s="201">
        <f>WC!I27</f>
        <v>20.23584874040947</v>
      </c>
      <c r="J9" s="201">
        <f>WC!J27</f>
        <v>20.897641177429943</v>
      </c>
      <c r="K9" s="201">
        <f>WC!K27</f>
        <v>21.592523236301439</v>
      </c>
      <c r="L9" s="201">
        <f>WC!L27</f>
        <v>22.322149398116515</v>
      </c>
      <c r="M9" s="201">
        <f>WC!M27</f>
        <v>23.088256868022341</v>
      </c>
    </row>
    <row r="10" spans="1:13" s="229" customFormat="1" ht="30.6" customHeight="1" x14ac:dyDescent="0.25">
      <c r="A10" s="205" t="s">
        <v>720</v>
      </c>
      <c r="B10" s="201">
        <f>'TL Schd'!D10</f>
        <v>20</v>
      </c>
      <c r="C10" s="201">
        <f>'TL Schd'!E10</f>
        <v>100</v>
      </c>
      <c r="D10" s="201">
        <f>'TL Schd'!F10</f>
        <v>160</v>
      </c>
      <c r="E10" s="201">
        <f>'TL Schd'!G10</f>
        <v>160</v>
      </c>
      <c r="F10" s="201">
        <f>'TL Schd'!H10</f>
        <v>160</v>
      </c>
      <c r="G10" s="201">
        <f>'TL Schd'!I10</f>
        <v>200</v>
      </c>
      <c r="H10" s="201">
        <f>'TL Schd'!J10</f>
        <v>200</v>
      </c>
      <c r="I10" s="201">
        <f>'TL Schd'!K10</f>
        <v>240</v>
      </c>
      <c r="J10" s="201">
        <f>'TL Schd'!L10</f>
        <v>240</v>
      </c>
      <c r="K10" s="201">
        <f>'TL Schd'!M10</f>
        <v>280</v>
      </c>
      <c r="L10" s="201">
        <f>'TL Schd'!N10</f>
        <v>239.99999999999977</v>
      </c>
      <c r="M10" s="201"/>
    </row>
    <row r="11" spans="1:13" s="229" customFormat="1" ht="21" customHeight="1" x14ac:dyDescent="0.25">
      <c r="A11" s="202" t="s">
        <v>558</v>
      </c>
      <c r="B11" s="201">
        <f>'Cash Flow'!B8</f>
        <v>0</v>
      </c>
      <c r="C11" s="201">
        <f>B11+'Cash Flow'!C8</f>
        <v>50</v>
      </c>
      <c r="D11" s="201">
        <f>C11+'Cash Flow'!D8</f>
        <v>50</v>
      </c>
      <c r="E11" s="201">
        <f>D11+'Cash Flow'!E8</f>
        <v>50</v>
      </c>
      <c r="F11" s="201">
        <f>E11+'Cash Flow'!F8</f>
        <v>50</v>
      </c>
      <c r="G11" s="201">
        <f>F11+'Cash Flow'!G8</f>
        <v>50</v>
      </c>
      <c r="H11" s="201">
        <f>G11+'Cash Flow'!H8</f>
        <v>50</v>
      </c>
      <c r="I11" s="201">
        <f>H11+'Cash Flow'!I8</f>
        <v>50</v>
      </c>
      <c r="J11" s="201">
        <f>I11+'Cash Flow'!J8</f>
        <v>50</v>
      </c>
      <c r="K11" s="201">
        <f>J11+'Cash Flow'!K8</f>
        <v>50</v>
      </c>
      <c r="L11" s="201">
        <f>K11+'Cash Flow'!L8</f>
        <v>50</v>
      </c>
      <c r="M11" s="201">
        <f>L11+'Cash Flow'!M8</f>
        <v>50</v>
      </c>
    </row>
    <row r="12" spans="1:13" s="229" customFormat="1" ht="21" customHeight="1" x14ac:dyDescent="0.25">
      <c r="A12" s="200" t="s">
        <v>43</v>
      </c>
      <c r="B12" s="203">
        <f t="shared" ref="B12:M12" si="2">SUM(B5:B11)</f>
        <v>2890</v>
      </c>
      <c r="C12" s="203">
        <f t="shared" si="2"/>
        <v>2934.309601450148</v>
      </c>
      <c r="D12" s="203">
        <f t="shared" si="2"/>
        <v>3076.8612501957355</v>
      </c>
      <c r="E12" s="203">
        <f t="shared" si="2"/>
        <v>3220.8336708735569</v>
      </c>
      <c r="F12" s="203">
        <f t="shared" si="2"/>
        <v>3428.7380155616138</v>
      </c>
      <c r="G12" s="203">
        <f t="shared" si="2"/>
        <v>3598.1227018809236</v>
      </c>
      <c r="H12" s="203">
        <f t="shared" si="2"/>
        <v>3790.0871541741099</v>
      </c>
      <c r="I12" s="203">
        <f t="shared" si="2"/>
        <v>4043.1544233600321</v>
      </c>
      <c r="J12" s="203">
        <f t="shared" si="2"/>
        <v>4317.87088419666</v>
      </c>
      <c r="K12" s="203">
        <f t="shared" si="2"/>
        <v>4655.1975467448538</v>
      </c>
      <c r="L12" s="203">
        <f t="shared" si="2"/>
        <v>5016.4646531335684</v>
      </c>
      <c r="M12" s="203">
        <f t="shared" si="2"/>
        <v>5483.9910840623143</v>
      </c>
    </row>
    <row r="13" spans="1:13" s="229" customFormat="1" ht="21" customHeight="1" x14ac:dyDescent="0.25">
      <c r="A13" s="200" t="s">
        <v>489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</row>
    <row r="14" spans="1:13" s="229" customFormat="1" ht="21" hidden="1" customHeight="1" x14ac:dyDescent="0.25">
      <c r="A14" s="202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</row>
    <row r="15" spans="1:13" s="229" customFormat="1" ht="21" customHeight="1" x14ac:dyDescent="0.25">
      <c r="A15" s="202" t="s">
        <v>508</v>
      </c>
      <c r="B15" s="201">
        <f>Depr!E4</f>
        <v>809.46312386695593</v>
      </c>
      <c r="C15" s="201">
        <f t="shared" ref="C15:M15" si="3">B15</f>
        <v>809.46312386695593</v>
      </c>
      <c r="D15" s="201">
        <f t="shared" si="3"/>
        <v>809.46312386695593</v>
      </c>
      <c r="E15" s="201">
        <f t="shared" si="3"/>
        <v>809.46312386695593</v>
      </c>
      <c r="F15" s="201">
        <f t="shared" si="3"/>
        <v>809.46312386695593</v>
      </c>
      <c r="G15" s="201">
        <f t="shared" si="3"/>
        <v>809.46312386695593</v>
      </c>
      <c r="H15" s="201">
        <f t="shared" si="3"/>
        <v>809.46312386695593</v>
      </c>
      <c r="I15" s="201">
        <f t="shared" si="3"/>
        <v>809.46312386695593</v>
      </c>
      <c r="J15" s="201">
        <f t="shared" si="3"/>
        <v>809.46312386695593</v>
      </c>
      <c r="K15" s="201">
        <f t="shared" si="3"/>
        <v>809.46312386695593</v>
      </c>
      <c r="L15" s="201">
        <f t="shared" si="3"/>
        <v>809.46312386695593</v>
      </c>
      <c r="M15" s="201">
        <f t="shared" si="3"/>
        <v>809.46312386695593</v>
      </c>
    </row>
    <row r="16" spans="1:13" s="229" customFormat="1" ht="21" customHeight="1" x14ac:dyDescent="0.25">
      <c r="A16" s="202" t="s">
        <v>122</v>
      </c>
      <c r="B16" s="201">
        <f>Depr!E5</f>
        <v>1954.9993193390178</v>
      </c>
      <c r="C16" s="201">
        <f t="shared" ref="C16:M16" si="4">B16</f>
        <v>1954.9993193390178</v>
      </c>
      <c r="D16" s="201">
        <f t="shared" si="4"/>
        <v>1954.9993193390178</v>
      </c>
      <c r="E16" s="201">
        <f t="shared" si="4"/>
        <v>1954.9993193390178</v>
      </c>
      <c r="F16" s="201">
        <f t="shared" si="4"/>
        <v>1954.9993193390178</v>
      </c>
      <c r="G16" s="201">
        <f t="shared" si="4"/>
        <v>1954.9993193390178</v>
      </c>
      <c r="H16" s="201">
        <f t="shared" si="4"/>
        <v>1954.9993193390178</v>
      </c>
      <c r="I16" s="201">
        <f t="shared" si="4"/>
        <v>1954.9993193390178</v>
      </c>
      <c r="J16" s="201">
        <f t="shared" si="4"/>
        <v>1954.9993193390178</v>
      </c>
      <c r="K16" s="201">
        <f t="shared" si="4"/>
        <v>1954.9993193390178</v>
      </c>
      <c r="L16" s="201">
        <f t="shared" si="4"/>
        <v>1954.9993193390178</v>
      </c>
      <c r="M16" s="201">
        <f t="shared" si="4"/>
        <v>1954.9993193390178</v>
      </c>
    </row>
    <row r="17" spans="1:13" s="229" customFormat="1" ht="21" customHeight="1" x14ac:dyDescent="0.25">
      <c r="A17" s="202" t="s">
        <v>509</v>
      </c>
      <c r="B17" s="201">
        <f>Depr!E6</f>
        <v>6.4258051015486668</v>
      </c>
      <c r="C17" s="201">
        <f t="shared" ref="C17:M18" si="5">B17</f>
        <v>6.4258051015486668</v>
      </c>
      <c r="D17" s="201">
        <f t="shared" si="5"/>
        <v>6.4258051015486668</v>
      </c>
      <c r="E17" s="201">
        <f t="shared" si="5"/>
        <v>6.4258051015486668</v>
      </c>
      <c r="F17" s="201">
        <f t="shared" si="5"/>
        <v>6.4258051015486668</v>
      </c>
      <c r="G17" s="201">
        <f t="shared" si="5"/>
        <v>6.4258051015486668</v>
      </c>
      <c r="H17" s="201">
        <f t="shared" si="5"/>
        <v>6.4258051015486668</v>
      </c>
      <c r="I17" s="201">
        <f t="shared" si="5"/>
        <v>6.4258051015486668</v>
      </c>
      <c r="J17" s="201">
        <f t="shared" si="5"/>
        <v>6.4258051015486668</v>
      </c>
      <c r="K17" s="201">
        <f t="shared" si="5"/>
        <v>6.4258051015486668</v>
      </c>
      <c r="L17" s="201">
        <f t="shared" si="5"/>
        <v>6.4258051015486668</v>
      </c>
      <c r="M17" s="201">
        <f t="shared" si="5"/>
        <v>6.4258051015486668</v>
      </c>
    </row>
    <row r="18" spans="1:13" s="229" customFormat="1" ht="21" customHeight="1" x14ac:dyDescent="0.25">
      <c r="A18" s="202" t="s">
        <v>743</v>
      </c>
      <c r="B18" s="201">
        <f>Depr!E7</f>
        <v>107.09675169247777</v>
      </c>
      <c r="C18" s="201">
        <f>B18</f>
        <v>107.09675169247777</v>
      </c>
      <c r="D18" s="201">
        <f t="shared" si="5"/>
        <v>107.09675169247777</v>
      </c>
      <c r="E18" s="201">
        <f t="shared" si="5"/>
        <v>107.09675169247777</v>
      </c>
      <c r="F18" s="201">
        <f t="shared" si="5"/>
        <v>107.09675169247777</v>
      </c>
      <c r="G18" s="201">
        <f t="shared" si="5"/>
        <v>107.09675169247777</v>
      </c>
      <c r="H18" s="201">
        <f t="shared" si="5"/>
        <v>107.09675169247777</v>
      </c>
      <c r="I18" s="201">
        <f t="shared" si="5"/>
        <v>107.09675169247777</v>
      </c>
      <c r="J18" s="201">
        <f t="shared" si="5"/>
        <v>107.09675169247777</v>
      </c>
      <c r="K18" s="201">
        <f t="shared" si="5"/>
        <v>107.09675169247777</v>
      </c>
      <c r="L18" s="201">
        <f t="shared" si="5"/>
        <v>107.09675169247777</v>
      </c>
      <c r="M18" s="201">
        <f t="shared" si="5"/>
        <v>107.09675169247777</v>
      </c>
    </row>
    <row r="19" spans="1:13" s="229" customFormat="1" ht="21" customHeight="1" x14ac:dyDescent="0.25">
      <c r="A19" s="200" t="s">
        <v>491</v>
      </c>
      <c r="B19" s="203">
        <f>SUM(B14:B18)</f>
        <v>2877.9850000000001</v>
      </c>
      <c r="C19" s="203">
        <f t="shared" ref="C19:M19" si="6">SUM(C14:C18)</f>
        <v>2877.9850000000001</v>
      </c>
      <c r="D19" s="203">
        <f t="shared" si="6"/>
        <v>2877.9850000000001</v>
      </c>
      <c r="E19" s="203">
        <f t="shared" si="6"/>
        <v>2877.9850000000001</v>
      </c>
      <c r="F19" s="203">
        <f t="shared" si="6"/>
        <v>2877.9850000000001</v>
      </c>
      <c r="G19" s="203">
        <f t="shared" si="6"/>
        <v>2877.9850000000001</v>
      </c>
      <c r="H19" s="203">
        <f t="shared" si="6"/>
        <v>2877.9850000000001</v>
      </c>
      <c r="I19" s="203">
        <f t="shared" si="6"/>
        <v>2877.9850000000001</v>
      </c>
      <c r="J19" s="203">
        <f t="shared" si="6"/>
        <v>2877.9850000000001</v>
      </c>
      <c r="K19" s="203">
        <f t="shared" si="6"/>
        <v>2877.9850000000001</v>
      </c>
      <c r="L19" s="203">
        <f t="shared" si="6"/>
        <v>2877.9850000000001</v>
      </c>
      <c r="M19" s="203">
        <f t="shared" si="6"/>
        <v>2877.9850000000001</v>
      </c>
    </row>
    <row r="20" spans="1:13" s="229" customFormat="1" ht="21" customHeight="1" x14ac:dyDescent="0.25">
      <c r="A20" s="202" t="s">
        <v>308</v>
      </c>
      <c r="B20" s="201">
        <f>'P &amp; L'!B25</f>
        <v>0</v>
      </c>
      <c r="C20" s="201">
        <f>B20+'P &amp; L'!C25</f>
        <v>391.22459380665219</v>
      </c>
      <c r="D20" s="201">
        <f>C20+'P &amp; L'!D25</f>
        <v>727.81281416164131</v>
      </c>
      <c r="E20" s="201">
        <f>D20+'P &amp; L'!E25</f>
        <v>1017.5553855207834</v>
      </c>
      <c r="F20" s="201">
        <f>E20+'P &amp; L'!F25</f>
        <v>1267.1148968277153</v>
      </c>
      <c r="G20" s="201">
        <f>F20+'P &amp; L'!G25</f>
        <v>1482.1909745251025</v>
      </c>
      <c r="H20" s="201">
        <f>G20+'P &amp; L'!H25</f>
        <v>1667.6610843457272</v>
      </c>
      <c r="I20" s="201">
        <f>H20+'P &amp; L'!I25</f>
        <v>1827.7005770933192</v>
      </c>
      <c r="J20" s="201">
        <f>I20+'P &amp; L'!J25</f>
        <v>1965.8850553888274</v>
      </c>
      <c r="K20" s="201">
        <f>J20+'P &amp; L'!K25</f>
        <v>2085.2776804540586</v>
      </c>
      <c r="L20" s="201">
        <f>K20+'P &amp; L'!L25</f>
        <v>2188.5036484221496</v>
      </c>
      <c r="M20" s="201">
        <f>L20+'P &amp; L'!M25</f>
        <v>2277.8137341914071</v>
      </c>
    </row>
    <row r="21" spans="1:13" s="229" customFormat="1" ht="21" customHeight="1" x14ac:dyDescent="0.25">
      <c r="A21" s="200" t="s">
        <v>510</v>
      </c>
      <c r="B21" s="203">
        <f t="shared" ref="B21:H21" si="7">B19-B20</f>
        <v>2877.9850000000001</v>
      </c>
      <c r="C21" s="203">
        <f t="shared" si="7"/>
        <v>2486.760406193348</v>
      </c>
      <c r="D21" s="203">
        <f t="shared" si="7"/>
        <v>2150.1721858383589</v>
      </c>
      <c r="E21" s="203">
        <f t="shared" si="7"/>
        <v>1860.4296144792168</v>
      </c>
      <c r="F21" s="203">
        <f t="shared" si="7"/>
        <v>1610.8701031722849</v>
      </c>
      <c r="G21" s="203">
        <f t="shared" si="7"/>
        <v>1395.7940254748976</v>
      </c>
      <c r="H21" s="203">
        <f t="shared" si="7"/>
        <v>1210.3239156542729</v>
      </c>
      <c r="I21" s="203">
        <f t="shared" ref="I21:J21" si="8">I19-I20</f>
        <v>1050.2844229066809</v>
      </c>
      <c r="J21" s="203">
        <f t="shared" si="8"/>
        <v>912.09994461117276</v>
      </c>
      <c r="K21" s="203">
        <f t="shared" ref="K21:L21" si="9">K19-K20</f>
        <v>792.70731954594157</v>
      </c>
      <c r="L21" s="203">
        <f t="shared" si="9"/>
        <v>689.48135157785055</v>
      </c>
      <c r="M21" s="203">
        <f t="shared" ref="M21" si="10">M19-M20</f>
        <v>600.17126580859303</v>
      </c>
    </row>
    <row r="22" spans="1:13" s="229" customFormat="1" ht="21" customHeight="1" x14ac:dyDescent="0.25">
      <c r="A22" s="200" t="s">
        <v>492</v>
      </c>
      <c r="B22" s="203">
        <f t="shared" ref="B22:H22" si="11">SUM(B23:B25)</f>
        <v>0</v>
      </c>
      <c r="C22" s="203">
        <f t="shared" si="11"/>
        <v>437.93719525680007</v>
      </c>
      <c r="D22" s="203">
        <f t="shared" si="11"/>
        <v>919.48006435737705</v>
      </c>
      <c r="E22" s="203">
        <f t="shared" si="11"/>
        <v>1355.5980563943406</v>
      </c>
      <c r="F22" s="203">
        <f t="shared" si="11"/>
        <v>1815.4649123893291</v>
      </c>
      <c r="G22" s="203">
        <f t="shared" si="11"/>
        <v>2202.3286764060267</v>
      </c>
      <c r="H22" s="203">
        <f t="shared" si="11"/>
        <v>2579.7632385198376</v>
      </c>
      <c r="I22" s="203">
        <f t="shared" ref="I22:J22" si="12">SUM(I23:I25)</f>
        <v>2992.8700004533521</v>
      </c>
      <c r="J22" s="203">
        <f t="shared" si="12"/>
        <v>3405.7709395854872</v>
      </c>
      <c r="K22" s="203">
        <f t="shared" ref="K22:L22" si="13">SUM(K23:K25)</f>
        <v>3862.4902271989131</v>
      </c>
      <c r="L22" s="203">
        <f t="shared" si="13"/>
        <v>4326.9833015557188</v>
      </c>
      <c r="M22" s="203">
        <f t="shared" ref="M22" si="14">SUM(M23:M25)</f>
        <v>4883.8198182537226</v>
      </c>
    </row>
    <row r="23" spans="1:13" s="229" customFormat="1" ht="21" customHeight="1" x14ac:dyDescent="0.25">
      <c r="A23" s="202" t="s">
        <v>463</v>
      </c>
      <c r="B23" s="201">
        <f>WC!B30</f>
        <v>0</v>
      </c>
      <c r="C23" s="201">
        <f>WC!C30</f>
        <v>57.743437499999999</v>
      </c>
      <c r="D23" s="201">
        <f>WC!D30</f>
        <v>95.10683823529412</v>
      </c>
      <c r="E23" s="201">
        <f>WC!E30</f>
        <v>99.862180147058822</v>
      </c>
      <c r="F23" s="201">
        <f>WC!F30</f>
        <v>104.85528915441175</v>
      </c>
      <c r="G23" s="201">
        <f>WC!G30</f>
        <v>110.09805361213238</v>
      </c>
      <c r="H23" s="201">
        <f>WC!H30</f>
        <v>115.60295629273901</v>
      </c>
      <c r="I23" s="201">
        <f>WC!I30</f>
        <v>121.38310410737596</v>
      </c>
      <c r="J23" s="201">
        <f>WC!J30</f>
        <v>127.45225931274476</v>
      </c>
      <c r="K23" s="201">
        <f>WC!K30</f>
        <v>133.824872278382</v>
      </c>
      <c r="L23" s="201">
        <f>WC!L30</f>
        <v>140.51611589230109</v>
      </c>
      <c r="M23" s="201">
        <f>WC!M30</f>
        <v>147.54192168691617</v>
      </c>
    </row>
    <row r="24" spans="1:13" s="229" customFormat="1" ht="21" customHeight="1" x14ac:dyDescent="0.25">
      <c r="A24" s="202" t="s">
        <v>464</v>
      </c>
      <c r="B24" s="201">
        <f>WC!B32</f>
        <v>0</v>
      </c>
      <c r="C24" s="201">
        <f>WC!C32</f>
        <v>3.6520312499999994</v>
      </c>
      <c r="D24" s="201">
        <f>WC!D32</f>
        <v>6.0151102941176475</v>
      </c>
      <c r="E24" s="201">
        <f>WC!E32</f>
        <v>6.3158658088235287</v>
      </c>
      <c r="F24" s="201">
        <f>WC!F32</f>
        <v>6.6316590992647058</v>
      </c>
      <c r="G24" s="201">
        <f>WC!G32</f>
        <v>6.9632420542279423</v>
      </c>
      <c r="H24" s="201">
        <f>WC!H32</f>
        <v>7.3114041569393402</v>
      </c>
      <c r="I24" s="201">
        <f>WC!I32</f>
        <v>7.6769743647863073</v>
      </c>
      <c r="J24" s="201">
        <f>WC!J32</f>
        <v>8.0608230830256229</v>
      </c>
      <c r="K24" s="201">
        <f>WC!K32</f>
        <v>8.4638642371769031</v>
      </c>
      <c r="L24" s="201">
        <f>WC!L32</f>
        <v>8.8870574490357495</v>
      </c>
      <c r="M24" s="201">
        <f>WC!M32</f>
        <v>9.331410321487537</v>
      </c>
    </row>
    <row r="25" spans="1:13" s="229" customFormat="1" ht="21" customHeight="1" x14ac:dyDescent="0.25">
      <c r="A25" s="202" t="s">
        <v>511</v>
      </c>
      <c r="B25" s="201">
        <f>'Cash Flow'!B23</f>
        <v>0</v>
      </c>
      <c r="C25" s="201">
        <f>'Cash Flow'!C23</f>
        <v>376.54172650680005</v>
      </c>
      <c r="D25" s="201">
        <f>'Cash Flow'!D23</f>
        <v>818.35811582796532</v>
      </c>
      <c r="E25" s="201">
        <f>'Cash Flow'!E23</f>
        <v>1249.4200104384581</v>
      </c>
      <c r="F25" s="201">
        <f>'Cash Flow'!F23</f>
        <v>1703.9779641356527</v>
      </c>
      <c r="G25" s="201">
        <f>'Cash Flow'!G23</f>
        <v>2085.2673807396664</v>
      </c>
      <c r="H25" s="201">
        <f>'Cash Flow'!H23</f>
        <v>2456.8488780701591</v>
      </c>
      <c r="I25" s="201">
        <f>'Cash Flow'!I23</f>
        <v>2863.8099219811897</v>
      </c>
      <c r="J25" s="201">
        <f>'Cash Flow'!J23</f>
        <v>3270.257857189717</v>
      </c>
      <c r="K25" s="201">
        <f>'Cash Flow'!K23</f>
        <v>3720.2014906833542</v>
      </c>
      <c r="L25" s="201">
        <f>'Cash Flow'!L23</f>
        <v>4177.5801282143821</v>
      </c>
      <c r="M25" s="201">
        <f>'Cash Flow'!M23</f>
        <v>4726.9464862453187</v>
      </c>
    </row>
    <row r="26" spans="1:13" s="229" customFormat="1" ht="28.35" customHeight="1" x14ac:dyDescent="0.25">
      <c r="A26" s="205" t="s">
        <v>498</v>
      </c>
      <c r="B26" s="201">
        <f>'Cash Flow'!B19</f>
        <v>12.015000000000001</v>
      </c>
      <c r="C26" s="201">
        <f>B26-'Cash Flow'!C10</f>
        <v>9.6120000000000001</v>
      </c>
      <c r="D26" s="201">
        <f>C26-'Cash Flow'!D10</f>
        <v>7.2089999999999996</v>
      </c>
      <c r="E26" s="201">
        <f>D26-'Cash Flow'!E10</f>
        <v>4.8059999999999992</v>
      </c>
      <c r="F26" s="201">
        <f>E26-'Cash Flow'!F10</f>
        <v>2.4029999999999991</v>
      </c>
      <c r="G26" s="201">
        <f>F26-'Cash Flow'!G10</f>
        <v>0</v>
      </c>
      <c r="H26" s="201">
        <f>G26-'Cash Flow'!H10</f>
        <v>0</v>
      </c>
      <c r="I26" s="201">
        <f>H26-'Cash Flow'!I10</f>
        <v>0</v>
      </c>
      <c r="J26" s="201">
        <f>I26-'Cash Flow'!J10</f>
        <v>0</v>
      </c>
      <c r="K26" s="201">
        <f>J26-'Cash Flow'!K10</f>
        <v>0</v>
      </c>
      <c r="L26" s="201">
        <f>K26-'Cash Flow'!L10</f>
        <v>0</v>
      </c>
      <c r="M26" s="201">
        <f>L26-'Cash Flow'!M10</f>
        <v>0</v>
      </c>
    </row>
    <row r="27" spans="1:13" s="229" customFormat="1" ht="21" customHeight="1" x14ac:dyDescent="0.25">
      <c r="A27" s="200" t="s">
        <v>43</v>
      </c>
      <c r="B27" s="203">
        <f t="shared" ref="B27:H27" si="15">B21+B22+B26</f>
        <v>2890</v>
      </c>
      <c r="C27" s="203">
        <f t="shared" si="15"/>
        <v>2934.309601450148</v>
      </c>
      <c r="D27" s="203">
        <f t="shared" si="15"/>
        <v>3076.8612501957359</v>
      </c>
      <c r="E27" s="203">
        <f t="shared" si="15"/>
        <v>3220.8336708735574</v>
      </c>
      <c r="F27" s="203">
        <f t="shared" si="15"/>
        <v>3428.7380155616138</v>
      </c>
      <c r="G27" s="203">
        <f t="shared" si="15"/>
        <v>3598.1227018809241</v>
      </c>
      <c r="H27" s="203">
        <f t="shared" si="15"/>
        <v>3790.0871541741108</v>
      </c>
      <c r="I27" s="203">
        <f t="shared" ref="I27:J27" si="16">I21+I22+I26</f>
        <v>4043.154423360033</v>
      </c>
      <c r="J27" s="203">
        <f t="shared" si="16"/>
        <v>4317.87088419666</v>
      </c>
      <c r="K27" s="203">
        <f t="shared" ref="K27:L27" si="17">K21+K22+K26</f>
        <v>4655.1975467448547</v>
      </c>
      <c r="L27" s="203">
        <f t="shared" si="17"/>
        <v>5016.4646531335693</v>
      </c>
      <c r="M27" s="203">
        <f t="shared" ref="M27" si="18">M21+M22+M26</f>
        <v>5483.9910840623161</v>
      </c>
    </row>
    <row r="29" spans="1:13" x14ac:dyDescent="0.25">
      <c r="A29" s="237" t="s">
        <v>505</v>
      </c>
      <c r="B29" s="231">
        <f t="shared" ref="B29:H29" si="19">B27-B12</f>
        <v>0</v>
      </c>
      <c r="C29" s="231">
        <f t="shared" si="19"/>
        <v>0</v>
      </c>
      <c r="D29" s="231">
        <f t="shared" si="19"/>
        <v>0</v>
      </c>
      <c r="E29" s="231">
        <f t="shared" si="19"/>
        <v>0</v>
      </c>
      <c r="F29" s="231">
        <f t="shared" si="19"/>
        <v>0</v>
      </c>
      <c r="G29" s="231">
        <f t="shared" si="19"/>
        <v>0</v>
      </c>
      <c r="H29" s="231">
        <f t="shared" si="19"/>
        <v>0</v>
      </c>
      <c r="I29" s="231">
        <f t="shared" ref="I29:J29" si="20">I27-I12</f>
        <v>0</v>
      </c>
      <c r="J29" s="231">
        <f t="shared" si="20"/>
        <v>0</v>
      </c>
      <c r="K29" s="231">
        <f t="shared" ref="K29:L29" si="21">K27-K12</f>
        <v>0</v>
      </c>
      <c r="L29" s="231">
        <f t="shared" si="21"/>
        <v>0</v>
      </c>
      <c r="M29" s="231">
        <f t="shared" ref="M29" si="22">M27-M12</f>
        <v>0</v>
      </c>
    </row>
    <row r="30" spans="1:13" x14ac:dyDescent="0.25">
      <c r="B30" s="207"/>
    </row>
  </sheetData>
  <customSheetViews>
    <customSheetView guid="{22475485-DA09-46DB-978D-BB94CE1E5597}">
      <pane xSplit="1" ySplit="2" topLeftCell="B20" activePane="bottomRight" state="frozen"/>
      <selection pane="bottomRight" activeCell="C22" sqref="C22"/>
      <pageMargins left="0.43" right="0.7" top="0.75" bottom="0.75" header="0.3" footer="0.3"/>
      <pageSetup paperSize="9" orientation="landscape" verticalDpi="300" r:id="rId1"/>
    </customSheetView>
  </customSheetViews>
  <mergeCells count="1">
    <mergeCell ref="A1:L1"/>
  </mergeCells>
  <pageMargins left="0.43" right="0.7" top="0.75" bottom="0.75" header="0.3" footer="0.3"/>
  <pageSetup paperSize="9" orientation="landscape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3" sqref="F13"/>
    </sheetView>
  </sheetViews>
  <sheetFormatPr defaultColWidth="32.28515625" defaultRowHeight="15" x14ac:dyDescent="0.25"/>
  <cols>
    <col min="1" max="1" width="33.42578125" style="206" customWidth="1"/>
    <col min="2" max="13" width="11.7109375" style="206" customWidth="1"/>
    <col min="14" max="16384" width="32.28515625" style="206"/>
  </cols>
  <sheetData>
    <row r="1" spans="1:13" ht="26.1" customHeight="1" x14ac:dyDescent="0.25">
      <c r="A1" s="407" t="s">
        <v>506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</row>
    <row r="2" spans="1:13" s="230" customFormat="1" ht="15.75" customHeight="1" x14ac:dyDescent="0.25">
      <c r="A2" s="234" t="s">
        <v>452</v>
      </c>
      <c r="B2" s="239">
        <v>2024</v>
      </c>
      <c r="C2" s="239">
        <f t="shared" ref="C2:M2" si="0">B2+1</f>
        <v>2025</v>
      </c>
      <c r="D2" s="239">
        <f t="shared" si="0"/>
        <v>2026</v>
      </c>
      <c r="E2" s="239">
        <f t="shared" si="0"/>
        <v>2027</v>
      </c>
      <c r="F2" s="239">
        <f t="shared" si="0"/>
        <v>2028</v>
      </c>
      <c r="G2" s="239">
        <f t="shared" si="0"/>
        <v>2029</v>
      </c>
      <c r="H2" s="239">
        <f t="shared" si="0"/>
        <v>2030</v>
      </c>
      <c r="I2" s="239">
        <f t="shared" si="0"/>
        <v>2031</v>
      </c>
      <c r="J2" s="239">
        <f t="shared" si="0"/>
        <v>2032</v>
      </c>
      <c r="K2" s="239">
        <f t="shared" si="0"/>
        <v>2033</v>
      </c>
      <c r="L2" s="239">
        <f t="shared" si="0"/>
        <v>2034</v>
      </c>
      <c r="M2" s="239">
        <f t="shared" si="0"/>
        <v>2035</v>
      </c>
    </row>
    <row r="3" spans="1:13" s="229" customFormat="1" ht="15.75" customHeight="1" x14ac:dyDescent="0.25">
      <c r="A3" s="235" t="s">
        <v>764</v>
      </c>
      <c r="B3" s="232" t="s">
        <v>654</v>
      </c>
      <c r="C3" s="233" t="s">
        <v>734</v>
      </c>
      <c r="D3" s="232" t="s">
        <v>655</v>
      </c>
      <c r="E3" s="232" t="s">
        <v>655</v>
      </c>
      <c r="F3" s="232" t="s">
        <v>655</v>
      </c>
      <c r="G3" s="232" t="s">
        <v>655</v>
      </c>
      <c r="H3" s="232" t="s">
        <v>655</v>
      </c>
      <c r="I3" s="232" t="s">
        <v>655</v>
      </c>
      <c r="J3" s="232" t="s">
        <v>655</v>
      </c>
      <c r="K3" s="232" t="s">
        <v>655</v>
      </c>
      <c r="L3" s="232" t="s">
        <v>655</v>
      </c>
      <c r="M3" s="232" t="s">
        <v>655</v>
      </c>
    </row>
    <row r="4" spans="1:13" s="229" customFormat="1" ht="21" customHeight="1" x14ac:dyDescent="0.25">
      <c r="A4" s="200" t="s">
        <v>44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5" spans="1:13" s="229" customFormat="1" ht="21" customHeight="1" x14ac:dyDescent="0.25">
      <c r="A5" s="202" t="s">
        <v>501</v>
      </c>
      <c r="B5" s="201">
        <f>'P &amp; L'!B28</f>
        <v>0</v>
      </c>
      <c r="C5" s="201">
        <f>'P &amp; L'!C28</f>
        <v>-98.98685479985221</v>
      </c>
      <c r="D5" s="201">
        <f>'P &amp; L'!D28</f>
        <v>138.47747117205853</v>
      </c>
      <c r="E5" s="201">
        <f>'P &amp; L'!E28</f>
        <v>203.4538889866447</v>
      </c>
      <c r="F5" s="201">
        <f>'P &amp; L'!F28</f>
        <v>267.35988641232132</v>
      </c>
      <c r="G5" s="201">
        <f>'P &amp; L'!G28</f>
        <v>328.81300512978817</v>
      </c>
      <c r="H5" s="201">
        <f>'P &amp; L'!H28</f>
        <v>391.36418704418804</v>
      </c>
      <c r="I5" s="201">
        <f>'P &amp; L'!I28</f>
        <v>452.43699067447437</v>
      </c>
      <c r="J5" s="201">
        <f>'P &amp; L'!J28</f>
        <v>514.05466839960673</v>
      </c>
      <c r="K5" s="201">
        <f>'P &amp; L'!K28</f>
        <v>576.63178048932309</v>
      </c>
      <c r="L5" s="201">
        <f>'P &amp; L'!L28</f>
        <v>640.53748022689979</v>
      </c>
      <c r="M5" s="201">
        <f>'P &amp; L'!M28</f>
        <v>706.76032345883982</v>
      </c>
    </row>
    <row r="6" spans="1:13" s="229" customFormat="1" ht="21" customHeight="1" x14ac:dyDescent="0.25">
      <c r="A6" s="202" t="s">
        <v>739</v>
      </c>
      <c r="B6" s="201">
        <f>BS!B5</f>
        <v>890</v>
      </c>
      <c r="C6" s="201">
        <f>BS!C5-BS!B5</f>
        <v>0</v>
      </c>
      <c r="D6" s="201">
        <f>BS!D5-BS!C5</f>
        <v>0</v>
      </c>
      <c r="E6" s="201">
        <f>BS!E5-BS!D5</f>
        <v>0</v>
      </c>
      <c r="F6" s="201">
        <f>BS!F5-BS!E5</f>
        <v>0</v>
      </c>
      <c r="G6" s="201">
        <f>BS!G5-BS!F5</f>
        <v>0</v>
      </c>
      <c r="H6" s="201">
        <f>BS!H5-BS!G5</f>
        <v>0</v>
      </c>
      <c r="I6" s="201">
        <f>BS!I5-BS!H5</f>
        <v>0</v>
      </c>
      <c r="J6" s="201">
        <f>BS!J5-BS!I5</f>
        <v>0</v>
      </c>
      <c r="K6" s="201">
        <f>BS!K5-BS!J5</f>
        <v>0</v>
      </c>
      <c r="L6" s="201">
        <f>BS!L5-BS!K5</f>
        <v>0</v>
      </c>
      <c r="M6" s="201">
        <f>BS!M5-BS!L5</f>
        <v>0</v>
      </c>
    </row>
    <row r="7" spans="1:13" s="229" customFormat="1" ht="21" customHeight="1" x14ac:dyDescent="0.25">
      <c r="A7" s="202" t="s">
        <v>587</v>
      </c>
      <c r="B7" s="201">
        <f>'TL Schd'!C9</f>
        <v>2000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</row>
    <row r="8" spans="1:13" s="229" customFormat="1" ht="21" customHeight="1" x14ac:dyDescent="0.25">
      <c r="A8" s="202" t="s">
        <v>557</v>
      </c>
      <c r="B8" s="201">
        <v>0</v>
      </c>
      <c r="C8" s="201">
        <f>'CoP-MoF'!C23/A</f>
        <v>50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</row>
    <row r="9" spans="1:13" s="229" customFormat="1" ht="21" customHeight="1" x14ac:dyDescent="0.25">
      <c r="A9" s="202" t="s">
        <v>63</v>
      </c>
      <c r="B9" s="201">
        <f>'P &amp; L'!B30</f>
        <v>0</v>
      </c>
      <c r="C9" s="201">
        <f>'P &amp; L'!C30</f>
        <v>391.22459380665219</v>
      </c>
      <c r="D9" s="201">
        <f>'P &amp; L'!D30</f>
        <v>336.58822035498912</v>
      </c>
      <c r="E9" s="201">
        <f>'P &amp; L'!E30</f>
        <v>289.74257135914212</v>
      </c>
      <c r="F9" s="201">
        <f>'P &amp; L'!F30</f>
        <v>249.55951130693194</v>
      </c>
      <c r="G9" s="201">
        <f>'P &amp; L'!G30</f>
        <v>215.07607769738723</v>
      </c>
      <c r="H9" s="201">
        <f>'P &amp; L'!H30</f>
        <v>185.47010982062469</v>
      </c>
      <c r="I9" s="201">
        <f>'P &amp; L'!I30</f>
        <v>160.03949274759196</v>
      </c>
      <c r="J9" s="201">
        <f>'P &amp; L'!J30</f>
        <v>138.18447829550809</v>
      </c>
      <c r="K9" s="201">
        <f>'P &amp; L'!K30</f>
        <v>119.39262506523126</v>
      </c>
      <c r="L9" s="201">
        <f>'P &amp; L'!L30</f>
        <v>103.22596796809104</v>
      </c>
      <c r="M9" s="201">
        <f>'P &amp; L'!M30</f>
        <v>89.310085769257398</v>
      </c>
    </row>
    <row r="10" spans="1:13" s="229" customFormat="1" ht="21" customHeight="1" x14ac:dyDescent="0.25">
      <c r="A10" s="202" t="s">
        <v>504</v>
      </c>
      <c r="B10" s="201">
        <f>'P &amp; L'!B19</f>
        <v>0</v>
      </c>
      <c r="C10" s="201">
        <f>'P &amp; L'!C19</f>
        <v>2.403</v>
      </c>
      <c r="D10" s="201">
        <f>'P &amp; L'!D19</f>
        <v>2.403</v>
      </c>
      <c r="E10" s="201">
        <f>'P &amp; L'!E19</f>
        <v>2.403</v>
      </c>
      <c r="F10" s="201">
        <f>'P &amp; L'!F19</f>
        <v>2.403</v>
      </c>
      <c r="G10" s="201">
        <f>'P &amp; L'!G19</f>
        <v>2.403</v>
      </c>
      <c r="H10" s="201">
        <f>'P &amp; L'!H19</f>
        <v>0</v>
      </c>
      <c r="I10" s="201">
        <f>'P &amp; L'!I19</f>
        <v>0</v>
      </c>
      <c r="J10" s="201">
        <f>'P &amp; L'!J19</f>
        <v>0</v>
      </c>
      <c r="K10" s="201">
        <f>'P &amp; L'!K19</f>
        <v>0</v>
      </c>
      <c r="L10" s="201">
        <f>'P &amp; L'!L19</f>
        <v>0</v>
      </c>
      <c r="M10" s="201">
        <f>'P &amp; L'!M19</f>
        <v>0</v>
      </c>
    </row>
    <row r="11" spans="1:13" s="229" customFormat="1" ht="21" customHeight="1" x14ac:dyDescent="0.25">
      <c r="A11" s="202" t="s">
        <v>500</v>
      </c>
      <c r="B11" s="201">
        <f>WC!B27</f>
        <v>0</v>
      </c>
      <c r="C11" s="201">
        <f>BS!C9-BS!B9</f>
        <v>13.296456249999999</v>
      </c>
      <c r="D11" s="201">
        <f>BS!D9-BS!C9</f>
        <v>4.0741775735294148</v>
      </c>
      <c r="E11" s="201">
        <f>BS!E9-BS!D9</f>
        <v>0.51853169117646658</v>
      </c>
      <c r="F11" s="201">
        <f>BS!F9-BS!E9</f>
        <v>0.54445827573529826</v>
      </c>
      <c r="G11" s="201">
        <f>BS!G9-BS!F9</f>
        <v>0.57168118952206015</v>
      </c>
      <c r="H11" s="201">
        <f>BS!H9-BS!G9</f>
        <v>0.6002652489981628</v>
      </c>
      <c r="I11" s="201">
        <f>BS!I9-BS!H9</f>
        <v>0.63027851144806846</v>
      </c>
      <c r="J11" s="201">
        <f>BS!J9-BS!I9</f>
        <v>0.6617924370204733</v>
      </c>
      <c r="K11" s="201">
        <f>BS!K9-BS!J9</f>
        <v>0.6948820588714959</v>
      </c>
      <c r="L11" s="201">
        <f>BS!L9-BS!K9</f>
        <v>0.72962616181507656</v>
      </c>
      <c r="M11" s="201">
        <f>BS!M9-BS!L9</f>
        <v>0.76610746990582612</v>
      </c>
    </row>
    <row r="12" spans="1:13" s="229" customFormat="1" ht="21" customHeight="1" x14ac:dyDescent="0.25">
      <c r="A12" s="202" t="s">
        <v>517</v>
      </c>
      <c r="B12" s="201"/>
      <c r="C12" s="201">
        <v>100</v>
      </c>
      <c r="D12" s="201">
        <v>100</v>
      </c>
      <c r="E12" s="201">
        <f t="shared" ref="E12:F12" si="1">D12</f>
        <v>100</v>
      </c>
      <c r="F12" s="201">
        <f t="shared" si="1"/>
        <v>100</v>
      </c>
      <c r="G12" s="201"/>
      <c r="H12" s="201"/>
      <c r="I12" s="201"/>
      <c r="J12" s="201"/>
      <c r="K12" s="201"/>
      <c r="L12" s="201"/>
      <c r="M12" s="201"/>
    </row>
    <row r="13" spans="1:13" s="229" customFormat="1" ht="21" customHeight="1" x14ac:dyDescent="0.25">
      <c r="A13" s="204" t="s">
        <v>45</v>
      </c>
      <c r="B13" s="203">
        <f t="shared" ref="B13:M13" si="2">SUM(B5:B12)</f>
        <v>2890</v>
      </c>
      <c r="C13" s="203">
        <f t="shared" si="2"/>
        <v>457.93719525680001</v>
      </c>
      <c r="D13" s="203">
        <f t="shared" si="2"/>
        <v>581.54286910057704</v>
      </c>
      <c r="E13" s="203">
        <f t="shared" si="2"/>
        <v>596.1179920369633</v>
      </c>
      <c r="F13" s="203">
        <f t="shared" si="2"/>
        <v>619.86685599498867</v>
      </c>
      <c r="G13" s="203">
        <f t="shared" si="2"/>
        <v>546.86376401669747</v>
      </c>
      <c r="H13" s="203">
        <f t="shared" si="2"/>
        <v>577.4345621138109</v>
      </c>
      <c r="I13" s="203">
        <f t="shared" si="2"/>
        <v>613.10676193351446</v>
      </c>
      <c r="J13" s="203">
        <f t="shared" si="2"/>
        <v>652.90093913213536</v>
      </c>
      <c r="K13" s="203">
        <f t="shared" si="2"/>
        <v>696.71928761342588</v>
      </c>
      <c r="L13" s="203">
        <f t="shared" si="2"/>
        <v>744.49307435680589</v>
      </c>
      <c r="M13" s="203">
        <f t="shared" si="2"/>
        <v>796.83651669800304</v>
      </c>
    </row>
    <row r="14" spans="1:13" s="229" customFormat="1" ht="21" customHeight="1" x14ac:dyDescent="0.25">
      <c r="A14" s="202" t="s">
        <v>46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13" s="229" customFormat="1" ht="21" customHeight="1" x14ac:dyDescent="0.25">
      <c r="A15" s="202" t="s">
        <v>499</v>
      </c>
      <c r="B15" s="201">
        <f>BS!B19</f>
        <v>2877.9850000000001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</row>
    <row r="16" spans="1:13" s="229" customFormat="1" ht="21" customHeight="1" x14ac:dyDescent="0.25">
      <c r="A16" s="202" t="s">
        <v>502</v>
      </c>
      <c r="B16" s="201">
        <f>'TL Schd'!C10</f>
        <v>0</v>
      </c>
      <c r="C16" s="201">
        <f>'TL Schd'!D10</f>
        <v>20</v>
      </c>
      <c r="D16" s="201">
        <f>'TL Schd'!E10</f>
        <v>100</v>
      </c>
      <c r="E16" s="201">
        <f>'TL Schd'!F10</f>
        <v>160</v>
      </c>
      <c r="F16" s="201">
        <f>'TL Schd'!G10</f>
        <v>160</v>
      </c>
      <c r="G16" s="201">
        <f>'TL Schd'!H10</f>
        <v>160</v>
      </c>
      <c r="H16" s="201">
        <f>'TL Schd'!I10</f>
        <v>200</v>
      </c>
      <c r="I16" s="201">
        <f>'TL Schd'!J10</f>
        <v>200</v>
      </c>
      <c r="J16" s="201">
        <f>'TL Schd'!K10</f>
        <v>240</v>
      </c>
      <c r="K16" s="201">
        <f>'TL Schd'!L10</f>
        <v>240</v>
      </c>
      <c r="L16" s="201">
        <f>'TL Schd'!M10</f>
        <v>280</v>
      </c>
      <c r="M16" s="201">
        <f>'TL Schd'!N10</f>
        <v>239.99999999999977</v>
      </c>
    </row>
    <row r="17" spans="1:13" s="229" customFormat="1" ht="21" customHeight="1" x14ac:dyDescent="0.25">
      <c r="A17" s="202" t="s">
        <v>496</v>
      </c>
      <c r="B17" s="201">
        <f>BS!B23</f>
        <v>0</v>
      </c>
      <c r="C17" s="201">
        <f>BS!C23-BS!B23</f>
        <v>57.743437499999999</v>
      </c>
      <c r="D17" s="201">
        <f>BS!D23-BS!C23</f>
        <v>37.363400735294121</v>
      </c>
      <c r="E17" s="201">
        <f>BS!E23-BS!D23</f>
        <v>4.7553419117647024</v>
      </c>
      <c r="F17" s="201">
        <f>BS!F23-BS!E23</f>
        <v>4.9931090073529276</v>
      </c>
      <c r="G17" s="201">
        <f>BS!G23-BS!F23</f>
        <v>5.2427644577206252</v>
      </c>
      <c r="H17" s="201">
        <f>BS!H23-BS!G23</f>
        <v>5.5049026806066337</v>
      </c>
      <c r="I17" s="201">
        <f>BS!I23-BS!H23</f>
        <v>5.7801478146369476</v>
      </c>
      <c r="J17" s="201">
        <f>BS!J23-BS!I23</f>
        <v>6.0691552053688014</v>
      </c>
      <c r="K17" s="201">
        <f>BS!K23-BS!J23</f>
        <v>6.372612965637245</v>
      </c>
      <c r="L17" s="201">
        <f>BS!L23-BS!K23</f>
        <v>6.6912436139190845</v>
      </c>
      <c r="M17" s="201">
        <f>BS!M23-BS!L23</f>
        <v>7.0258057946150814</v>
      </c>
    </row>
    <row r="18" spans="1:13" s="229" customFormat="1" ht="21" customHeight="1" x14ac:dyDescent="0.25">
      <c r="A18" s="202" t="s">
        <v>497</v>
      </c>
      <c r="B18" s="201">
        <f>WC!B32</f>
        <v>0</v>
      </c>
      <c r="C18" s="201">
        <f>WC!C32-WC!B32</f>
        <v>3.6520312499999994</v>
      </c>
      <c r="D18" s="201">
        <f>WC!D32-WC!C32</f>
        <v>2.3630790441176481</v>
      </c>
      <c r="E18" s="201">
        <f>WC!E32-WC!D32</f>
        <v>0.30075551470588113</v>
      </c>
      <c r="F18" s="201">
        <f>WC!F32-WC!E32</f>
        <v>0.3157932904411771</v>
      </c>
      <c r="G18" s="201">
        <f>WC!G32-WC!F32</f>
        <v>0.33158295496323653</v>
      </c>
      <c r="H18" s="201">
        <f>WC!H32-WC!G32</f>
        <v>0.34816210271139791</v>
      </c>
      <c r="I18" s="201">
        <f>WC!I32-WC!H32</f>
        <v>0.36557020784696714</v>
      </c>
      <c r="J18" s="201">
        <f>WC!J32-WC!I32</f>
        <v>0.38384871823931555</v>
      </c>
      <c r="K18" s="201">
        <f>WC!K32-WC!J32</f>
        <v>0.40304115415128017</v>
      </c>
      <c r="L18" s="201">
        <f>WC!L32-WC!K32</f>
        <v>0.4231932118588464</v>
      </c>
      <c r="M18" s="201">
        <f>WC!M32-WC!L32</f>
        <v>0.44435287245178756</v>
      </c>
    </row>
    <row r="19" spans="1:13" s="229" customFormat="1" ht="21" customHeight="1" x14ac:dyDescent="0.25">
      <c r="A19" s="202" t="s">
        <v>490</v>
      </c>
      <c r="B19" s="201">
        <f>'CoP-MoF'!C8/A</f>
        <v>12.015000000000001</v>
      </c>
      <c r="C19" s="201"/>
      <c r="D19" s="201"/>
      <c r="E19" s="201"/>
      <c r="F19" s="201"/>
      <c r="G19" s="201"/>
      <c r="H19" s="201"/>
      <c r="I19" s="202"/>
      <c r="J19" s="202"/>
      <c r="K19" s="202"/>
      <c r="L19" s="202"/>
      <c r="M19" s="202"/>
    </row>
    <row r="20" spans="1:13" s="229" customFormat="1" ht="21" customHeight="1" x14ac:dyDescent="0.25">
      <c r="A20" s="204" t="s">
        <v>43</v>
      </c>
      <c r="B20" s="203">
        <f t="shared" ref="B20:I20" si="3">SUM(B15:B19)</f>
        <v>2890</v>
      </c>
      <c r="C20" s="203">
        <f t="shared" si="3"/>
        <v>81.395468749999992</v>
      </c>
      <c r="D20" s="203">
        <f t="shared" si="3"/>
        <v>139.72647977941179</v>
      </c>
      <c r="E20" s="203">
        <f t="shared" si="3"/>
        <v>165.05609742647059</v>
      </c>
      <c r="F20" s="203">
        <f t="shared" si="3"/>
        <v>165.30890229779411</v>
      </c>
      <c r="G20" s="203">
        <f t="shared" si="3"/>
        <v>165.57434741268386</v>
      </c>
      <c r="H20" s="203">
        <f t="shared" si="3"/>
        <v>205.85306478331802</v>
      </c>
      <c r="I20" s="203">
        <f t="shared" si="3"/>
        <v>206.14571802248392</v>
      </c>
      <c r="J20" s="203">
        <f t="shared" ref="J20:L20" si="4">SUM(J15:J19)</f>
        <v>246.45300392360812</v>
      </c>
      <c r="K20" s="203">
        <f t="shared" si="4"/>
        <v>246.77565411978853</v>
      </c>
      <c r="L20" s="203">
        <f t="shared" si="4"/>
        <v>287.11443682577794</v>
      </c>
      <c r="M20" s="203">
        <f t="shared" ref="M20" si="5">SUM(M15:M19)</f>
        <v>247.47015866706664</v>
      </c>
    </row>
    <row r="21" spans="1:13" s="229" customFormat="1" ht="21" customHeight="1" x14ac:dyDescent="0.25">
      <c r="A21" s="240" t="s">
        <v>503</v>
      </c>
      <c r="B21" s="201">
        <v>0</v>
      </c>
      <c r="C21" s="201">
        <f t="shared" ref="C21:M21" si="6">B23</f>
        <v>0</v>
      </c>
      <c r="D21" s="201">
        <f t="shared" si="6"/>
        <v>376.54172650680005</v>
      </c>
      <c r="E21" s="201">
        <f t="shared" si="6"/>
        <v>818.35811582796532</v>
      </c>
      <c r="F21" s="201">
        <f t="shared" si="6"/>
        <v>1249.4200104384581</v>
      </c>
      <c r="G21" s="201">
        <f t="shared" si="6"/>
        <v>1703.9779641356527</v>
      </c>
      <c r="H21" s="201">
        <f t="shared" si="6"/>
        <v>2085.2673807396664</v>
      </c>
      <c r="I21" s="201">
        <f t="shared" si="6"/>
        <v>2456.8488780701591</v>
      </c>
      <c r="J21" s="201">
        <f t="shared" si="6"/>
        <v>2863.8099219811897</v>
      </c>
      <c r="K21" s="201">
        <f t="shared" si="6"/>
        <v>3270.257857189717</v>
      </c>
      <c r="L21" s="201">
        <f t="shared" si="6"/>
        <v>3720.2014906833542</v>
      </c>
      <c r="M21" s="201">
        <f t="shared" si="6"/>
        <v>4177.5801282143821</v>
      </c>
    </row>
    <row r="22" spans="1:13" s="229" customFormat="1" ht="21" customHeight="1" x14ac:dyDescent="0.25">
      <c r="A22" s="202" t="s">
        <v>47</v>
      </c>
      <c r="B22" s="201">
        <f t="shared" ref="B22:M22" si="7">B13-B20</f>
        <v>0</v>
      </c>
      <c r="C22" s="201">
        <f t="shared" si="7"/>
        <v>376.54172650680005</v>
      </c>
      <c r="D22" s="201">
        <f t="shared" si="7"/>
        <v>441.81638932116527</v>
      </c>
      <c r="E22" s="201">
        <f t="shared" si="7"/>
        <v>431.06189461049269</v>
      </c>
      <c r="F22" s="201">
        <f t="shared" si="7"/>
        <v>454.55795369719453</v>
      </c>
      <c r="G22" s="201">
        <f t="shared" si="7"/>
        <v>381.28941660401358</v>
      </c>
      <c r="H22" s="201">
        <f t="shared" si="7"/>
        <v>371.58149733049288</v>
      </c>
      <c r="I22" s="201">
        <f t="shared" si="7"/>
        <v>406.96104391103052</v>
      </c>
      <c r="J22" s="201">
        <f t="shared" si="7"/>
        <v>406.44793520852727</v>
      </c>
      <c r="K22" s="201">
        <f t="shared" si="7"/>
        <v>449.94363349363732</v>
      </c>
      <c r="L22" s="201">
        <f t="shared" si="7"/>
        <v>457.37863753102795</v>
      </c>
      <c r="M22" s="201">
        <f t="shared" si="7"/>
        <v>549.36635803093645</v>
      </c>
    </row>
    <row r="23" spans="1:13" s="229" customFormat="1" ht="21" customHeight="1" x14ac:dyDescent="0.25">
      <c r="A23" s="202" t="s">
        <v>48</v>
      </c>
      <c r="B23" s="201">
        <f>B21+B22</f>
        <v>0</v>
      </c>
      <c r="C23" s="201">
        <f t="shared" ref="C23:H23" si="8">C21+C22</f>
        <v>376.54172650680005</v>
      </c>
      <c r="D23" s="201">
        <f t="shared" si="8"/>
        <v>818.35811582796532</v>
      </c>
      <c r="E23" s="201">
        <f t="shared" si="8"/>
        <v>1249.4200104384581</v>
      </c>
      <c r="F23" s="201">
        <f t="shared" si="8"/>
        <v>1703.9779641356527</v>
      </c>
      <c r="G23" s="201">
        <f t="shared" si="8"/>
        <v>2085.2673807396664</v>
      </c>
      <c r="H23" s="201">
        <f t="shared" si="8"/>
        <v>2456.8488780701591</v>
      </c>
      <c r="I23" s="201">
        <f t="shared" ref="I23:J23" si="9">I21+I22</f>
        <v>2863.8099219811897</v>
      </c>
      <c r="J23" s="201">
        <f t="shared" si="9"/>
        <v>3270.257857189717</v>
      </c>
      <c r="K23" s="201">
        <f t="shared" ref="K23:L23" si="10">K21+K22</f>
        <v>3720.2014906833542</v>
      </c>
      <c r="L23" s="201">
        <f t="shared" si="10"/>
        <v>4177.5801282143821</v>
      </c>
      <c r="M23" s="201">
        <f t="shared" ref="M23" si="11">M21+M22</f>
        <v>4726.9464862453187</v>
      </c>
    </row>
    <row r="25" spans="1:13" x14ac:dyDescent="0.25">
      <c r="B25" s="207"/>
    </row>
  </sheetData>
  <customSheetViews>
    <customSheetView guid="{22475485-DA09-46DB-978D-BB94CE1E5597}">
      <pane xSplit="2" ySplit="2" topLeftCell="C20" activePane="bottomRight" state="frozen"/>
      <selection pane="bottomRight" activeCell="A28" sqref="A28"/>
      <pageMargins left="0.35" right="0.7" top="0.75" bottom="0.75" header="0.3" footer="0.3"/>
      <pageSetup paperSize="9" orientation="landscape" verticalDpi="300" r:id="rId1"/>
    </customSheetView>
  </customSheetViews>
  <mergeCells count="1">
    <mergeCell ref="A1:L1"/>
  </mergeCells>
  <pageMargins left="0.35" right="0.7" top="0.75" bottom="0.75" header="0.3" footer="0.3"/>
  <pageSetup paperSize="9" orientation="landscape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M27"/>
  <sheetViews>
    <sheetView topLeftCell="A3" workbookViewId="0">
      <selection activeCell="B14" sqref="B14"/>
    </sheetView>
  </sheetViews>
  <sheetFormatPr defaultColWidth="8.85546875" defaultRowHeight="15" x14ac:dyDescent="0.25"/>
  <cols>
    <col min="1" max="1" width="22.42578125" style="217" customWidth="1"/>
    <col min="2" max="7" width="10.7109375" style="217" customWidth="1"/>
    <col min="8" max="8" width="9.42578125" style="217" bestFit="1" customWidth="1"/>
    <col min="9" max="12" width="9.28515625" style="217" bestFit="1" customWidth="1"/>
    <col min="13" max="13" width="9.140625" style="217" bestFit="1" customWidth="1"/>
    <col min="14" max="250" width="8.85546875" style="217"/>
    <col min="251" max="251" width="22.42578125" style="217" customWidth="1"/>
    <col min="252" max="260" width="8.85546875" style="217"/>
    <col min="261" max="261" width="0" style="217" hidden="1" customWidth="1"/>
    <col min="262" max="506" width="8.85546875" style="217"/>
    <col min="507" max="507" width="22.42578125" style="217" customWidth="1"/>
    <col min="508" max="516" width="8.85546875" style="217"/>
    <col min="517" max="517" width="0" style="217" hidden="1" customWidth="1"/>
    <col min="518" max="762" width="8.85546875" style="217"/>
    <col min="763" max="763" width="22.42578125" style="217" customWidth="1"/>
    <col min="764" max="772" width="8.85546875" style="217"/>
    <col min="773" max="773" width="0" style="217" hidden="1" customWidth="1"/>
    <col min="774" max="1018" width="8.85546875" style="217"/>
    <col min="1019" max="1019" width="22.42578125" style="217" customWidth="1"/>
    <col min="1020" max="1028" width="8.85546875" style="217"/>
    <col min="1029" max="1029" width="0" style="217" hidden="1" customWidth="1"/>
    <col min="1030" max="1274" width="8.85546875" style="217"/>
    <col min="1275" max="1275" width="22.42578125" style="217" customWidth="1"/>
    <col min="1276" max="1284" width="8.85546875" style="217"/>
    <col min="1285" max="1285" width="0" style="217" hidden="1" customWidth="1"/>
    <col min="1286" max="1530" width="8.85546875" style="217"/>
    <col min="1531" max="1531" width="22.42578125" style="217" customWidth="1"/>
    <col min="1532" max="1540" width="8.85546875" style="217"/>
    <col min="1541" max="1541" width="0" style="217" hidden="1" customWidth="1"/>
    <col min="1542" max="1786" width="8.85546875" style="217"/>
    <col min="1787" max="1787" width="22.42578125" style="217" customWidth="1"/>
    <col min="1788" max="1796" width="8.85546875" style="217"/>
    <col min="1797" max="1797" width="0" style="217" hidden="1" customWidth="1"/>
    <col min="1798" max="2042" width="8.85546875" style="217"/>
    <col min="2043" max="2043" width="22.42578125" style="217" customWidth="1"/>
    <col min="2044" max="2052" width="8.85546875" style="217"/>
    <col min="2053" max="2053" width="0" style="217" hidden="1" customWidth="1"/>
    <col min="2054" max="2298" width="8.85546875" style="217"/>
    <col min="2299" max="2299" width="22.42578125" style="217" customWidth="1"/>
    <col min="2300" max="2308" width="8.85546875" style="217"/>
    <col min="2309" max="2309" width="0" style="217" hidden="1" customWidth="1"/>
    <col min="2310" max="2554" width="8.85546875" style="217"/>
    <col min="2555" max="2555" width="22.42578125" style="217" customWidth="1"/>
    <col min="2556" max="2564" width="8.85546875" style="217"/>
    <col min="2565" max="2565" width="0" style="217" hidden="1" customWidth="1"/>
    <col min="2566" max="2810" width="8.85546875" style="217"/>
    <col min="2811" max="2811" width="22.42578125" style="217" customWidth="1"/>
    <col min="2812" max="2820" width="8.85546875" style="217"/>
    <col min="2821" max="2821" width="0" style="217" hidden="1" customWidth="1"/>
    <col min="2822" max="3066" width="8.85546875" style="217"/>
    <col min="3067" max="3067" width="22.42578125" style="217" customWidth="1"/>
    <col min="3068" max="3076" width="8.85546875" style="217"/>
    <col min="3077" max="3077" width="0" style="217" hidden="1" customWidth="1"/>
    <col min="3078" max="3322" width="8.85546875" style="217"/>
    <col min="3323" max="3323" width="22.42578125" style="217" customWidth="1"/>
    <col min="3324" max="3332" width="8.85546875" style="217"/>
    <col min="3333" max="3333" width="0" style="217" hidden="1" customWidth="1"/>
    <col min="3334" max="3578" width="8.85546875" style="217"/>
    <col min="3579" max="3579" width="22.42578125" style="217" customWidth="1"/>
    <col min="3580" max="3588" width="8.85546875" style="217"/>
    <col min="3589" max="3589" width="0" style="217" hidden="1" customWidth="1"/>
    <col min="3590" max="3834" width="8.85546875" style="217"/>
    <col min="3835" max="3835" width="22.42578125" style="217" customWidth="1"/>
    <col min="3836" max="3844" width="8.85546875" style="217"/>
    <col min="3845" max="3845" width="0" style="217" hidden="1" customWidth="1"/>
    <col min="3846" max="4090" width="8.85546875" style="217"/>
    <col min="4091" max="4091" width="22.42578125" style="217" customWidth="1"/>
    <col min="4092" max="4100" width="8.85546875" style="217"/>
    <col min="4101" max="4101" width="0" style="217" hidden="1" customWidth="1"/>
    <col min="4102" max="4346" width="8.85546875" style="217"/>
    <col min="4347" max="4347" width="22.42578125" style="217" customWidth="1"/>
    <col min="4348" max="4356" width="8.85546875" style="217"/>
    <col min="4357" max="4357" width="0" style="217" hidden="1" customWidth="1"/>
    <col min="4358" max="4602" width="8.85546875" style="217"/>
    <col min="4603" max="4603" width="22.42578125" style="217" customWidth="1"/>
    <col min="4604" max="4612" width="8.85546875" style="217"/>
    <col min="4613" max="4613" width="0" style="217" hidden="1" customWidth="1"/>
    <col min="4614" max="4858" width="8.85546875" style="217"/>
    <col min="4859" max="4859" width="22.42578125" style="217" customWidth="1"/>
    <col min="4860" max="4868" width="8.85546875" style="217"/>
    <col min="4869" max="4869" width="0" style="217" hidden="1" customWidth="1"/>
    <col min="4870" max="5114" width="8.85546875" style="217"/>
    <col min="5115" max="5115" width="22.42578125" style="217" customWidth="1"/>
    <col min="5116" max="5124" width="8.85546875" style="217"/>
    <col min="5125" max="5125" width="0" style="217" hidden="1" customWidth="1"/>
    <col min="5126" max="5370" width="8.85546875" style="217"/>
    <col min="5371" max="5371" width="22.42578125" style="217" customWidth="1"/>
    <col min="5372" max="5380" width="8.85546875" style="217"/>
    <col min="5381" max="5381" width="0" style="217" hidden="1" customWidth="1"/>
    <col min="5382" max="5626" width="8.85546875" style="217"/>
    <col min="5627" max="5627" width="22.42578125" style="217" customWidth="1"/>
    <col min="5628" max="5636" width="8.85546875" style="217"/>
    <col min="5637" max="5637" width="0" style="217" hidden="1" customWidth="1"/>
    <col min="5638" max="5882" width="8.85546875" style="217"/>
    <col min="5883" max="5883" width="22.42578125" style="217" customWidth="1"/>
    <col min="5884" max="5892" width="8.85546875" style="217"/>
    <col min="5893" max="5893" width="0" style="217" hidden="1" customWidth="1"/>
    <col min="5894" max="6138" width="8.85546875" style="217"/>
    <col min="6139" max="6139" width="22.42578125" style="217" customWidth="1"/>
    <col min="6140" max="6148" width="8.85546875" style="217"/>
    <col min="6149" max="6149" width="0" style="217" hidden="1" customWidth="1"/>
    <col min="6150" max="6394" width="8.85546875" style="217"/>
    <col min="6395" max="6395" width="22.42578125" style="217" customWidth="1"/>
    <col min="6396" max="6404" width="8.85546875" style="217"/>
    <col min="6405" max="6405" width="0" style="217" hidden="1" customWidth="1"/>
    <col min="6406" max="6650" width="8.85546875" style="217"/>
    <col min="6651" max="6651" width="22.42578125" style="217" customWidth="1"/>
    <col min="6652" max="6660" width="8.85546875" style="217"/>
    <col min="6661" max="6661" width="0" style="217" hidden="1" customWidth="1"/>
    <col min="6662" max="6906" width="8.85546875" style="217"/>
    <col min="6907" max="6907" width="22.42578125" style="217" customWidth="1"/>
    <col min="6908" max="6916" width="8.85546875" style="217"/>
    <col min="6917" max="6917" width="0" style="217" hidden="1" customWidth="1"/>
    <col min="6918" max="7162" width="8.85546875" style="217"/>
    <col min="7163" max="7163" width="22.42578125" style="217" customWidth="1"/>
    <col min="7164" max="7172" width="8.85546875" style="217"/>
    <col min="7173" max="7173" width="0" style="217" hidden="1" customWidth="1"/>
    <col min="7174" max="7418" width="8.85546875" style="217"/>
    <col min="7419" max="7419" width="22.42578125" style="217" customWidth="1"/>
    <col min="7420" max="7428" width="8.85546875" style="217"/>
    <col min="7429" max="7429" width="0" style="217" hidden="1" customWidth="1"/>
    <col min="7430" max="7674" width="8.85546875" style="217"/>
    <col min="7675" max="7675" width="22.42578125" style="217" customWidth="1"/>
    <col min="7676" max="7684" width="8.85546875" style="217"/>
    <col min="7685" max="7685" width="0" style="217" hidden="1" customWidth="1"/>
    <col min="7686" max="7930" width="8.85546875" style="217"/>
    <col min="7931" max="7931" width="22.42578125" style="217" customWidth="1"/>
    <col min="7932" max="7940" width="8.85546875" style="217"/>
    <col min="7941" max="7941" width="0" style="217" hidden="1" customWidth="1"/>
    <col min="7942" max="8186" width="8.85546875" style="217"/>
    <col min="8187" max="8187" width="22.42578125" style="217" customWidth="1"/>
    <col min="8188" max="8196" width="8.85546875" style="217"/>
    <col min="8197" max="8197" width="0" style="217" hidden="1" customWidth="1"/>
    <col min="8198" max="8442" width="8.85546875" style="217"/>
    <col min="8443" max="8443" width="22.42578125" style="217" customWidth="1"/>
    <col min="8444" max="8452" width="8.85546875" style="217"/>
    <col min="8453" max="8453" width="0" style="217" hidden="1" customWidth="1"/>
    <col min="8454" max="8698" width="8.85546875" style="217"/>
    <col min="8699" max="8699" width="22.42578125" style="217" customWidth="1"/>
    <col min="8700" max="8708" width="8.85546875" style="217"/>
    <col min="8709" max="8709" width="0" style="217" hidden="1" customWidth="1"/>
    <col min="8710" max="8954" width="8.85546875" style="217"/>
    <col min="8955" max="8955" width="22.42578125" style="217" customWidth="1"/>
    <col min="8956" max="8964" width="8.85546875" style="217"/>
    <col min="8965" max="8965" width="0" style="217" hidden="1" customWidth="1"/>
    <col min="8966" max="9210" width="8.85546875" style="217"/>
    <col min="9211" max="9211" width="22.42578125" style="217" customWidth="1"/>
    <col min="9212" max="9220" width="8.85546875" style="217"/>
    <col min="9221" max="9221" width="0" style="217" hidden="1" customWidth="1"/>
    <col min="9222" max="9466" width="8.85546875" style="217"/>
    <col min="9467" max="9467" width="22.42578125" style="217" customWidth="1"/>
    <col min="9468" max="9476" width="8.85546875" style="217"/>
    <col min="9477" max="9477" width="0" style="217" hidden="1" customWidth="1"/>
    <col min="9478" max="9722" width="8.85546875" style="217"/>
    <col min="9723" max="9723" width="22.42578125" style="217" customWidth="1"/>
    <col min="9724" max="9732" width="8.85546875" style="217"/>
    <col min="9733" max="9733" width="0" style="217" hidden="1" customWidth="1"/>
    <col min="9734" max="9978" width="8.85546875" style="217"/>
    <col min="9979" max="9979" width="22.42578125" style="217" customWidth="1"/>
    <col min="9980" max="9988" width="8.85546875" style="217"/>
    <col min="9989" max="9989" width="0" style="217" hidden="1" customWidth="1"/>
    <col min="9990" max="10234" width="8.85546875" style="217"/>
    <col min="10235" max="10235" width="22.42578125" style="217" customWidth="1"/>
    <col min="10236" max="10244" width="8.85546875" style="217"/>
    <col min="10245" max="10245" width="0" style="217" hidden="1" customWidth="1"/>
    <col min="10246" max="10490" width="8.85546875" style="217"/>
    <col min="10491" max="10491" width="22.42578125" style="217" customWidth="1"/>
    <col min="10492" max="10500" width="8.85546875" style="217"/>
    <col min="10501" max="10501" width="0" style="217" hidden="1" customWidth="1"/>
    <col min="10502" max="10746" width="8.85546875" style="217"/>
    <col min="10747" max="10747" width="22.42578125" style="217" customWidth="1"/>
    <col min="10748" max="10756" width="8.85546875" style="217"/>
    <col min="10757" max="10757" width="0" style="217" hidden="1" customWidth="1"/>
    <col min="10758" max="11002" width="8.85546875" style="217"/>
    <col min="11003" max="11003" width="22.42578125" style="217" customWidth="1"/>
    <col min="11004" max="11012" width="8.85546875" style="217"/>
    <col min="11013" max="11013" width="0" style="217" hidden="1" customWidth="1"/>
    <col min="11014" max="11258" width="8.85546875" style="217"/>
    <col min="11259" max="11259" width="22.42578125" style="217" customWidth="1"/>
    <col min="11260" max="11268" width="8.85546875" style="217"/>
    <col min="11269" max="11269" width="0" style="217" hidden="1" customWidth="1"/>
    <col min="11270" max="11514" width="8.85546875" style="217"/>
    <col min="11515" max="11515" width="22.42578125" style="217" customWidth="1"/>
    <col min="11516" max="11524" width="8.85546875" style="217"/>
    <col min="11525" max="11525" width="0" style="217" hidden="1" customWidth="1"/>
    <col min="11526" max="11770" width="8.85546875" style="217"/>
    <col min="11771" max="11771" width="22.42578125" style="217" customWidth="1"/>
    <col min="11772" max="11780" width="8.85546875" style="217"/>
    <col min="11781" max="11781" width="0" style="217" hidden="1" customWidth="1"/>
    <col min="11782" max="12026" width="8.85546875" style="217"/>
    <col min="12027" max="12027" width="22.42578125" style="217" customWidth="1"/>
    <col min="12028" max="12036" width="8.85546875" style="217"/>
    <col min="12037" max="12037" width="0" style="217" hidden="1" customWidth="1"/>
    <col min="12038" max="12282" width="8.85546875" style="217"/>
    <col min="12283" max="12283" width="22.42578125" style="217" customWidth="1"/>
    <col min="12284" max="12292" width="8.85546875" style="217"/>
    <col min="12293" max="12293" width="0" style="217" hidden="1" customWidth="1"/>
    <col min="12294" max="12538" width="8.85546875" style="217"/>
    <col min="12539" max="12539" width="22.42578125" style="217" customWidth="1"/>
    <col min="12540" max="12548" width="8.85546875" style="217"/>
    <col min="12549" max="12549" width="0" style="217" hidden="1" customWidth="1"/>
    <col min="12550" max="12794" width="8.85546875" style="217"/>
    <col min="12795" max="12795" width="22.42578125" style="217" customWidth="1"/>
    <col min="12796" max="12804" width="8.85546875" style="217"/>
    <col min="12805" max="12805" width="0" style="217" hidden="1" customWidth="1"/>
    <col min="12806" max="13050" width="8.85546875" style="217"/>
    <col min="13051" max="13051" width="22.42578125" style="217" customWidth="1"/>
    <col min="13052" max="13060" width="8.85546875" style="217"/>
    <col min="13061" max="13061" width="0" style="217" hidden="1" customWidth="1"/>
    <col min="13062" max="13306" width="8.85546875" style="217"/>
    <col min="13307" max="13307" width="22.42578125" style="217" customWidth="1"/>
    <col min="13308" max="13316" width="8.85546875" style="217"/>
    <col min="13317" max="13317" width="0" style="217" hidden="1" customWidth="1"/>
    <col min="13318" max="13562" width="8.85546875" style="217"/>
    <col min="13563" max="13563" width="22.42578125" style="217" customWidth="1"/>
    <col min="13564" max="13572" width="8.85546875" style="217"/>
    <col min="13573" max="13573" width="0" style="217" hidden="1" customWidth="1"/>
    <col min="13574" max="13818" width="8.85546875" style="217"/>
    <col min="13819" max="13819" width="22.42578125" style="217" customWidth="1"/>
    <col min="13820" max="13828" width="8.85546875" style="217"/>
    <col min="13829" max="13829" width="0" style="217" hidden="1" customWidth="1"/>
    <col min="13830" max="14074" width="8.85546875" style="217"/>
    <col min="14075" max="14075" width="22.42578125" style="217" customWidth="1"/>
    <col min="14076" max="14084" width="8.85546875" style="217"/>
    <col min="14085" max="14085" width="0" style="217" hidden="1" customWidth="1"/>
    <col min="14086" max="14330" width="8.85546875" style="217"/>
    <col min="14331" max="14331" width="22.42578125" style="217" customWidth="1"/>
    <col min="14332" max="14340" width="8.85546875" style="217"/>
    <col min="14341" max="14341" width="0" style="217" hidden="1" customWidth="1"/>
    <col min="14342" max="14586" width="8.85546875" style="217"/>
    <col min="14587" max="14587" width="22.42578125" style="217" customWidth="1"/>
    <col min="14588" max="14596" width="8.85546875" style="217"/>
    <col min="14597" max="14597" width="0" style="217" hidden="1" customWidth="1"/>
    <col min="14598" max="14842" width="8.85546875" style="217"/>
    <col min="14843" max="14843" width="22.42578125" style="217" customWidth="1"/>
    <col min="14844" max="14852" width="8.85546875" style="217"/>
    <col min="14853" max="14853" width="0" style="217" hidden="1" customWidth="1"/>
    <col min="14854" max="15098" width="8.85546875" style="217"/>
    <col min="15099" max="15099" width="22.42578125" style="217" customWidth="1"/>
    <col min="15100" max="15108" width="8.85546875" style="217"/>
    <col min="15109" max="15109" width="0" style="217" hidden="1" customWidth="1"/>
    <col min="15110" max="15354" width="8.85546875" style="217"/>
    <col min="15355" max="15355" width="22.42578125" style="217" customWidth="1"/>
    <col min="15356" max="15364" width="8.85546875" style="217"/>
    <col min="15365" max="15365" width="0" style="217" hidden="1" customWidth="1"/>
    <col min="15366" max="15610" width="8.85546875" style="217"/>
    <col min="15611" max="15611" width="22.42578125" style="217" customWidth="1"/>
    <col min="15612" max="15620" width="8.85546875" style="217"/>
    <col min="15621" max="15621" width="0" style="217" hidden="1" customWidth="1"/>
    <col min="15622" max="15866" width="8.85546875" style="217"/>
    <col min="15867" max="15867" width="22.42578125" style="217" customWidth="1"/>
    <col min="15868" max="15876" width="8.85546875" style="217"/>
    <col min="15877" max="15877" width="0" style="217" hidden="1" customWidth="1"/>
    <col min="15878" max="16122" width="8.85546875" style="217"/>
    <col min="16123" max="16123" width="22.42578125" style="217" customWidth="1"/>
    <col min="16124" max="16132" width="8.85546875" style="217"/>
    <col min="16133" max="16133" width="0" style="217" hidden="1" customWidth="1"/>
    <col min="16134" max="16384" width="8.85546875" style="217"/>
  </cols>
  <sheetData>
    <row r="3" spans="1:13" x14ac:dyDescent="0.25">
      <c r="B3" s="285"/>
      <c r="C3" s="285"/>
      <c r="D3" s="285"/>
      <c r="E3" s="285"/>
      <c r="F3" s="285"/>
      <c r="G3" s="285"/>
    </row>
    <row r="4" spans="1:13" x14ac:dyDescent="0.25">
      <c r="A4" s="409" t="s">
        <v>455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1"/>
    </row>
    <row r="5" spans="1:13" ht="18" customHeight="1" x14ac:dyDescent="0.25">
      <c r="A5" s="155" t="s">
        <v>452</v>
      </c>
      <c r="B5" s="208">
        <v>2025</v>
      </c>
      <c r="C5" s="208">
        <f t="shared" ref="C5:L5" si="0">B5+1</f>
        <v>2026</v>
      </c>
      <c r="D5" s="208">
        <f t="shared" si="0"/>
        <v>2027</v>
      </c>
      <c r="E5" s="208">
        <f t="shared" si="0"/>
        <v>2028</v>
      </c>
      <c r="F5" s="208">
        <f t="shared" si="0"/>
        <v>2029</v>
      </c>
      <c r="G5" s="208">
        <f t="shared" si="0"/>
        <v>2030</v>
      </c>
      <c r="H5" s="208">
        <f t="shared" si="0"/>
        <v>2031</v>
      </c>
      <c r="I5" s="208">
        <f t="shared" si="0"/>
        <v>2032</v>
      </c>
      <c r="J5" s="208">
        <f t="shared" si="0"/>
        <v>2033</v>
      </c>
      <c r="K5" s="208">
        <f t="shared" si="0"/>
        <v>2034</v>
      </c>
      <c r="L5" s="208">
        <f t="shared" si="0"/>
        <v>2035</v>
      </c>
    </row>
    <row r="6" spans="1:13" ht="18" customHeight="1" x14ac:dyDescent="0.25">
      <c r="A6" s="286" t="s">
        <v>456</v>
      </c>
      <c r="B6" s="287">
        <f>'P &amp; L'!C28</f>
        <v>-98.98685479985221</v>
      </c>
      <c r="C6" s="287">
        <f>'P &amp; L'!D28</f>
        <v>138.47747117205853</v>
      </c>
      <c r="D6" s="287">
        <f>'P &amp; L'!E28</f>
        <v>203.4538889866447</v>
      </c>
      <c r="E6" s="287">
        <f>'P &amp; L'!F28</f>
        <v>267.35988641232132</v>
      </c>
      <c r="F6" s="287">
        <f>'P &amp; L'!G28</f>
        <v>328.81300512978817</v>
      </c>
      <c r="G6" s="287">
        <f>'P &amp; L'!H28</f>
        <v>391.36418704418804</v>
      </c>
      <c r="H6" s="287">
        <f>'P &amp; L'!I28</f>
        <v>452.43699067447437</v>
      </c>
      <c r="I6" s="287">
        <f>'P &amp; L'!J28</f>
        <v>514.05466839960673</v>
      </c>
      <c r="J6" s="287">
        <f>'P &amp; L'!K28</f>
        <v>576.63178048932309</v>
      </c>
      <c r="K6" s="287">
        <f>'P &amp; L'!L28</f>
        <v>640.53748022689979</v>
      </c>
      <c r="L6" s="287">
        <f>'P &amp; L'!M28</f>
        <v>706.76032345883982</v>
      </c>
    </row>
    <row r="7" spans="1:13" x14ac:dyDescent="0.25">
      <c r="A7" s="286" t="s">
        <v>308</v>
      </c>
      <c r="B7" s="287">
        <f>'P &amp; L'!C25</f>
        <v>391.22459380665219</v>
      </c>
      <c r="C7" s="287">
        <f>'P &amp; L'!D25</f>
        <v>336.58822035498912</v>
      </c>
      <c r="D7" s="287">
        <f>'P &amp; L'!E25</f>
        <v>289.74257135914212</v>
      </c>
      <c r="E7" s="287">
        <f>'P &amp; L'!F25</f>
        <v>249.55951130693194</v>
      </c>
      <c r="F7" s="287">
        <f>'P &amp; L'!G25</f>
        <v>215.07607769738723</v>
      </c>
      <c r="G7" s="287">
        <f>'P &amp; L'!H25</f>
        <v>185.47010982062469</v>
      </c>
      <c r="H7" s="287">
        <f>'P &amp; L'!I25</f>
        <v>160.03949274759196</v>
      </c>
      <c r="I7" s="287">
        <f>'P &amp; L'!J25</f>
        <v>138.18447829550809</v>
      </c>
      <c r="J7" s="287">
        <f>'P &amp; L'!K25</f>
        <v>119.39262506523126</v>
      </c>
      <c r="K7" s="287">
        <f>'P &amp; L'!L25</f>
        <v>103.22596796809104</v>
      </c>
      <c r="L7" s="287">
        <f>'P &amp; L'!M25</f>
        <v>89.310085769257398</v>
      </c>
    </row>
    <row r="8" spans="1:13" x14ac:dyDescent="0.25">
      <c r="A8" s="286" t="s">
        <v>325</v>
      </c>
      <c r="B8" s="287">
        <f>'P &amp; L'!C23</f>
        <v>157.23749999999998</v>
      </c>
      <c r="C8" s="287">
        <f>'P &amp; L'!D23</f>
        <v>202.64999999999998</v>
      </c>
      <c r="D8" s="287">
        <f>'P &amp; L'!E23</f>
        <v>188.99999999999997</v>
      </c>
      <c r="E8" s="287">
        <f>'P &amp; L'!F23</f>
        <v>172.19999999999996</v>
      </c>
      <c r="F8" s="287">
        <f>'P &amp; L'!G23</f>
        <v>155.39999999999998</v>
      </c>
      <c r="G8" s="287">
        <f>'P &amp; L'!H23</f>
        <v>136.49999999999997</v>
      </c>
      <c r="H8" s="287">
        <f>'P &amp; L'!I23</f>
        <v>115.49999999999997</v>
      </c>
      <c r="I8" s="287">
        <f>'P &amp; L'!J23</f>
        <v>92.399999999999963</v>
      </c>
      <c r="J8" s="287">
        <f>'P &amp; L'!K23</f>
        <v>67.19999999999996</v>
      </c>
      <c r="K8" s="287">
        <f>'P &amp; L'!L23</f>
        <v>39.89999999999997</v>
      </c>
      <c r="L8" s="287">
        <f>'P &amp; L'!M23</f>
        <v>9.4499999999999851</v>
      </c>
    </row>
    <row r="9" spans="1:13" x14ac:dyDescent="0.25">
      <c r="A9" s="288" t="s">
        <v>453</v>
      </c>
      <c r="B9" s="289">
        <f t="shared" ref="B9:L9" si="1">SUM(B6:B8)</f>
        <v>449.47523900679994</v>
      </c>
      <c r="C9" s="289">
        <f t="shared" si="1"/>
        <v>677.71569152704762</v>
      </c>
      <c r="D9" s="289">
        <f t="shared" si="1"/>
        <v>682.19646034578682</v>
      </c>
      <c r="E9" s="289">
        <f t="shared" si="1"/>
        <v>689.11939771925324</v>
      </c>
      <c r="F9" s="289">
        <f t="shared" si="1"/>
        <v>699.28908282717532</v>
      </c>
      <c r="G9" s="289">
        <f t="shared" si="1"/>
        <v>713.3342968648127</v>
      </c>
      <c r="H9" s="289">
        <f t="shared" si="1"/>
        <v>727.97648342206639</v>
      </c>
      <c r="I9" s="289">
        <f t="shared" si="1"/>
        <v>744.63914669511485</v>
      </c>
      <c r="J9" s="289">
        <f t="shared" si="1"/>
        <v>763.22440555455432</v>
      </c>
      <c r="K9" s="289">
        <f t="shared" si="1"/>
        <v>783.66344819499079</v>
      </c>
      <c r="L9" s="289">
        <f t="shared" si="1"/>
        <v>805.52040922809715</v>
      </c>
    </row>
    <row r="10" spans="1:13" x14ac:dyDescent="0.25">
      <c r="A10" s="286" t="s">
        <v>325</v>
      </c>
      <c r="B10" s="287">
        <f t="shared" ref="B10:H10" si="2">B8</f>
        <v>157.23749999999998</v>
      </c>
      <c r="C10" s="287">
        <f t="shared" si="2"/>
        <v>202.64999999999998</v>
      </c>
      <c r="D10" s="287">
        <f t="shared" si="2"/>
        <v>188.99999999999997</v>
      </c>
      <c r="E10" s="287">
        <f t="shared" si="2"/>
        <v>172.19999999999996</v>
      </c>
      <c r="F10" s="287">
        <f t="shared" si="2"/>
        <v>155.39999999999998</v>
      </c>
      <c r="G10" s="287">
        <f t="shared" si="2"/>
        <v>136.49999999999997</v>
      </c>
      <c r="H10" s="287">
        <f t="shared" si="2"/>
        <v>115.49999999999997</v>
      </c>
      <c r="I10" s="287">
        <f t="shared" ref="I10:K10" si="3">I8</f>
        <v>92.399999999999963</v>
      </c>
      <c r="J10" s="287">
        <f t="shared" si="3"/>
        <v>67.19999999999996</v>
      </c>
      <c r="K10" s="287">
        <f t="shared" si="3"/>
        <v>39.89999999999997</v>
      </c>
      <c r="L10" s="287">
        <f t="shared" ref="L10" si="4">L8</f>
        <v>9.4499999999999851</v>
      </c>
    </row>
    <row r="11" spans="1:13" x14ac:dyDescent="0.25">
      <c r="A11" s="286" t="s">
        <v>746</v>
      </c>
      <c r="B11" s="287">
        <f>'TL Schd'!D10</f>
        <v>20</v>
      </c>
      <c r="C11" s="287">
        <f>'TL Schd'!E10</f>
        <v>100</v>
      </c>
      <c r="D11" s="287">
        <f>'TL Schd'!F10</f>
        <v>160</v>
      </c>
      <c r="E11" s="287">
        <f>'TL Schd'!G10</f>
        <v>160</v>
      </c>
      <c r="F11" s="287">
        <f>'TL Schd'!H10</f>
        <v>160</v>
      </c>
      <c r="G11" s="287">
        <f>'TL Schd'!I10</f>
        <v>200</v>
      </c>
      <c r="H11" s="287">
        <f>'TL Schd'!J10</f>
        <v>200</v>
      </c>
      <c r="I11" s="287">
        <f>'TL Schd'!K10</f>
        <v>240</v>
      </c>
      <c r="J11" s="287">
        <f>'TL Schd'!L10</f>
        <v>240</v>
      </c>
      <c r="K11" s="287">
        <f>'TL Schd'!M10</f>
        <v>280</v>
      </c>
      <c r="L11" s="287">
        <f>'TL Schd'!N10</f>
        <v>239.99999999999977</v>
      </c>
      <c r="M11" s="281"/>
    </row>
    <row r="12" spans="1:13" x14ac:dyDescent="0.25">
      <c r="A12" s="288" t="s">
        <v>453</v>
      </c>
      <c r="B12" s="289">
        <f>SUM(B10:B11)</f>
        <v>177.23749999999998</v>
      </c>
      <c r="C12" s="289">
        <f t="shared" ref="C12:L12" si="5">SUM(C10:C11)</f>
        <v>302.64999999999998</v>
      </c>
      <c r="D12" s="289">
        <f t="shared" si="5"/>
        <v>349</v>
      </c>
      <c r="E12" s="289">
        <f t="shared" si="5"/>
        <v>332.19999999999993</v>
      </c>
      <c r="F12" s="289">
        <f t="shared" si="5"/>
        <v>315.39999999999998</v>
      </c>
      <c r="G12" s="289">
        <f t="shared" si="5"/>
        <v>336.5</v>
      </c>
      <c r="H12" s="289">
        <f t="shared" si="5"/>
        <v>315.5</v>
      </c>
      <c r="I12" s="289">
        <f t="shared" si="5"/>
        <v>332.4</v>
      </c>
      <c r="J12" s="289">
        <f t="shared" si="5"/>
        <v>307.19999999999993</v>
      </c>
      <c r="K12" s="289">
        <f t="shared" si="5"/>
        <v>319.89999999999998</v>
      </c>
      <c r="L12" s="289">
        <f t="shared" si="5"/>
        <v>249.44999999999976</v>
      </c>
      <c r="M12" s="282"/>
    </row>
    <row r="13" spans="1:13" x14ac:dyDescent="0.25">
      <c r="A13" s="286" t="s">
        <v>454</v>
      </c>
      <c r="B13" s="290">
        <f t="shared" ref="B13:L13" si="6">B9/B12</f>
        <v>2.5360052980142465</v>
      </c>
      <c r="C13" s="290">
        <f t="shared" si="6"/>
        <v>2.2392720684852061</v>
      </c>
      <c r="D13" s="290">
        <f t="shared" si="6"/>
        <v>1.9547176514205926</v>
      </c>
      <c r="E13" s="290">
        <f t="shared" si="6"/>
        <v>2.0744111912078669</v>
      </c>
      <c r="F13" s="290">
        <f t="shared" si="6"/>
        <v>2.2171499138464661</v>
      </c>
      <c r="G13" s="290">
        <f t="shared" si="6"/>
        <v>2.1198641808761152</v>
      </c>
      <c r="H13" s="290">
        <f t="shared" si="6"/>
        <v>2.3073739569637604</v>
      </c>
      <c r="I13" s="290">
        <f t="shared" si="6"/>
        <v>2.2401899720069642</v>
      </c>
      <c r="J13" s="290">
        <f t="shared" si="6"/>
        <v>2.4844544451645656</v>
      </c>
      <c r="K13" s="290">
        <f t="shared" si="6"/>
        <v>2.4497138111753385</v>
      </c>
      <c r="L13" s="290">
        <f t="shared" si="6"/>
        <v>3.2291858457730926</v>
      </c>
      <c r="M13" s="283"/>
    </row>
    <row r="14" spans="1:13" x14ac:dyDescent="0.25">
      <c r="A14" s="291" t="s">
        <v>311</v>
      </c>
      <c r="B14" s="290">
        <f>AVERAGE(B13:L13)</f>
        <v>2.3502125759031105</v>
      </c>
      <c r="C14" s="293"/>
      <c r="D14" s="292"/>
      <c r="E14" s="292"/>
      <c r="F14" s="292"/>
      <c r="G14" s="292"/>
      <c r="H14" s="292"/>
      <c r="I14" s="284"/>
      <c r="J14" s="284"/>
      <c r="K14" s="284"/>
      <c r="L14" s="284"/>
    </row>
    <row r="15" spans="1:13" x14ac:dyDescent="0.25">
      <c r="A15" s="291" t="s">
        <v>766</v>
      </c>
      <c r="B15" s="290">
        <f>MAX(B13:L13)</f>
        <v>3.2291858457730926</v>
      </c>
      <c r="C15" s="293"/>
      <c r="D15" s="292"/>
      <c r="E15" s="292"/>
      <c r="F15" s="292"/>
      <c r="G15" s="292"/>
      <c r="H15" s="292"/>
      <c r="I15" s="284"/>
      <c r="J15" s="284"/>
      <c r="K15" s="284"/>
      <c r="L15" s="284"/>
    </row>
    <row r="16" spans="1:13" x14ac:dyDescent="0.25"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</row>
    <row r="25" spans="3:4" hidden="1" x14ac:dyDescent="0.25">
      <c r="C25" s="217">
        <v>719.64</v>
      </c>
      <c r="D25" s="217">
        <f>C25-50</f>
        <v>669.64</v>
      </c>
    </row>
    <row r="26" spans="3:4" hidden="1" x14ac:dyDescent="0.25">
      <c r="C26" s="217">
        <v>302.64</v>
      </c>
      <c r="D26" s="217">
        <f>C26-50</f>
        <v>252.64</v>
      </c>
    </row>
    <row r="27" spans="3:4" hidden="1" x14ac:dyDescent="0.25">
      <c r="C27" s="217">
        <f>C25/C26</f>
        <v>2.3778747026169706</v>
      </c>
      <c r="D27" s="219">
        <f>D25/D26</f>
        <v>2.6505699810006336</v>
      </c>
    </row>
  </sheetData>
  <customSheetViews>
    <customSheetView guid="{22475485-DA09-46DB-978D-BB94CE1E5597}" hiddenColumns="1">
      <selection activeCell="A18" sqref="A18"/>
      <pageMargins left="0.7" right="0.7" top="0.75" bottom="0.75" header="0.3" footer="0.3"/>
    </customSheetView>
  </customSheetViews>
  <mergeCells count="1">
    <mergeCell ref="A4:L4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13"/>
  <sheetViews>
    <sheetView workbookViewId="0">
      <selection activeCell="C8" sqref="C8"/>
    </sheetView>
  </sheetViews>
  <sheetFormatPr defaultColWidth="8.85546875" defaultRowHeight="15" x14ac:dyDescent="0.25"/>
  <cols>
    <col min="2" max="2" width="40.42578125" customWidth="1"/>
    <col min="3" max="3" width="30.42578125" customWidth="1"/>
    <col min="4" max="4" width="9.140625" bestFit="1" customWidth="1"/>
  </cols>
  <sheetData>
    <row r="2" spans="2:3" ht="20.100000000000001" customHeight="1" x14ac:dyDescent="0.25">
      <c r="B2" s="171" t="s">
        <v>452</v>
      </c>
      <c r="C2" s="172" t="s">
        <v>681</v>
      </c>
    </row>
    <row r="3" spans="2:3" ht="20.100000000000001" customHeight="1" x14ac:dyDescent="0.25">
      <c r="B3" s="173" t="s">
        <v>682</v>
      </c>
      <c r="C3" s="174">
        <v>45108</v>
      </c>
    </row>
    <row r="4" spans="2:3" ht="20.100000000000001" customHeight="1" x14ac:dyDescent="0.25">
      <c r="B4" s="175" t="s">
        <v>683</v>
      </c>
      <c r="C4" s="176" t="s">
        <v>732</v>
      </c>
    </row>
    <row r="5" spans="2:3" ht="20.100000000000001" customHeight="1" x14ac:dyDescent="0.25">
      <c r="B5" s="175" t="s">
        <v>684</v>
      </c>
      <c r="C5" s="176" t="s">
        <v>724</v>
      </c>
    </row>
    <row r="6" spans="2:3" ht="20.100000000000001" customHeight="1" x14ac:dyDescent="0.25">
      <c r="B6" s="175" t="s">
        <v>685</v>
      </c>
      <c r="C6" s="174">
        <v>45474</v>
      </c>
    </row>
    <row r="7" spans="2:3" ht="31.5" x14ac:dyDescent="0.25">
      <c r="B7" s="175" t="s">
        <v>686</v>
      </c>
      <c r="C7" s="176" t="s">
        <v>733</v>
      </c>
    </row>
    <row r="8" spans="2:3" ht="20.100000000000001" customHeight="1" x14ac:dyDescent="0.25">
      <c r="B8" s="175" t="s">
        <v>687</v>
      </c>
      <c r="C8" s="176" t="s">
        <v>716</v>
      </c>
    </row>
    <row r="9" spans="2:3" ht="20.100000000000001" customHeight="1" x14ac:dyDescent="0.25">
      <c r="B9" s="177" t="s">
        <v>688</v>
      </c>
      <c r="C9" s="176"/>
    </row>
    <row r="10" spans="2:3" ht="20.100000000000001" customHeight="1" x14ac:dyDescent="0.25">
      <c r="B10" s="173" t="s">
        <v>689</v>
      </c>
      <c r="C10" s="174">
        <v>45658</v>
      </c>
    </row>
    <row r="11" spans="2:3" ht="20.100000000000001" customHeight="1" x14ac:dyDescent="0.25">
      <c r="B11" s="173" t="s">
        <v>690</v>
      </c>
      <c r="C11" s="174">
        <v>49279</v>
      </c>
    </row>
    <row r="12" spans="2:3" ht="20.100000000000001" customHeight="1" x14ac:dyDescent="0.25">
      <c r="B12" s="173" t="s">
        <v>691</v>
      </c>
      <c r="C12" s="176" t="s">
        <v>692</v>
      </c>
    </row>
    <row r="13" spans="2:3" ht="20.100000000000001" customHeight="1" x14ac:dyDescent="0.25">
      <c r="B13" s="173" t="s">
        <v>693</v>
      </c>
      <c r="C13" s="178">
        <v>0.105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P111"/>
  <sheetViews>
    <sheetView topLeftCell="B1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7" sqref="B7:O14"/>
    </sheetView>
  </sheetViews>
  <sheetFormatPr defaultColWidth="9.140625" defaultRowHeight="14.25" x14ac:dyDescent="0.25"/>
  <cols>
    <col min="1" max="1" width="7" style="108" customWidth="1"/>
    <col min="2" max="2" width="21.7109375" style="108" customWidth="1"/>
    <col min="3" max="14" width="12.7109375" style="108" customWidth="1"/>
    <col min="15" max="16384" width="9.140625" style="108"/>
  </cols>
  <sheetData>
    <row r="2" spans="1:15" ht="15.75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6.5" x14ac:dyDescent="0.25">
      <c r="B3" s="109"/>
    </row>
    <row r="4" spans="1:15" ht="16.5" x14ac:dyDescent="0.25">
      <c r="A4" s="110" t="s">
        <v>697</v>
      </c>
      <c r="B4" s="334" t="s">
        <v>698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</row>
    <row r="5" spans="1:15" x14ac:dyDescent="0.2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5" x14ac:dyDescent="0.25"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1:15" x14ac:dyDescent="0.25">
      <c r="B7" s="181" t="s">
        <v>792</v>
      </c>
      <c r="C7" s="182">
        <v>2024</v>
      </c>
      <c r="D7" s="182">
        <f t="shared" ref="D7:J7" si="0">C7+1</f>
        <v>2025</v>
      </c>
      <c r="E7" s="182">
        <f t="shared" si="0"/>
        <v>2026</v>
      </c>
      <c r="F7" s="182">
        <f t="shared" si="0"/>
        <v>2027</v>
      </c>
      <c r="G7" s="182">
        <f t="shared" si="0"/>
        <v>2028</v>
      </c>
      <c r="H7" s="182">
        <f t="shared" si="0"/>
        <v>2029</v>
      </c>
      <c r="I7" s="182">
        <f>H7+1</f>
        <v>2030</v>
      </c>
      <c r="J7" s="182">
        <f t="shared" si="0"/>
        <v>2031</v>
      </c>
      <c r="K7" s="182">
        <f>J7+1</f>
        <v>2032</v>
      </c>
      <c r="L7" s="182">
        <f>K7+1</f>
        <v>2033</v>
      </c>
      <c r="M7" s="182">
        <f>L7+1</f>
        <v>2034</v>
      </c>
      <c r="N7" s="182">
        <f>M7+1</f>
        <v>2035</v>
      </c>
      <c r="O7" s="182" t="s">
        <v>561</v>
      </c>
    </row>
    <row r="8" spans="1:15" x14ac:dyDescent="0.25">
      <c r="B8" s="183" t="s">
        <v>632</v>
      </c>
      <c r="C8" s="184">
        <v>0</v>
      </c>
      <c r="D8" s="184">
        <f t="shared" ref="D8:J8" si="1">C11</f>
        <v>2000</v>
      </c>
      <c r="E8" s="184">
        <f t="shared" si="1"/>
        <v>1980</v>
      </c>
      <c r="F8" s="184">
        <f t="shared" si="1"/>
        <v>1880</v>
      </c>
      <c r="G8" s="184">
        <f t="shared" si="1"/>
        <v>1720</v>
      </c>
      <c r="H8" s="184">
        <f t="shared" si="1"/>
        <v>1560</v>
      </c>
      <c r="I8" s="184">
        <f t="shared" si="1"/>
        <v>1400</v>
      </c>
      <c r="J8" s="184">
        <f t="shared" si="1"/>
        <v>1200</v>
      </c>
      <c r="K8" s="184">
        <f t="shared" ref="K8" si="2">J11</f>
        <v>1000</v>
      </c>
      <c r="L8" s="184">
        <f t="shared" ref="L8" si="3">K11</f>
        <v>760</v>
      </c>
      <c r="M8" s="184">
        <f t="shared" ref="M8" si="4">L11</f>
        <v>520</v>
      </c>
      <c r="N8" s="189">
        <f>M11</f>
        <v>240</v>
      </c>
      <c r="O8" s="180"/>
    </row>
    <row r="9" spans="1:15" x14ac:dyDescent="0.25">
      <c r="B9" s="183" t="s">
        <v>631</v>
      </c>
      <c r="C9" s="184">
        <f>C33</f>
        <v>2000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/>
      <c r="J9" s="184"/>
      <c r="K9" s="184"/>
      <c r="L9" s="184"/>
      <c r="M9" s="184"/>
      <c r="N9" s="189"/>
      <c r="O9" s="180"/>
    </row>
    <row r="10" spans="1:15" x14ac:dyDescent="0.25">
      <c r="B10" s="183" t="s">
        <v>562</v>
      </c>
      <c r="C10" s="184">
        <f>SUM(D25:D25)</f>
        <v>0</v>
      </c>
      <c r="D10" s="184">
        <f>SUM(D35:D46)</f>
        <v>20</v>
      </c>
      <c r="E10" s="184">
        <f>SUM(D48:D51)</f>
        <v>100</v>
      </c>
      <c r="F10" s="184">
        <f>SUM(D53:D56)</f>
        <v>160</v>
      </c>
      <c r="G10" s="184">
        <f>SUM(D58:D61)</f>
        <v>160</v>
      </c>
      <c r="H10" s="184">
        <f>SUM(D63:D66)</f>
        <v>160</v>
      </c>
      <c r="I10" s="184">
        <f>SUM(D68:D71)</f>
        <v>200</v>
      </c>
      <c r="J10" s="184">
        <f>SUM(D73:D76)</f>
        <v>200</v>
      </c>
      <c r="K10" s="184">
        <f>SUM(D78:D81)</f>
        <v>240</v>
      </c>
      <c r="L10" s="184">
        <f>SUM(D83:D86)</f>
        <v>240</v>
      </c>
      <c r="M10" s="184">
        <f>SUM(D88:D91)</f>
        <v>280</v>
      </c>
      <c r="N10" s="189">
        <f>SUM(D93:D96)</f>
        <v>239.99999999999977</v>
      </c>
      <c r="O10" s="185">
        <f>SUM(C10:N10)</f>
        <v>1999.9999999999998</v>
      </c>
    </row>
    <row r="11" spans="1:15" x14ac:dyDescent="0.25">
      <c r="B11" s="183" t="s">
        <v>563</v>
      </c>
      <c r="C11" s="184">
        <f t="shared" ref="C11:N11" si="5">C8+C9-C10</f>
        <v>2000</v>
      </c>
      <c r="D11" s="184">
        <f t="shared" si="5"/>
        <v>1980</v>
      </c>
      <c r="E11" s="184">
        <f t="shared" si="5"/>
        <v>1880</v>
      </c>
      <c r="F11" s="184">
        <f t="shared" si="5"/>
        <v>1720</v>
      </c>
      <c r="G11" s="184">
        <f t="shared" si="5"/>
        <v>1560</v>
      </c>
      <c r="H11" s="184">
        <f t="shared" si="5"/>
        <v>1400</v>
      </c>
      <c r="I11" s="184">
        <f t="shared" si="5"/>
        <v>1200</v>
      </c>
      <c r="J11" s="184">
        <f t="shared" si="5"/>
        <v>1000</v>
      </c>
      <c r="K11" s="184">
        <f t="shared" si="5"/>
        <v>760</v>
      </c>
      <c r="L11" s="184">
        <f t="shared" si="5"/>
        <v>520</v>
      </c>
      <c r="M11" s="184">
        <f t="shared" si="5"/>
        <v>240</v>
      </c>
      <c r="N11" s="186">
        <f t="shared" si="5"/>
        <v>2.2737367544323206E-13</v>
      </c>
      <c r="O11" s="185"/>
    </row>
    <row r="12" spans="1:15" x14ac:dyDescent="0.25">
      <c r="B12" s="183" t="s">
        <v>325</v>
      </c>
      <c r="C12" s="186">
        <f>SUM(F25:F33)</f>
        <v>118.125</v>
      </c>
      <c r="D12" s="186">
        <f>SUM(F35:F46)</f>
        <v>209.73749999999998</v>
      </c>
      <c r="E12" s="186">
        <f>SUM(F48:F51)</f>
        <v>202.64999999999998</v>
      </c>
      <c r="F12" s="186">
        <f>SUM(F53:F56)</f>
        <v>188.99999999999997</v>
      </c>
      <c r="G12" s="186">
        <f>SUM(F58:F61)</f>
        <v>172.19999999999996</v>
      </c>
      <c r="H12" s="186">
        <f>SUM(F63:F66)</f>
        <v>155.39999999999998</v>
      </c>
      <c r="I12" s="186">
        <f>SUM(F68:F71)</f>
        <v>136.49999999999997</v>
      </c>
      <c r="J12" s="186">
        <f>SUM(F73:F76)</f>
        <v>115.49999999999997</v>
      </c>
      <c r="K12" s="186">
        <f>SUM(F78:F81)</f>
        <v>92.399999999999963</v>
      </c>
      <c r="L12" s="186">
        <f>SUM(F83:F86)</f>
        <v>67.19999999999996</v>
      </c>
      <c r="M12" s="186">
        <f>SUM(F88:F91)</f>
        <v>39.89999999999997</v>
      </c>
      <c r="N12" s="189">
        <f>SUM(F93:F96)</f>
        <v>9.4499999999999851</v>
      </c>
      <c r="O12" s="185">
        <f>SUM(C12:N12)</f>
        <v>1508.0624999999995</v>
      </c>
    </row>
    <row r="13" spans="1:15" x14ac:dyDescent="0.25">
      <c r="B13" s="183" t="s">
        <v>564</v>
      </c>
      <c r="C13" s="186">
        <f>SUM(F25:F33)</f>
        <v>118.125</v>
      </c>
      <c r="D13" s="186">
        <f>SUM(F35:F37)</f>
        <v>52.5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90"/>
      <c r="O13" s="185">
        <f>SUM(C13:N13)</f>
        <v>170.625</v>
      </c>
    </row>
    <row r="14" spans="1:15" x14ac:dyDescent="0.25">
      <c r="B14" s="183" t="s">
        <v>565</v>
      </c>
      <c r="C14" s="187">
        <f t="shared" ref="C14:N14" si="6">C12-C13</f>
        <v>0</v>
      </c>
      <c r="D14" s="187">
        <f t="shared" si="6"/>
        <v>157.23749999999998</v>
      </c>
      <c r="E14" s="187">
        <f t="shared" si="6"/>
        <v>202.64999999999998</v>
      </c>
      <c r="F14" s="187">
        <f t="shared" si="6"/>
        <v>188.99999999999997</v>
      </c>
      <c r="G14" s="187">
        <f t="shared" si="6"/>
        <v>172.19999999999996</v>
      </c>
      <c r="H14" s="187">
        <f t="shared" si="6"/>
        <v>155.39999999999998</v>
      </c>
      <c r="I14" s="187">
        <f t="shared" si="6"/>
        <v>136.49999999999997</v>
      </c>
      <c r="J14" s="187">
        <f t="shared" si="6"/>
        <v>115.49999999999997</v>
      </c>
      <c r="K14" s="187">
        <f t="shared" si="6"/>
        <v>92.399999999999963</v>
      </c>
      <c r="L14" s="187">
        <f t="shared" si="6"/>
        <v>67.19999999999996</v>
      </c>
      <c r="M14" s="187">
        <f t="shared" si="6"/>
        <v>39.89999999999997</v>
      </c>
      <c r="N14" s="187">
        <f t="shared" si="6"/>
        <v>9.4499999999999851</v>
      </c>
      <c r="O14" s="185">
        <f>SUM(C14:N14)</f>
        <v>1337.4374999999995</v>
      </c>
    </row>
    <row r="15" spans="1:15" x14ac:dyDescent="0.25">
      <c r="N15" s="130"/>
    </row>
    <row r="16" spans="1:15" ht="16.5" x14ac:dyDescent="0.25">
      <c r="B16" s="109" t="s">
        <v>559</v>
      </c>
    </row>
    <row r="18" spans="1:8" x14ac:dyDescent="0.25">
      <c r="A18" s="116" t="s">
        <v>566</v>
      </c>
      <c r="B18" s="117" t="s">
        <v>567</v>
      </c>
      <c r="C18" s="129">
        <f>'CoP-MoF'!C18/A</f>
        <v>2000</v>
      </c>
      <c r="D18" s="412" t="s">
        <v>582</v>
      </c>
      <c r="E18" s="118" t="s">
        <v>568</v>
      </c>
      <c r="F18" s="118">
        <v>10</v>
      </c>
    </row>
    <row r="19" spans="1:8" x14ac:dyDescent="0.25">
      <c r="B19" s="117" t="s">
        <v>322</v>
      </c>
      <c r="C19" s="119">
        <f>'Loan Assumptions'!C13</f>
        <v>0.105</v>
      </c>
      <c r="D19" s="413"/>
      <c r="E19" s="119" t="s">
        <v>569</v>
      </c>
      <c r="F19" s="118" t="s">
        <v>583</v>
      </c>
      <c r="G19" s="136" t="s">
        <v>584</v>
      </c>
      <c r="H19" s="136" t="s">
        <v>696</v>
      </c>
    </row>
    <row r="20" spans="1:8" x14ac:dyDescent="0.25">
      <c r="B20" s="120"/>
      <c r="C20" s="121"/>
      <c r="D20" s="121"/>
      <c r="E20" s="121"/>
      <c r="F20" s="121"/>
    </row>
    <row r="21" spans="1:8" x14ac:dyDescent="0.25">
      <c r="B21" s="117"/>
      <c r="C21" s="122" t="s">
        <v>570</v>
      </c>
      <c r="D21" s="122" t="s">
        <v>571</v>
      </c>
      <c r="E21" s="122" t="s">
        <v>572</v>
      </c>
      <c r="F21" s="122" t="s">
        <v>325</v>
      </c>
      <c r="G21" s="136" t="s">
        <v>630</v>
      </c>
    </row>
    <row r="22" spans="1:8" hidden="1" x14ac:dyDescent="0.25">
      <c r="A22" s="123">
        <v>0</v>
      </c>
      <c r="B22" s="162" t="s">
        <v>669</v>
      </c>
      <c r="C22" s="124"/>
      <c r="D22" s="124"/>
      <c r="E22" s="124"/>
      <c r="F22" s="124"/>
    </row>
    <row r="23" spans="1:8" hidden="1" x14ac:dyDescent="0.25">
      <c r="A23" s="123"/>
      <c r="B23" s="125" t="s">
        <v>629</v>
      </c>
      <c r="C23" s="124">
        <f>C18*G23</f>
        <v>0</v>
      </c>
      <c r="D23" s="124">
        <v>0</v>
      </c>
      <c r="E23" s="124">
        <f t="shared" ref="E23" si="7">C23-D23</f>
        <v>0</v>
      </c>
      <c r="F23" s="124">
        <f>AVERAGE(C23,E23)*$C$19/12</f>
        <v>0</v>
      </c>
      <c r="G23" s="137">
        <v>0</v>
      </c>
    </row>
    <row r="24" spans="1:8" x14ac:dyDescent="0.25">
      <c r="A24" s="123">
        <v>1</v>
      </c>
      <c r="B24" s="162" t="s">
        <v>670</v>
      </c>
      <c r="C24" s="124"/>
      <c r="D24" s="124"/>
      <c r="E24" s="124"/>
      <c r="F24" s="124"/>
      <c r="H24" s="137"/>
    </row>
    <row r="25" spans="1:8" x14ac:dyDescent="0.25">
      <c r="A25" s="123"/>
      <c r="B25" s="125" t="s">
        <v>621</v>
      </c>
      <c r="C25" s="124">
        <f>C18*G25</f>
        <v>500</v>
      </c>
      <c r="D25" s="124">
        <v>0</v>
      </c>
      <c r="E25" s="124">
        <f t="shared" ref="E25:E30" si="8">C25-D25</f>
        <v>500</v>
      </c>
      <c r="F25" s="124">
        <f t="shared" ref="F25:F30" si="9">AVERAGE(C25,E25)*$C$19/12</f>
        <v>4.375</v>
      </c>
      <c r="G25" s="137">
        <v>0.25</v>
      </c>
      <c r="H25" s="123"/>
    </row>
    <row r="26" spans="1:8" x14ac:dyDescent="0.25">
      <c r="A26" s="123"/>
      <c r="B26" s="125" t="s">
        <v>622</v>
      </c>
      <c r="C26" s="124">
        <f t="shared" ref="C26:C31" si="10">C25+$C$18*G26</f>
        <v>900</v>
      </c>
      <c r="D26" s="124">
        <f t="shared" ref="D26:D30" si="11">D25</f>
        <v>0</v>
      </c>
      <c r="E26" s="124">
        <f t="shared" si="8"/>
        <v>900</v>
      </c>
      <c r="F26" s="124">
        <f t="shared" si="9"/>
        <v>7.875</v>
      </c>
      <c r="G26" s="137">
        <v>0.2</v>
      </c>
      <c r="H26" s="123"/>
    </row>
    <row r="27" spans="1:8" x14ac:dyDescent="0.25">
      <c r="A27" s="123"/>
      <c r="B27" s="125" t="s">
        <v>623</v>
      </c>
      <c r="C27" s="124">
        <f t="shared" si="10"/>
        <v>1200</v>
      </c>
      <c r="D27" s="124">
        <f t="shared" si="11"/>
        <v>0</v>
      </c>
      <c r="E27" s="124">
        <f t="shared" si="8"/>
        <v>1200</v>
      </c>
      <c r="F27" s="124">
        <f t="shared" si="9"/>
        <v>10.5</v>
      </c>
      <c r="G27" s="137">
        <v>0.15</v>
      </c>
      <c r="H27" s="123"/>
    </row>
    <row r="28" spans="1:8" x14ac:dyDescent="0.25">
      <c r="A28" s="123"/>
      <c r="B28" s="125" t="s">
        <v>624</v>
      </c>
      <c r="C28" s="124">
        <f t="shared" si="10"/>
        <v>1400</v>
      </c>
      <c r="D28" s="124">
        <f t="shared" si="11"/>
        <v>0</v>
      </c>
      <c r="E28" s="124">
        <f t="shared" si="8"/>
        <v>1400</v>
      </c>
      <c r="F28" s="124">
        <f t="shared" si="9"/>
        <v>12.25</v>
      </c>
      <c r="G28" s="137">
        <v>0.1</v>
      </c>
      <c r="H28" s="123"/>
    </row>
    <row r="29" spans="1:8" x14ac:dyDescent="0.25">
      <c r="A29" s="123"/>
      <c r="B29" s="125" t="s">
        <v>625</v>
      </c>
      <c r="C29" s="124">
        <f t="shared" si="10"/>
        <v>1600</v>
      </c>
      <c r="D29" s="124">
        <f t="shared" si="11"/>
        <v>0</v>
      </c>
      <c r="E29" s="124">
        <f t="shared" si="8"/>
        <v>1600</v>
      </c>
      <c r="F29" s="124">
        <f t="shared" si="9"/>
        <v>14</v>
      </c>
      <c r="G29" s="137">
        <v>0.1</v>
      </c>
      <c r="H29" s="123"/>
    </row>
    <row r="30" spans="1:8" x14ac:dyDescent="0.25">
      <c r="A30" s="123"/>
      <c r="B30" s="125" t="s">
        <v>626</v>
      </c>
      <c r="C30" s="124">
        <f t="shared" si="10"/>
        <v>1900</v>
      </c>
      <c r="D30" s="124">
        <f t="shared" si="11"/>
        <v>0</v>
      </c>
      <c r="E30" s="124">
        <f t="shared" si="8"/>
        <v>1900</v>
      </c>
      <c r="F30" s="124">
        <f t="shared" si="9"/>
        <v>16.625</v>
      </c>
      <c r="G30" s="137">
        <v>0.15</v>
      </c>
      <c r="H30" s="123"/>
    </row>
    <row r="31" spans="1:8" x14ac:dyDescent="0.25">
      <c r="A31" s="123"/>
      <c r="B31" s="125" t="s">
        <v>627</v>
      </c>
      <c r="C31" s="124">
        <f t="shared" si="10"/>
        <v>2000</v>
      </c>
      <c r="D31" s="124">
        <f t="shared" ref="D31:D46" si="12">D30</f>
        <v>0</v>
      </c>
      <c r="E31" s="124">
        <f t="shared" ref="E31:E33" si="13">C31-D31</f>
        <v>2000</v>
      </c>
      <c r="F31" s="124">
        <f t="shared" ref="F31:F46" si="14">AVERAGE(C31,E31)*$C$19/12</f>
        <v>17.5</v>
      </c>
      <c r="G31" s="137">
        <v>0.05</v>
      </c>
      <c r="H31" s="123"/>
    </row>
    <row r="32" spans="1:8" x14ac:dyDescent="0.25">
      <c r="A32" s="123"/>
      <c r="B32" s="125" t="s">
        <v>628</v>
      </c>
      <c r="C32" s="124">
        <f t="shared" ref="C32:C33" si="15">E31</f>
        <v>2000</v>
      </c>
      <c r="D32" s="124">
        <f t="shared" si="12"/>
        <v>0</v>
      </c>
      <c r="E32" s="124">
        <f t="shared" si="13"/>
        <v>2000</v>
      </c>
      <c r="F32" s="124">
        <f t="shared" si="14"/>
        <v>17.5</v>
      </c>
      <c r="H32" s="123"/>
    </row>
    <row r="33" spans="1:8" x14ac:dyDescent="0.25">
      <c r="A33" s="123"/>
      <c r="B33" s="125" t="s">
        <v>629</v>
      </c>
      <c r="C33" s="124">
        <f t="shared" si="15"/>
        <v>2000</v>
      </c>
      <c r="D33" s="124">
        <f t="shared" si="12"/>
        <v>0</v>
      </c>
      <c r="E33" s="124">
        <f t="shared" si="13"/>
        <v>2000</v>
      </c>
      <c r="F33" s="124">
        <f t="shared" si="14"/>
        <v>17.5</v>
      </c>
      <c r="H33" s="123"/>
    </row>
    <row r="34" spans="1:8" x14ac:dyDescent="0.25">
      <c r="A34" s="123">
        <f>A24+1</f>
        <v>2</v>
      </c>
      <c r="B34" s="162" t="s">
        <v>671</v>
      </c>
      <c r="C34" s="124"/>
      <c r="D34" s="124"/>
      <c r="E34" s="124"/>
      <c r="F34" s="124"/>
      <c r="H34" s="137">
        <v>0.04</v>
      </c>
    </row>
    <row r="35" spans="1:8" x14ac:dyDescent="0.25">
      <c r="A35" s="123"/>
      <c r="B35" s="194" t="s">
        <v>723</v>
      </c>
      <c r="C35" s="124">
        <f>E33</f>
        <v>2000</v>
      </c>
      <c r="D35" s="124">
        <f t="shared" si="12"/>
        <v>0</v>
      </c>
      <c r="E35" s="124">
        <f t="shared" ref="E35" si="16">C35-D35</f>
        <v>2000</v>
      </c>
      <c r="F35" s="124">
        <f t="shared" si="14"/>
        <v>17.5</v>
      </c>
      <c r="H35" s="137"/>
    </row>
    <row r="36" spans="1:8" x14ac:dyDescent="0.25">
      <c r="A36" s="123"/>
      <c r="B36" s="194" t="s">
        <v>619</v>
      </c>
      <c r="C36" s="124">
        <f>E35</f>
        <v>2000</v>
      </c>
      <c r="D36" s="124">
        <f t="shared" si="12"/>
        <v>0</v>
      </c>
      <c r="E36" s="124">
        <f t="shared" ref="E36:E46" si="17">C36-D36</f>
        <v>2000</v>
      </c>
      <c r="F36" s="124">
        <f t="shared" si="14"/>
        <v>17.5</v>
      </c>
      <c r="H36" s="137"/>
    </row>
    <row r="37" spans="1:8" x14ac:dyDescent="0.25">
      <c r="A37" s="123"/>
      <c r="B37" s="194" t="s">
        <v>620</v>
      </c>
      <c r="C37" s="124">
        <f t="shared" ref="C37:C46" si="18">E36</f>
        <v>2000</v>
      </c>
      <c r="D37" s="124">
        <f t="shared" si="12"/>
        <v>0</v>
      </c>
      <c r="E37" s="124">
        <f t="shared" si="17"/>
        <v>2000</v>
      </c>
      <c r="F37" s="124">
        <f t="shared" si="14"/>
        <v>17.5</v>
      </c>
      <c r="H37" s="137"/>
    </row>
    <row r="38" spans="1:8" x14ac:dyDescent="0.25">
      <c r="A38" s="123"/>
      <c r="B38" s="194" t="s">
        <v>621</v>
      </c>
      <c r="C38" s="124">
        <f t="shared" si="18"/>
        <v>2000</v>
      </c>
      <c r="D38" s="124">
        <f t="shared" si="12"/>
        <v>0</v>
      </c>
      <c r="E38" s="124">
        <f t="shared" si="17"/>
        <v>2000</v>
      </c>
      <c r="F38" s="124">
        <f t="shared" si="14"/>
        <v>17.5</v>
      </c>
      <c r="H38" s="137"/>
    </row>
    <row r="39" spans="1:8" x14ac:dyDescent="0.25">
      <c r="A39" s="123"/>
      <c r="B39" s="194" t="s">
        <v>622</v>
      </c>
      <c r="C39" s="124">
        <f t="shared" si="18"/>
        <v>2000</v>
      </c>
      <c r="D39" s="124">
        <f t="shared" si="12"/>
        <v>0</v>
      </c>
      <c r="E39" s="124">
        <f t="shared" si="17"/>
        <v>2000</v>
      </c>
      <c r="F39" s="124">
        <f t="shared" si="14"/>
        <v>17.5</v>
      </c>
      <c r="H39" s="137"/>
    </row>
    <row r="40" spans="1:8" x14ac:dyDescent="0.25">
      <c r="A40" s="123"/>
      <c r="B40" s="194" t="s">
        <v>623</v>
      </c>
      <c r="C40" s="124">
        <f t="shared" si="18"/>
        <v>2000</v>
      </c>
      <c r="D40" s="124">
        <f t="shared" si="12"/>
        <v>0</v>
      </c>
      <c r="E40" s="124">
        <f t="shared" si="17"/>
        <v>2000</v>
      </c>
      <c r="F40" s="124">
        <f t="shared" si="14"/>
        <v>17.5</v>
      </c>
      <c r="H40" s="137"/>
    </row>
    <row r="41" spans="1:8" x14ac:dyDescent="0.25">
      <c r="A41" s="123"/>
      <c r="B41" s="194" t="s">
        <v>624</v>
      </c>
      <c r="C41" s="124">
        <f t="shared" si="18"/>
        <v>2000</v>
      </c>
      <c r="D41" s="124">
        <v>0</v>
      </c>
      <c r="E41" s="124">
        <f t="shared" si="17"/>
        <v>2000</v>
      </c>
      <c r="F41" s="124">
        <f t="shared" si="14"/>
        <v>17.5</v>
      </c>
      <c r="H41" s="137"/>
    </row>
    <row r="42" spans="1:8" x14ac:dyDescent="0.25">
      <c r="A42" s="123"/>
      <c r="B42" s="194" t="s">
        <v>625</v>
      </c>
      <c r="C42" s="124">
        <f t="shared" si="18"/>
        <v>2000</v>
      </c>
      <c r="D42" s="124">
        <v>0</v>
      </c>
      <c r="E42" s="124">
        <f t="shared" si="17"/>
        <v>2000</v>
      </c>
      <c r="F42" s="124">
        <f t="shared" si="14"/>
        <v>17.5</v>
      </c>
      <c r="H42" s="137"/>
    </row>
    <row r="43" spans="1:8" x14ac:dyDescent="0.25">
      <c r="A43" s="123"/>
      <c r="B43" s="194" t="s">
        <v>626</v>
      </c>
      <c r="C43" s="124">
        <f t="shared" si="18"/>
        <v>2000</v>
      </c>
      <c r="D43" s="124">
        <v>0</v>
      </c>
      <c r="E43" s="124">
        <f t="shared" si="17"/>
        <v>2000</v>
      </c>
      <c r="F43" s="124">
        <f t="shared" si="14"/>
        <v>17.5</v>
      </c>
      <c r="H43" s="137"/>
    </row>
    <row r="44" spans="1:8" x14ac:dyDescent="0.25">
      <c r="A44" s="123"/>
      <c r="B44" s="194" t="s">
        <v>627</v>
      </c>
      <c r="C44" s="124">
        <f t="shared" si="18"/>
        <v>2000</v>
      </c>
      <c r="D44" s="124">
        <f>$C$33*H34/12</f>
        <v>6.666666666666667</v>
      </c>
      <c r="E44" s="124">
        <f t="shared" si="17"/>
        <v>1993.3333333333333</v>
      </c>
      <c r="F44" s="124">
        <f t="shared" si="14"/>
        <v>17.470833333333331</v>
      </c>
      <c r="H44" s="137"/>
    </row>
    <row r="45" spans="1:8" x14ac:dyDescent="0.25">
      <c r="A45" s="123"/>
      <c r="B45" s="194" t="s">
        <v>628</v>
      </c>
      <c r="C45" s="124">
        <f t="shared" si="18"/>
        <v>1993.3333333333333</v>
      </c>
      <c r="D45" s="124">
        <f t="shared" si="12"/>
        <v>6.666666666666667</v>
      </c>
      <c r="E45" s="124">
        <f t="shared" si="17"/>
        <v>1986.6666666666665</v>
      </c>
      <c r="F45" s="124">
        <f t="shared" si="14"/>
        <v>17.412499999999998</v>
      </c>
      <c r="H45" s="137"/>
    </row>
    <row r="46" spans="1:8" x14ac:dyDescent="0.25">
      <c r="A46" s="123"/>
      <c r="B46" s="194" t="s">
        <v>629</v>
      </c>
      <c r="C46" s="124">
        <f t="shared" si="18"/>
        <v>1986.6666666666665</v>
      </c>
      <c r="D46" s="124">
        <f t="shared" si="12"/>
        <v>6.666666666666667</v>
      </c>
      <c r="E46" s="124">
        <f t="shared" si="17"/>
        <v>1979.9999999999998</v>
      </c>
      <c r="F46" s="124">
        <f t="shared" si="14"/>
        <v>17.354166666666664</v>
      </c>
      <c r="H46" s="137"/>
    </row>
    <row r="47" spans="1:8" x14ac:dyDescent="0.25">
      <c r="A47" s="123">
        <f>A34+1</f>
        <v>3</v>
      </c>
      <c r="B47" s="162" t="s">
        <v>672</v>
      </c>
      <c r="C47" s="124"/>
      <c r="D47" s="169"/>
      <c r="E47" s="169"/>
      <c r="F47" s="169"/>
      <c r="H47" s="137">
        <v>0.05</v>
      </c>
    </row>
    <row r="48" spans="1:8" x14ac:dyDescent="0.25">
      <c r="A48" s="123"/>
      <c r="B48" s="125" t="s">
        <v>573</v>
      </c>
      <c r="C48" s="124">
        <f>E46</f>
        <v>1979.9999999999998</v>
      </c>
      <c r="D48" s="124">
        <f>$C$33*H47/4</f>
        <v>25</v>
      </c>
      <c r="E48" s="124">
        <f>C48-D48</f>
        <v>1954.9999999999998</v>
      </c>
      <c r="F48" s="124">
        <f>AVERAGE(C48,E48)*$C$19/4</f>
        <v>51.646874999999994</v>
      </c>
      <c r="H48" s="123"/>
    </row>
    <row r="49" spans="1:8" x14ac:dyDescent="0.25">
      <c r="A49" s="123"/>
      <c r="B49" s="125" t="s">
        <v>574</v>
      </c>
      <c r="C49" s="124">
        <f>E48</f>
        <v>1954.9999999999998</v>
      </c>
      <c r="D49" s="124">
        <f>D48</f>
        <v>25</v>
      </c>
      <c r="E49" s="124">
        <f>C49-D49</f>
        <v>1929.9999999999998</v>
      </c>
      <c r="F49" s="124">
        <f>AVERAGE(C49,E49)*$C$19/4</f>
        <v>50.990624999999994</v>
      </c>
      <c r="H49" s="123"/>
    </row>
    <row r="50" spans="1:8" x14ac:dyDescent="0.25">
      <c r="A50" s="123"/>
      <c r="B50" s="125" t="s">
        <v>575</v>
      </c>
      <c r="C50" s="124">
        <f>E49</f>
        <v>1929.9999999999998</v>
      </c>
      <c r="D50" s="124">
        <f>D49</f>
        <v>25</v>
      </c>
      <c r="E50" s="124">
        <f>C50-D50</f>
        <v>1904.9999999999998</v>
      </c>
      <c r="F50" s="124">
        <f>AVERAGE(C50,E50)*$C$19/4</f>
        <v>50.334374999999994</v>
      </c>
      <c r="H50" s="123"/>
    </row>
    <row r="51" spans="1:8" x14ac:dyDescent="0.25">
      <c r="A51" s="123"/>
      <c r="B51" s="125" t="s">
        <v>576</v>
      </c>
      <c r="C51" s="124">
        <f>E50</f>
        <v>1904.9999999999998</v>
      </c>
      <c r="D51" s="124">
        <f>D50</f>
        <v>25</v>
      </c>
      <c r="E51" s="124">
        <f>C51-D51</f>
        <v>1879.9999999999998</v>
      </c>
      <c r="F51" s="124">
        <f>AVERAGE(C51,E51)*$C$19/4</f>
        <v>49.678124999999994</v>
      </c>
      <c r="H51" s="123"/>
    </row>
    <row r="52" spans="1:8" x14ac:dyDescent="0.25">
      <c r="A52" s="123">
        <f>A47+1</f>
        <v>4</v>
      </c>
      <c r="B52" s="162" t="s">
        <v>673</v>
      </c>
      <c r="C52" s="124"/>
      <c r="D52" s="169"/>
      <c r="E52" s="169"/>
      <c r="F52" s="124"/>
      <c r="H52" s="137">
        <v>0.08</v>
      </c>
    </row>
    <row r="53" spans="1:8" x14ac:dyDescent="0.25">
      <c r="A53" s="123"/>
      <c r="B53" s="125" t="s">
        <v>573</v>
      </c>
      <c r="C53" s="124">
        <f>E51</f>
        <v>1879.9999999999998</v>
      </c>
      <c r="D53" s="124">
        <f>$C$33*H52/4</f>
        <v>40</v>
      </c>
      <c r="E53" s="124">
        <f>C53-D53</f>
        <v>1839.9999999999998</v>
      </c>
      <c r="F53" s="124">
        <f>AVERAGE(C53,E53)*$C$19/4</f>
        <v>48.824999999999996</v>
      </c>
      <c r="H53" s="123"/>
    </row>
    <row r="54" spans="1:8" x14ac:dyDescent="0.25">
      <c r="A54" s="123"/>
      <c r="B54" s="125" t="s">
        <v>574</v>
      </c>
      <c r="C54" s="124">
        <f>E53</f>
        <v>1839.9999999999998</v>
      </c>
      <c r="D54" s="124">
        <f>D53</f>
        <v>40</v>
      </c>
      <c r="E54" s="124">
        <f>C54-D54</f>
        <v>1799.9999999999998</v>
      </c>
      <c r="F54" s="124">
        <f>AVERAGE(C54,E54)*$C$19/4</f>
        <v>47.774999999999991</v>
      </c>
      <c r="H54" s="123"/>
    </row>
    <row r="55" spans="1:8" x14ac:dyDescent="0.25">
      <c r="A55" s="123"/>
      <c r="B55" s="125" t="s">
        <v>575</v>
      </c>
      <c r="C55" s="124">
        <f>E54</f>
        <v>1799.9999999999998</v>
      </c>
      <c r="D55" s="124">
        <f>D54</f>
        <v>40</v>
      </c>
      <c r="E55" s="124">
        <f>C55-D55</f>
        <v>1759.9999999999998</v>
      </c>
      <c r="F55" s="124">
        <f>AVERAGE(C55,E55)*$C$19/4</f>
        <v>46.724999999999994</v>
      </c>
      <c r="H55" s="123"/>
    </row>
    <row r="56" spans="1:8" x14ac:dyDescent="0.25">
      <c r="A56" s="123"/>
      <c r="B56" s="125" t="s">
        <v>576</v>
      </c>
      <c r="C56" s="124">
        <f>E55</f>
        <v>1759.9999999999998</v>
      </c>
      <c r="D56" s="124">
        <f>D55</f>
        <v>40</v>
      </c>
      <c r="E56" s="124">
        <f>C56-D56</f>
        <v>1719.9999999999998</v>
      </c>
      <c r="F56" s="124">
        <f>AVERAGE(C56,E56)*$C$19/4</f>
        <v>45.67499999999999</v>
      </c>
      <c r="H56" s="123"/>
    </row>
    <row r="57" spans="1:8" x14ac:dyDescent="0.25">
      <c r="A57" s="123">
        <f>A52+1</f>
        <v>5</v>
      </c>
      <c r="B57" s="162" t="s">
        <v>674</v>
      </c>
      <c r="C57" s="124"/>
      <c r="D57" s="169"/>
      <c r="E57" s="169"/>
      <c r="F57" s="124"/>
      <c r="H57" s="137">
        <v>0.08</v>
      </c>
    </row>
    <row r="58" spans="1:8" x14ac:dyDescent="0.25">
      <c r="A58" s="123"/>
      <c r="B58" s="125" t="s">
        <v>573</v>
      </c>
      <c r="C58" s="124">
        <f>E56</f>
        <v>1719.9999999999998</v>
      </c>
      <c r="D58" s="124">
        <f>$C$33*H57/4</f>
        <v>40</v>
      </c>
      <c r="E58" s="124">
        <f>C58-D58</f>
        <v>1679.9999999999998</v>
      </c>
      <c r="F58" s="124">
        <f>AVERAGE(C58,E58)*$C$19/4</f>
        <v>44.624999999999993</v>
      </c>
      <c r="H58" s="123"/>
    </row>
    <row r="59" spans="1:8" x14ac:dyDescent="0.25">
      <c r="A59" s="123"/>
      <c r="B59" s="125" t="s">
        <v>574</v>
      </c>
      <c r="C59" s="124">
        <f>E58</f>
        <v>1679.9999999999998</v>
      </c>
      <c r="D59" s="124">
        <f>D58</f>
        <v>40</v>
      </c>
      <c r="E59" s="124">
        <f>C59-D59</f>
        <v>1639.9999999999998</v>
      </c>
      <c r="F59" s="124">
        <f>AVERAGE(C59,E59)*$C$19/4</f>
        <v>43.574999999999996</v>
      </c>
      <c r="H59" s="123"/>
    </row>
    <row r="60" spans="1:8" x14ac:dyDescent="0.25">
      <c r="A60" s="123"/>
      <c r="B60" s="125" t="s">
        <v>575</v>
      </c>
      <c r="C60" s="124">
        <f>E59</f>
        <v>1639.9999999999998</v>
      </c>
      <c r="D60" s="124">
        <f>D59</f>
        <v>40</v>
      </c>
      <c r="E60" s="124">
        <f>C60-D60</f>
        <v>1599.9999999999998</v>
      </c>
      <c r="F60" s="124">
        <f>AVERAGE(C60,E60)*$C$19/4</f>
        <v>42.524999999999991</v>
      </c>
      <c r="H60" s="123"/>
    </row>
    <row r="61" spans="1:8" x14ac:dyDescent="0.25">
      <c r="A61" s="123"/>
      <c r="B61" s="125" t="s">
        <v>576</v>
      </c>
      <c r="C61" s="124">
        <f>E60</f>
        <v>1599.9999999999998</v>
      </c>
      <c r="D61" s="124">
        <f>D60</f>
        <v>40</v>
      </c>
      <c r="E61" s="124">
        <f>C61-D61</f>
        <v>1559.9999999999998</v>
      </c>
      <c r="F61" s="124">
        <f>AVERAGE(C61,E61)*$C$19/4</f>
        <v>41.474999999999994</v>
      </c>
      <c r="H61" s="123"/>
    </row>
    <row r="62" spans="1:8" x14ac:dyDescent="0.25">
      <c r="A62" s="123">
        <f>A57+1</f>
        <v>6</v>
      </c>
      <c r="B62" s="162" t="s">
        <v>675</v>
      </c>
      <c r="C62" s="124"/>
      <c r="D62" s="169"/>
      <c r="E62" s="169"/>
      <c r="F62" s="124"/>
      <c r="H62" s="137">
        <v>0.08</v>
      </c>
    </row>
    <row r="63" spans="1:8" x14ac:dyDescent="0.25">
      <c r="A63" s="123"/>
      <c r="B63" s="125" t="s">
        <v>573</v>
      </c>
      <c r="C63" s="124">
        <f>E61</f>
        <v>1559.9999999999998</v>
      </c>
      <c r="D63" s="124">
        <f>$C$33*H62/4</f>
        <v>40</v>
      </c>
      <c r="E63" s="124">
        <f>C63-D63</f>
        <v>1519.9999999999998</v>
      </c>
      <c r="F63" s="124">
        <f>AVERAGE(C63,E63)*$C$19/4</f>
        <v>40.42499999999999</v>
      </c>
    </row>
    <row r="64" spans="1:8" x14ac:dyDescent="0.25">
      <c r="A64" s="123"/>
      <c r="B64" s="125" t="s">
        <v>574</v>
      </c>
      <c r="C64" s="124">
        <f>E63</f>
        <v>1519.9999999999998</v>
      </c>
      <c r="D64" s="124">
        <f>D63</f>
        <v>40</v>
      </c>
      <c r="E64" s="124">
        <f>C64-D64</f>
        <v>1479.9999999999998</v>
      </c>
      <c r="F64" s="124">
        <f>AVERAGE(C64,E64)*$C$19/4</f>
        <v>39.374999999999993</v>
      </c>
    </row>
    <row r="65" spans="1:8" x14ac:dyDescent="0.25">
      <c r="A65" s="123"/>
      <c r="B65" s="125" t="s">
        <v>575</v>
      </c>
      <c r="C65" s="124">
        <f>E64</f>
        <v>1479.9999999999998</v>
      </c>
      <c r="D65" s="124">
        <f>D64</f>
        <v>40</v>
      </c>
      <c r="E65" s="124">
        <f>C65-D65</f>
        <v>1439.9999999999998</v>
      </c>
      <c r="F65" s="124">
        <f>AVERAGE(C65,E65)*$C$19/4</f>
        <v>38.324999999999996</v>
      </c>
    </row>
    <row r="66" spans="1:8" x14ac:dyDescent="0.25">
      <c r="A66" s="123"/>
      <c r="B66" s="125" t="s">
        <v>576</v>
      </c>
      <c r="C66" s="124">
        <f>E65</f>
        <v>1439.9999999999998</v>
      </c>
      <c r="D66" s="124">
        <f>D65</f>
        <v>40</v>
      </c>
      <c r="E66" s="124">
        <f>C66-D66</f>
        <v>1399.9999999999998</v>
      </c>
      <c r="F66" s="124">
        <f>AVERAGE(C66,E66)*$C$19/4</f>
        <v>37.274999999999991</v>
      </c>
    </row>
    <row r="67" spans="1:8" x14ac:dyDescent="0.25">
      <c r="A67" s="123">
        <f>A62+1</f>
        <v>7</v>
      </c>
      <c r="B67" s="162" t="s">
        <v>676</v>
      </c>
      <c r="C67" s="124"/>
      <c r="D67" s="169"/>
      <c r="E67" s="169"/>
      <c r="F67" s="124"/>
      <c r="H67" s="137">
        <v>0.1</v>
      </c>
    </row>
    <row r="68" spans="1:8" x14ac:dyDescent="0.25">
      <c r="A68" s="123"/>
      <c r="B68" s="125" t="s">
        <v>573</v>
      </c>
      <c r="C68" s="124">
        <f>E66</f>
        <v>1399.9999999999998</v>
      </c>
      <c r="D68" s="124">
        <f>$C$33*H67/4</f>
        <v>50</v>
      </c>
      <c r="E68" s="124">
        <f>C68-D68</f>
        <v>1349.9999999999998</v>
      </c>
      <c r="F68" s="124">
        <f>AVERAGE(C68,E68)*$C$19/4</f>
        <v>36.093749999999993</v>
      </c>
    </row>
    <row r="69" spans="1:8" x14ac:dyDescent="0.25">
      <c r="A69" s="123"/>
      <c r="B69" s="125" t="s">
        <v>574</v>
      </c>
      <c r="C69" s="124">
        <f>E68</f>
        <v>1349.9999999999998</v>
      </c>
      <c r="D69" s="124">
        <f>D68</f>
        <v>50</v>
      </c>
      <c r="E69" s="124">
        <f>C69-D69</f>
        <v>1299.9999999999998</v>
      </c>
      <c r="F69" s="124">
        <f>AVERAGE(C69,E69)*$C$19/4</f>
        <v>34.781249999999993</v>
      </c>
    </row>
    <row r="70" spans="1:8" x14ac:dyDescent="0.25">
      <c r="A70" s="123"/>
      <c r="B70" s="125" t="s">
        <v>575</v>
      </c>
      <c r="C70" s="124">
        <f>E69</f>
        <v>1299.9999999999998</v>
      </c>
      <c r="D70" s="124">
        <f>D69</f>
        <v>50</v>
      </c>
      <c r="E70" s="124">
        <f>C70-D70</f>
        <v>1249.9999999999998</v>
      </c>
      <c r="F70" s="124">
        <f>AVERAGE(C70,E70)*$C$19/4</f>
        <v>33.468749999999993</v>
      </c>
    </row>
    <row r="71" spans="1:8" x14ac:dyDescent="0.25">
      <c r="A71" s="123"/>
      <c r="B71" s="125" t="s">
        <v>576</v>
      </c>
      <c r="C71" s="124">
        <f>E70</f>
        <v>1249.9999999999998</v>
      </c>
      <c r="D71" s="124">
        <f>D70</f>
        <v>50</v>
      </c>
      <c r="E71" s="124">
        <f>C71-D71</f>
        <v>1199.9999999999998</v>
      </c>
      <c r="F71" s="124">
        <f>AVERAGE(C71,E71)*$C$19/4</f>
        <v>32.156249999999993</v>
      </c>
    </row>
    <row r="72" spans="1:8" x14ac:dyDescent="0.25">
      <c r="A72" s="123">
        <f>A67+1</f>
        <v>8</v>
      </c>
      <c r="B72" s="162" t="s">
        <v>677</v>
      </c>
      <c r="C72" s="124"/>
      <c r="D72" s="169"/>
      <c r="E72" s="169"/>
      <c r="F72" s="124"/>
      <c r="H72" s="137">
        <v>0.1</v>
      </c>
    </row>
    <row r="73" spans="1:8" x14ac:dyDescent="0.25">
      <c r="A73" s="123"/>
      <c r="B73" s="125" t="s">
        <v>573</v>
      </c>
      <c r="C73" s="124">
        <f>E71</f>
        <v>1199.9999999999998</v>
      </c>
      <c r="D73" s="124">
        <f>$C$33*H72/4</f>
        <v>50</v>
      </c>
      <c r="E73" s="124">
        <f>C73-D73</f>
        <v>1149.9999999999998</v>
      </c>
      <c r="F73" s="124">
        <f>AVERAGE(C73,E73)*$C$19/4</f>
        <v>30.843749999999993</v>
      </c>
    </row>
    <row r="74" spans="1:8" x14ac:dyDescent="0.25">
      <c r="A74" s="123"/>
      <c r="B74" s="125" t="s">
        <v>574</v>
      </c>
      <c r="C74" s="124">
        <f>E73</f>
        <v>1149.9999999999998</v>
      </c>
      <c r="D74" s="124">
        <f>D73</f>
        <v>50</v>
      </c>
      <c r="E74" s="124">
        <f>C74-D74</f>
        <v>1099.9999999999998</v>
      </c>
      <c r="F74" s="124">
        <f>AVERAGE(C74,E74)*$C$19/4</f>
        <v>29.531249999999993</v>
      </c>
    </row>
    <row r="75" spans="1:8" x14ac:dyDescent="0.25">
      <c r="A75" s="123"/>
      <c r="B75" s="125" t="s">
        <v>575</v>
      </c>
      <c r="C75" s="124">
        <f>E74</f>
        <v>1099.9999999999998</v>
      </c>
      <c r="D75" s="124">
        <f>D74</f>
        <v>50</v>
      </c>
      <c r="E75" s="124">
        <f>C75-D75</f>
        <v>1049.9999999999998</v>
      </c>
      <c r="F75" s="124">
        <f>AVERAGE(C75,E75)*$C$19/4</f>
        <v>28.218749999999993</v>
      </c>
    </row>
    <row r="76" spans="1:8" x14ac:dyDescent="0.25">
      <c r="A76" s="123"/>
      <c r="B76" s="125" t="s">
        <v>576</v>
      </c>
      <c r="C76" s="124">
        <f>E75</f>
        <v>1049.9999999999998</v>
      </c>
      <c r="D76" s="124">
        <f>D75</f>
        <v>50</v>
      </c>
      <c r="E76" s="124">
        <f>C76-D76</f>
        <v>999.99999999999977</v>
      </c>
      <c r="F76" s="124">
        <f>AVERAGE(C76,E76)*$C$19/4</f>
        <v>26.906249999999993</v>
      </c>
    </row>
    <row r="77" spans="1:8" x14ac:dyDescent="0.25">
      <c r="A77" s="123">
        <f>A72+1</f>
        <v>9</v>
      </c>
      <c r="B77" s="162" t="s">
        <v>678</v>
      </c>
      <c r="C77" s="124"/>
      <c r="D77" s="169"/>
      <c r="E77" s="169"/>
      <c r="F77" s="124"/>
      <c r="H77" s="137">
        <v>0.12</v>
      </c>
    </row>
    <row r="78" spans="1:8" x14ac:dyDescent="0.25">
      <c r="A78" s="123"/>
      <c r="B78" s="125" t="s">
        <v>573</v>
      </c>
      <c r="C78" s="124">
        <f>E76</f>
        <v>999.99999999999977</v>
      </c>
      <c r="D78" s="124">
        <f>$C$33*H77/4</f>
        <v>60</v>
      </c>
      <c r="E78" s="124">
        <f>C78-D78</f>
        <v>939.99999999999977</v>
      </c>
      <c r="F78" s="124">
        <f>AVERAGE(C78,E78)*$C$19/4</f>
        <v>25.462499999999991</v>
      </c>
    </row>
    <row r="79" spans="1:8" x14ac:dyDescent="0.25">
      <c r="A79" s="123"/>
      <c r="B79" s="125" t="s">
        <v>574</v>
      </c>
      <c r="C79" s="124">
        <f>E78</f>
        <v>939.99999999999977</v>
      </c>
      <c r="D79" s="124">
        <f>D78</f>
        <v>60</v>
      </c>
      <c r="E79" s="124">
        <f>C79-D79</f>
        <v>879.99999999999977</v>
      </c>
      <c r="F79" s="124">
        <f>AVERAGE(C79,E79)*$C$19/4</f>
        <v>23.887499999999992</v>
      </c>
    </row>
    <row r="80" spans="1:8" x14ac:dyDescent="0.25">
      <c r="A80" s="123"/>
      <c r="B80" s="125" t="s">
        <v>575</v>
      </c>
      <c r="C80" s="124">
        <f>E79</f>
        <v>879.99999999999977</v>
      </c>
      <c r="D80" s="124">
        <f>D79</f>
        <v>60</v>
      </c>
      <c r="E80" s="124">
        <f>C80-D80</f>
        <v>819.99999999999977</v>
      </c>
      <c r="F80" s="124">
        <f>AVERAGE(C80,E80)*$C$19/4</f>
        <v>22.312499999999993</v>
      </c>
    </row>
    <row r="81" spans="1:8" x14ac:dyDescent="0.25">
      <c r="A81" s="123"/>
      <c r="B81" s="125" t="s">
        <v>576</v>
      </c>
      <c r="C81" s="124">
        <f>E80</f>
        <v>819.99999999999977</v>
      </c>
      <c r="D81" s="124">
        <f>D80</f>
        <v>60</v>
      </c>
      <c r="E81" s="124">
        <f>C81-D81</f>
        <v>759.99999999999977</v>
      </c>
      <c r="F81" s="124">
        <f>AVERAGE(C81,E81)*$C$19/4</f>
        <v>20.737499999999994</v>
      </c>
    </row>
    <row r="82" spans="1:8" x14ac:dyDescent="0.25">
      <c r="A82" s="123">
        <f>A77+1</f>
        <v>10</v>
      </c>
      <c r="B82" s="162" t="s">
        <v>679</v>
      </c>
      <c r="C82" s="124"/>
      <c r="D82" s="169"/>
      <c r="E82" s="169"/>
      <c r="F82" s="124"/>
      <c r="H82" s="137">
        <v>0.12</v>
      </c>
    </row>
    <row r="83" spans="1:8" x14ac:dyDescent="0.25">
      <c r="A83" s="123"/>
      <c r="B83" s="125" t="s">
        <v>573</v>
      </c>
      <c r="C83" s="124">
        <f>E81</f>
        <v>759.99999999999977</v>
      </c>
      <c r="D83" s="124">
        <f>$C$33*H82/4</f>
        <v>60</v>
      </c>
      <c r="E83" s="124">
        <f>C83-D83</f>
        <v>699.99999999999977</v>
      </c>
      <c r="F83" s="124">
        <f>AVERAGE(C83,E83)*$C$19/4</f>
        <v>19.162499999999994</v>
      </c>
    </row>
    <row r="84" spans="1:8" x14ac:dyDescent="0.25">
      <c r="A84" s="123"/>
      <c r="B84" s="125" t="s">
        <v>574</v>
      </c>
      <c r="C84" s="124">
        <f>E83</f>
        <v>699.99999999999977</v>
      </c>
      <c r="D84" s="124">
        <f>D83</f>
        <v>60</v>
      </c>
      <c r="E84" s="124">
        <f>C84-D84</f>
        <v>639.99999999999977</v>
      </c>
      <c r="F84" s="124">
        <f>AVERAGE(C84,E84)*$C$19/4</f>
        <v>17.587499999999995</v>
      </c>
    </row>
    <row r="85" spans="1:8" x14ac:dyDescent="0.25">
      <c r="A85" s="123"/>
      <c r="B85" s="125" t="s">
        <v>575</v>
      </c>
      <c r="C85" s="124">
        <f>E84</f>
        <v>639.99999999999977</v>
      </c>
      <c r="D85" s="124">
        <f>D84</f>
        <v>60</v>
      </c>
      <c r="E85" s="124">
        <f>C85-D85</f>
        <v>579.99999999999977</v>
      </c>
      <c r="F85" s="124">
        <f>AVERAGE(C85,E85)*$C$19/4</f>
        <v>16.012499999999992</v>
      </c>
    </row>
    <row r="86" spans="1:8" x14ac:dyDescent="0.25">
      <c r="A86" s="123"/>
      <c r="B86" s="125" t="s">
        <v>576</v>
      </c>
      <c r="C86" s="124">
        <f>E85</f>
        <v>579.99999999999977</v>
      </c>
      <c r="D86" s="124">
        <f>D85</f>
        <v>60</v>
      </c>
      <c r="E86" s="124">
        <f>C86-D86</f>
        <v>519.99999999999977</v>
      </c>
      <c r="F86" s="124">
        <f>AVERAGE(C86,E86)*$C$19/4</f>
        <v>14.437499999999993</v>
      </c>
    </row>
    <row r="87" spans="1:8" x14ac:dyDescent="0.25">
      <c r="A87" s="123">
        <f>A82+1</f>
        <v>11</v>
      </c>
      <c r="B87" s="162" t="s">
        <v>680</v>
      </c>
      <c r="C87" s="124"/>
      <c r="D87" s="169"/>
      <c r="E87" s="169"/>
      <c r="F87" s="124"/>
      <c r="H87" s="137">
        <v>0.14000000000000001</v>
      </c>
    </row>
    <row r="88" spans="1:8" x14ac:dyDescent="0.25">
      <c r="A88" s="123"/>
      <c r="B88" s="125" t="s">
        <v>573</v>
      </c>
      <c r="C88" s="124">
        <f>E86</f>
        <v>519.99999999999977</v>
      </c>
      <c r="D88" s="124">
        <f>$C$33*H87/4</f>
        <v>70</v>
      </c>
      <c r="E88" s="124">
        <f>C88-D88</f>
        <v>449.99999999999977</v>
      </c>
      <c r="F88" s="124">
        <f>AVERAGE(C88,E88)*$C$19/4</f>
        <v>12.731249999999994</v>
      </c>
    </row>
    <row r="89" spans="1:8" x14ac:dyDescent="0.25">
      <c r="A89" s="123"/>
      <c r="B89" s="125" t="s">
        <v>574</v>
      </c>
      <c r="C89" s="124">
        <f>E88</f>
        <v>449.99999999999977</v>
      </c>
      <c r="D89" s="124">
        <f>D88</f>
        <v>70</v>
      </c>
      <c r="E89" s="124">
        <f>C89-D89</f>
        <v>379.99999999999977</v>
      </c>
      <c r="F89" s="124">
        <f>AVERAGE(C89,E89)*$C$19/4</f>
        <v>10.893749999999994</v>
      </c>
    </row>
    <row r="90" spans="1:8" x14ac:dyDescent="0.25">
      <c r="A90" s="123"/>
      <c r="B90" s="125" t="s">
        <v>575</v>
      </c>
      <c r="C90" s="124">
        <f>E89</f>
        <v>379.99999999999977</v>
      </c>
      <c r="D90" s="124">
        <f>D89</f>
        <v>70</v>
      </c>
      <c r="E90" s="124">
        <f>C90-D90</f>
        <v>309.99999999999977</v>
      </c>
      <c r="F90" s="124">
        <f>AVERAGE(C90,E90)*$C$19/4</f>
        <v>9.0562499999999932</v>
      </c>
    </row>
    <row r="91" spans="1:8" x14ac:dyDescent="0.25">
      <c r="A91" s="123"/>
      <c r="B91" s="125" t="s">
        <v>576</v>
      </c>
      <c r="C91" s="124">
        <f>E90</f>
        <v>309.99999999999977</v>
      </c>
      <c r="D91" s="124">
        <f>D90</f>
        <v>70</v>
      </c>
      <c r="E91" s="124">
        <f>C91-D91</f>
        <v>239.99999999999977</v>
      </c>
      <c r="F91" s="124">
        <f>AVERAGE(C91,E91)*$C$19/4</f>
        <v>7.2187499999999938</v>
      </c>
    </row>
    <row r="92" spans="1:8" x14ac:dyDescent="0.25">
      <c r="A92" s="123">
        <f>A87+1</f>
        <v>12</v>
      </c>
      <c r="B92" s="162" t="s">
        <v>711</v>
      </c>
      <c r="C92" s="124"/>
      <c r="D92" s="169"/>
      <c r="E92" s="169"/>
      <c r="F92" s="124"/>
      <c r="H92" s="137">
        <v>0.16</v>
      </c>
    </row>
    <row r="93" spans="1:8" x14ac:dyDescent="0.25">
      <c r="A93" s="123"/>
      <c r="B93" s="125" t="s">
        <v>573</v>
      </c>
      <c r="C93" s="124">
        <f>E91</f>
        <v>239.99999999999977</v>
      </c>
      <c r="D93" s="124">
        <f>$C$33*H92/4</f>
        <v>80</v>
      </c>
      <c r="E93" s="124">
        <f>C93-D93</f>
        <v>159.99999999999977</v>
      </c>
      <c r="F93" s="124">
        <f>AVERAGE(C93,E93)*$C$19/4</f>
        <v>5.2499999999999938</v>
      </c>
    </row>
    <row r="94" spans="1:8" x14ac:dyDescent="0.25">
      <c r="A94" s="123"/>
      <c r="B94" s="125" t="s">
        <v>574</v>
      </c>
      <c r="C94" s="124">
        <f>E93</f>
        <v>159.99999999999977</v>
      </c>
      <c r="D94" s="124">
        <f>D93</f>
        <v>80</v>
      </c>
      <c r="E94" s="124">
        <f>C94-D94</f>
        <v>79.999999999999773</v>
      </c>
      <c r="F94" s="124">
        <f>AVERAGE(C94,E94)*$C$19/4</f>
        <v>3.1499999999999937</v>
      </c>
    </row>
    <row r="95" spans="1:8" x14ac:dyDescent="0.25">
      <c r="A95" s="123"/>
      <c r="B95" s="125" t="s">
        <v>575</v>
      </c>
      <c r="C95" s="124">
        <f>E94</f>
        <v>79.999999999999773</v>
      </c>
      <c r="D95" s="124">
        <f>C95</f>
        <v>79.999999999999773</v>
      </c>
      <c r="E95" s="124">
        <f>C95-D95</f>
        <v>0</v>
      </c>
      <c r="F95" s="124">
        <f>AVERAGE(C95,E95)*$C$19/4</f>
        <v>1.0499999999999969</v>
      </c>
    </row>
    <row r="96" spans="1:8" x14ac:dyDescent="0.25">
      <c r="A96" s="123"/>
      <c r="B96" s="125" t="s">
        <v>576</v>
      </c>
      <c r="C96" s="124">
        <f>E95</f>
        <v>0</v>
      </c>
      <c r="D96" s="124">
        <v>0</v>
      </c>
      <c r="E96" s="124">
        <f>C96-D96</f>
        <v>0</v>
      </c>
      <c r="F96" s="124">
        <f>AVERAGE(C96,E96)*$C$19/4</f>
        <v>0</v>
      </c>
    </row>
    <row r="97" spans="1:16" x14ac:dyDescent="0.25">
      <c r="A97" s="123"/>
      <c r="B97" s="125"/>
      <c r="C97" s="124"/>
      <c r="D97" s="124"/>
      <c r="E97" s="124"/>
      <c r="F97" s="124"/>
    </row>
    <row r="98" spans="1:16" x14ac:dyDescent="0.25">
      <c r="B98" s="125"/>
      <c r="C98" s="126"/>
      <c r="D98" s="126"/>
      <c r="E98" s="126"/>
      <c r="F98" s="126"/>
    </row>
    <row r="100" spans="1:16" x14ac:dyDescent="0.25">
      <c r="B100" s="127" t="s">
        <v>561</v>
      </c>
      <c r="D100" s="115">
        <f>SUM(D23:D98)</f>
        <v>1999.9999999999998</v>
      </c>
      <c r="E100" s="115"/>
      <c r="F100" s="115">
        <f>SUM(F23:F98)</f>
        <v>1508.0625000000005</v>
      </c>
      <c r="H100" s="170"/>
    </row>
    <row r="103" spans="1:16" x14ac:dyDescent="0.25">
      <c r="B103" s="127" t="s">
        <v>577</v>
      </c>
      <c r="D103" s="123" t="s">
        <v>578</v>
      </c>
      <c r="E103" s="179">
        <f>'Loan Assumptions'!C13</f>
        <v>0.105</v>
      </c>
    </row>
    <row r="104" spans="1:16" ht="15" thickBot="1" x14ac:dyDescent="0.3"/>
    <row r="105" spans="1:16" ht="20.100000000000001" customHeight="1" thickBot="1" x14ac:dyDescent="0.3">
      <c r="B105" s="111" t="s">
        <v>560</v>
      </c>
      <c r="C105" s="112"/>
      <c r="D105" s="112">
        <v>2025</v>
      </c>
      <c r="E105" s="112">
        <f t="shared" ref="E105:J105" si="19">D105+1</f>
        <v>2026</v>
      </c>
      <c r="F105" s="112">
        <f t="shared" si="19"/>
        <v>2027</v>
      </c>
      <c r="G105" s="112">
        <f t="shared" si="19"/>
        <v>2028</v>
      </c>
      <c r="H105" s="112">
        <f t="shared" si="19"/>
        <v>2029</v>
      </c>
      <c r="I105" s="112">
        <f t="shared" si="19"/>
        <v>2030</v>
      </c>
      <c r="J105" s="112">
        <f t="shared" si="19"/>
        <v>2031</v>
      </c>
      <c r="K105" s="112">
        <f>J105+1</f>
        <v>2032</v>
      </c>
      <c r="L105" s="112">
        <f t="shared" ref="L105:N105" si="20">K105+1</f>
        <v>2033</v>
      </c>
      <c r="M105" s="112">
        <f t="shared" si="20"/>
        <v>2034</v>
      </c>
      <c r="N105" s="112">
        <f t="shared" si="20"/>
        <v>2035</v>
      </c>
      <c r="O105" s="112"/>
      <c r="P105" s="112"/>
    </row>
    <row r="106" spans="1:16" ht="20.100000000000001" customHeight="1" x14ac:dyDescent="0.25">
      <c r="B106" s="113" t="s">
        <v>579</v>
      </c>
      <c r="C106" s="114"/>
      <c r="D106" s="114">
        <f>'CoP-MoF'!C23/A</f>
        <v>50</v>
      </c>
      <c r="E106" s="114">
        <f t="shared" ref="E106:I106" si="21">D106</f>
        <v>50</v>
      </c>
      <c r="F106" s="114">
        <f t="shared" si="21"/>
        <v>50</v>
      </c>
      <c r="G106" s="114">
        <f t="shared" si="21"/>
        <v>50</v>
      </c>
      <c r="H106" s="114">
        <f t="shared" si="21"/>
        <v>50</v>
      </c>
      <c r="I106" s="114">
        <f t="shared" si="21"/>
        <v>50</v>
      </c>
      <c r="J106" s="114">
        <f>I106</f>
        <v>50</v>
      </c>
      <c r="K106" s="114">
        <f t="shared" ref="K106:N106" si="22">J106</f>
        <v>50</v>
      </c>
      <c r="L106" s="114">
        <f t="shared" si="22"/>
        <v>50</v>
      </c>
      <c r="M106" s="114">
        <f t="shared" si="22"/>
        <v>50</v>
      </c>
      <c r="N106" s="114">
        <f t="shared" si="22"/>
        <v>50</v>
      </c>
      <c r="O106" s="114"/>
      <c r="P106" s="114"/>
    </row>
    <row r="107" spans="1:16" ht="20.100000000000001" customHeight="1" x14ac:dyDescent="0.25">
      <c r="B107" s="113" t="s">
        <v>325</v>
      </c>
      <c r="C107" s="131"/>
      <c r="D107" s="131">
        <f t="shared" ref="D107:J107" si="23">D106*$E$103</f>
        <v>5.25</v>
      </c>
      <c r="E107" s="131">
        <f t="shared" si="23"/>
        <v>5.25</v>
      </c>
      <c r="F107" s="131">
        <f t="shared" si="23"/>
        <v>5.25</v>
      </c>
      <c r="G107" s="131">
        <f t="shared" si="23"/>
        <v>5.25</v>
      </c>
      <c r="H107" s="131">
        <f t="shared" si="23"/>
        <v>5.25</v>
      </c>
      <c r="I107" s="131">
        <f t="shared" si="23"/>
        <v>5.25</v>
      </c>
      <c r="J107" s="131">
        <f t="shared" si="23"/>
        <v>5.25</v>
      </c>
      <c r="K107" s="131">
        <f t="shared" ref="K107:M107" si="24">K106*$E$103</f>
        <v>5.25</v>
      </c>
      <c r="L107" s="131">
        <f t="shared" si="24"/>
        <v>5.25</v>
      </c>
      <c r="M107" s="131">
        <f t="shared" si="24"/>
        <v>5.25</v>
      </c>
      <c r="N107" s="131">
        <f t="shared" ref="N107" si="25">N106*$E$103</f>
        <v>5.25</v>
      </c>
      <c r="O107" s="131"/>
      <c r="P107" s="131"/>
    </row>
    <row r="109" spans="1:16" x14ac:dyDescent="0.25">
      <c r="B109" s="108" t="s">
        <v>580</v>
      </c>
      <c r="C109" s="123"/>
      <c r="D109" s="123">
        <v>12</v>
      </c>
      <c r="E109" s="123">
        <f>D109</f>
        <v>12</v>
      </c>
      <c r="F109" s="123">
        <f t="shared" ref="F109:J109" si="26">E109</f>
        <v>12</v>
      </c>
      <c r="G109" s="123">
        <f t="shared" si="26"/>
        <v>12</v>
      </c>
      <c r="H109" s="123">
        <f t="shared" si="26"/>
        <v>12</v>
      </c>
      <c r="I109" s="123">
        <f t="shared" si="26"/>
        <v>12</v>
      </c>
      <c r="J109" s="123">
        <f t="shared" si="26"/>
        <v>12</v>
      </c>
      <c r="K109" s="123">
        <f t="shared" ref="K109" si="27">J109</f>
        <v>12</v>
      </c>
      <c r="L109" s="123">
        <f t="shared" ref="L109" si="28">K109</f>
        <v>12</v>
      </c>
      <c r="M109" s="123">
        <f t="shared" ref="M109:N109" si="29">L109</f>
        <v>12</v>
      </c>
      <c r="N109" s="123">
        <f t="shared" si="29"/>
        <v>12</v>
      </c>
      <c r="O109" s="123"/>
      <c r="P109" s="123"/>
    </row>
    <row r="110" spans="1:16" x14ac:dyDescent="0.25"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</row>
    <row r="111" spans="1:16" x14ac:dyDescent="0.25">
      <c r="B111" s="151" t="s">
        <v>581</v>
      </c>
      <c r="C111" s="152"/>
      <c r="D111" s="152">
        <f t="shared" ref="D111:M111" si="30">D107*D109/12</f>
        <v>5.25</v>
      </c>
      <c r="E111" s="152">
        <f t="shared" si="30"/>
        <v>5.25</v>
      </c>
      <c r="F111" s="152">
        <f t="shared" si="30"/>
        <v>5.25</v>
      </c>
      <c r="G111" s="152">
        <f t="shared" si="30"/>
        <v>5.25</v>
      </c>
      <c r="H111" s="152">
        <f t="shared" si="30"/>
        <v>5.25</v>
      </c>
      <c r="I111" s="152">
        <f t="shared" si="30"/>
        <v>5.25</v>
      </c>
      <c r="J111" s="152">
        <f t="shared" si="30"/>
        <v>5.25</v>
      </c>
      <c r="K111" s="152">
        <f t="shared" si="30"/>
        <v>5.25</v>
      </c>
      <c r="L111" s="152">
        <f t="shared" si="30"/>
        <v>5.25</v>
      </c>
      <c r="M111" s="152">
        <f t="shared" si="30"/>
        <v>5.25</v>
      </c>
      <c r="N111" s="152">
        <f t="shared" ref="N111" si="31">N107*N109/12</f>
        <v>5.25</v>
      </c>
      <c r="O111" s="128"/>
      <c r="P111" s="128"/>
    </row>
  </sheetData>
  <mergeCells count="1">
    <mergeCell ref="D18:D19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53"/>
  <sheetViews>
    <sheetView topLeftCell="A2" zoomScaleNormal="10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D51" sqref="D51"/>
    </sheetView>
  </sheetViews>
  <sheetFormatPr defaultColWidth="32.28515625" defaultRowHeight="15" x14ac:dyDescent="0.25"/>
  <cols>
    <col min="1" max="1" width="38.42578125" style="217" customWidth="1"/>
    <col min="2" max="13" width="11.7109375" style="217" customWidth="1"/>
    <col min="14" max="16384" width="32.28515625" style="217"/>
  </cols>
  <sheetData>
    <row r="1" spans="1:13" s="246" customFormat="1" ht="26.1" customHeight="1" x14ac:dyDescent="0.25">
      <c r="A1" s="300" t="s">
        <v>17</v>
      </c>
      <c r="B1" s="301"/>
      <c r="C1" s="301"/>
      <c r="D1" s="301"/>
      <c r="E1" s="301"/>
      <c r="F1" s="301"/>
      <c r="G1" s="301"/>
      <c r="H1" s="301"/>
      <c r="I1" s="301"/>
    </row>
    <row r="2" spans="1:13" s="276" customFormat="1" ht="21" customHeight="1" x14ac:dyDescent="0.25">
      <c r="A2" s="306" t="s">
        <v>14</v>
      </c>
      <c r="B2" s="307">
        <v>2024</v>
      </c>
      <c r="C2" s="308">
        <v>2025</v>
      </c>
      <c r="D2" s="308">
        <f>C2+1</f>
        <v>2026</v>
      </c>
      <c r="E2" s="308">
        <f t="shared" ref="E2:M2" si="0">D2+1</f>
        <v>2027</v>
      </c>
      <c r="F2" s="308">
        <f t="shared" si="0"/>
        <v>2028</v>
      </c>
      <c r="G2" s="308">
        <f t="shared" si="0"/>
        <v>2029</v>
      </c>
      <c r="H2" s="308">
        <f t="shared" si="0"/>
        <v>2030</v>
      </c>
      <c r="I2" s="308">
        <f t="shared" si="0"/>
        <v>2031</v>
      </c>
      <c r="J2" s="308">
        <f t="shared" si="0"/>
        <v>2032</v>
      </c>
      <c r="K2" s="308">
        <f t="shared" si="0"/>
        <v>2033</v>
      </c>
      <c r="L2" s="308">
        <f t="shared" si="0"/>
        <v>2034</v>
      </c>
      <c r="M2" s="308">
        <f t="shared" si="0"/>
        <v>2035</v>
      </c>
    </row>
    <row r="3" spans="1:13" s="246" customFormat="1" ht="21" hidden="1" customHeight="1" x14ac:dyDescent="0.25">
      <c r="A3" s="305" t="s">
        <v>521</v>
      </c>
      <c r="B3" s="294"/>
      <c r="C3" s="294">
        <f>'P &amp; L'!C22</f>
        <v>454.7252390068</v>
      </c>
      <c r="D3" s="294">
        <f>'P &amp; L'!D22</f>
        <v>754.0802760112</v>
      </c>
      <c r="E3" s="294">
        <f>'P &amp; L'!E22</f>
        <v>791.92943981176006</v>
      </c>
      <c r="F3" s="294">
        <f>'P &amp; L'!F22</f>
        <v>831.67106180234782</v>
      </c>
      <c r="G3" s="294">
        <f>'P &amp; L'!G22</f>
        <v>873.39976489246544</v>
      </c>
      <c r="H3" s="294">
        <f>'P &amp; L'!H22</f>
        <v>919.56790313708905</v>
      </c>
      <c r="I3" s="294">
        <f>'P &amp; L'!I22</f>
        <v>965.57379829394336</v>
      </c>
      <c r="J3" s="294">
        <f>'P &amp; L'!J22</f>
        <v>1013.8799882086407</v>
      </c>
      <c r="K3" s="294">
        <f>'P &amp; L'!K22</f>
        <v>1064.6014876190727</v>
      </c>
      <c r="L3" s="294">
        <f>'P &amp; L'!L22</f>
        <v>1117.8590620000264</v>
      </c>
      <c r="M3" s="294">
        <f>'P &amp; L'!M22</f>
        <v>1173.7245151000277</v>
      </c>
    </row>
    <row r="4" spans="1:13" s="246" customFormat="1" ht="21" hidden="1" customHeight="1" x14ac:dyDescent="0.25">
      <c r="A4" s="305" t="s">
        <v>522</v>
      </c>
      <c r="B4" s="294"/>
      <c r="C4" s="294">
        <f>'P &amp; L'!C26+'P &amp; L'!C23</f>
        <v>58.250645200147773</v>
      </c>
      <c r="D4" s="294">
        <f>'P &amp; L'!D26+'P &amp; L'!D23</f>
        <v>412.24205565621088</v>
      </c>
      <c r="E4" s="294">
        <f>'P &amp; L'!E26+'P &amp; L'!E23</f>
        <v>496.93686845261789</v>
      </c>
      <c r="F4" s="294">
        <f>'P &amp; L'!F26+'P &amp; L'!F23</f>
        <v>576.86155049541594</v>
      </c>
      <c r="G4" s="294">
        <f>'P &amp; L'!G26+'P &amp; L'!G23</f>
        <v>653.07368719507826</v>
      </c>
      <c r="H4" s="294">
        <f>'P &amp; L'!H26+'P &amp; L'!H23</f>
        <v>728.84779331646439</v>
      </c>
      <c r="I4" s="294">
        <f>'P &amp; L'!I26+'P &amp; L'!I23</f>
        <v>800.28430554635133</v>
      </c>
      <c r="J4" s="294">
        <f>'P &amp; L'!J26+'P &amp; L'!J23</f>
        <v>870.4455099131327</v>
      </c>
      <c r="K4" s="294">
        <f>'P &amp; L'!K26+'P &amp; L'!K23</f>
        <v>939.95886255384141</v>
      </c>
      <c r="L4" s="294">
        <f>'P &amp; L'!L26+'P &amp; L'!L23</f>
        <v>1009.3830940319355</v>
      </c>
      <c r="M4" s="294">
        <f>'P &amp; L'!M26+'P &amp; L'!M23</f>
        <v>1079.1644293307702</v>
      </c>
    </row>
    <row r="5" spans="1:13" s="246" customFormat="1" ht="21" hidden="1" customHeight="1" x14ac:dyDescent="0.25">
      <c r="A5" s="305" t="s">
        <v>49</v>
      </c>
      <c r="B5" s="294"/>
      <c r="C5" s="294">
        <f>'P &amp; L'!C26</f>
        <v>-98.98685479985221</v>
      </c>
      <c r="D5" s="294">
        <f>'P &amp; L'!D26</f>
        <v>209.5920556562109</v>
      </c>
      <c r="E5" s="294">
        <f>'P &amp; L'!E26</f>
        <v>307.93686845261794</v>
      </c>
      <c r="F5" s="294">
        <f>'P &amp; L'!F26</f>
        <v>404.66155049541595</v>
      </c>
      <c r="G5" s="294">
        <f>'P &amp; L'!G26</f>
        <v>497.67368719507823</v>
      </c>
      <c r="H5" s="294">
        <f>'P &amp; L'!H26</f>
        <v>592.34779331646439</v>
      </c>
      <c r="I5" s="294">
        <f>'P &amp; L'!I26</f>
        <v>684.78430554635133</v>
      </c>
      <c r="J5" s="294">
        <f>'P &amp; L'!J26</f>
        <v>778.04550991313272</v>
      </c>
      <c r="K5" s="294">
        <f>'P &amp; L'!K26</f>
        <v>872.75886255384148</v>
      </c>
      <c r="L5" s="294">
        <f>'P &amp; L'!L26</f>
        <v>969.48309403193548</v>
      </c>
      <c r="M5" s="294">
        <f>'P &amp; L'!M26</f>
        <v>1069.7144293307701</v>
      </c>
    </row>
    <row r="6" spans="1:13" s="246" customFormat="1" ht="21" hidden="1" customHeight="1" x14ac:dyDescent="0.25">
      <c r="A6" s="305" t="s">
        <v>65</v>
      </c>
      <c r="B6" s="294"/>
      <c r="C6" s="294">
        <f>'P &amp; L'!C28</f>
        <v>-98.98685479985221</v>
      </c>
      <c r="D6" s="294">
        <f>'P &amp; L'!D28</f>
        <v>138.47747117205853</v>
      </c>
      <c r="E6" s="294">
        <f>'P &amp; L'!E28</f>
        <v>203.4538889866447</v>
      </c>
      <c r="F6" s="294">
        <f>'P &amp; L'!F28</f>
        <v>267.35988641232132</v>
      </c>
      <c r="G6" s="294">
        <f>'P &amp; L'!G28</f>
        <v>328.81300512978817</v>
      </c>
      <c r="H6" s="294">
        <f>'P &amp; L'!H28</f>
        <v>391.36418704418804</v>
      </c>
      <c r="I6" s="294">
        <f>'P &amp; L'!I28</f>
        <v>452.43699067447437</v>
      </c>
      <c r="J6" s="294">
        <f>'P &amp; L'!J28</f>
        <v>514.05466839960673</v>
      </c>
      <c r="K6" s="294">
        <f>'P &amp; L'!K28</f>
        <v>576.63178048932309</v>
      </c>
      <c r="L6" s="294">
        <f>'P &amp; L'!L28</f>
        <v>640.53748022689979</v>
      </c>
      <c r="M6" s="294">
        <f>'P &amp; L'!M28</f>
        <v>706.76032345883982</v>
      </c>
    </row>
    <row r="7" spans="1:13" s="246" customFormat="1" ht="21" hidden="1" customHeight="1" x14ac:dyDescent="0.25">
      <c r="A7" s="305" t="s">
        <v>523</v>
      </c>
      <c r="B7" s="210"/>
      <c r="C7" s="294">
        <f>'P &amp; L'!C23</f>
        <v>157.23749999999998</v>
      </c>
      <c r="D7" s="294">
        <f>'P &amp; L'!D23</f>
        <v>202.64999999999998</v>
      </c>
      <c r="E7" s="294">
        <f>'P &amp; L'!E23</f>
        <v>188.99999999999997</v>
      </c>
      <c r="F7" s="294">
        <f>'P &amp; L'!F23</f>
        <v>172.19999999999996</v>
      </c>
      <c r="G7" s="294">
        <f>'P &amp; L'!G23</f>
        <v>155.39999999999998</v>
      </c>
      <c r="H7" s="294">
        <f>'P &amp; L'!H23</f>
        <v>136.49999999999997</v>
      </c>
      <c r="I7" s="294">
        <f>'P &amp; L'!I23</f>
        <v>115.49999999999997</v>
      </c>
      <c r="J7" s="294">
        <f>'P &amp; L'!J23</f>
        <v>92.399999999999963</v>
      </c>
      <c r="K7" s="294">
        <f>'P &amp; L'!K23</f>
        <v>67.19999999999996</v>
      </c>
      <c r="L7" s="294">
        <f>'P &amp; L'!L23</f>
        <v>39.89999999999997</v>
      </c>
      <c r="M7" s="294">
        <f>'P &amp; L'!M23</f>
        <v>9.4499999999999851</v>
      </c>
    </row>
    <row r="8" spans="1:13" s="246" customFormat="1" ht="21" hidden="1" customHeight="1" x14ac:dyDescent="0.25">
      <c r="A8" s="305" t="s">
        <v>553</v>
      </c>
      <c r="B8" s="210"/>
      <c r="C8" s="210">
        <f>'P &amp; L'!C24</f>
        <v>5.25</v>
      </c>
      <c r="D8" s="210">
        <f>'P &amp; L'!D24</f>
        <v>5.25</v>
      </c>
      <c r="E8" s="210">
        <f>'P &amp; L'!E24</f>
        <v>5.25</v>
      </c>
      <c r="F8" s="210">
        <f>'P &amp; L'!F24</f>
        <v>5.25</v>
      </c>
      <c r="G8" s="210">
        <f>'P &amp; L'!G24</f>
        <v>5.25</v>
      </c>
      <c r="H8" s="210">
        <f>'P &amp; L'!H24</f>
        <v>5.25</v>
      </c>
      <c r="I8" s="210">
        <f>'P &amp; L'!I24</f>
        <v>5.25</v>
      </c>
      <c r="J8" s="210">
        <f>'P &amp; L'!J24</f>
        <v>5.25</v>
      </c>
      <c r="K8" s="210">
        <f>'P &amp; L'!K24</f>
        <v>5.25</v>
      </c>
      <c r="L8" s="210">
        <f>'P &amp; L'!L24</f>
        <v>5.25</v>
      </c>
      <c r="M8" s="210">
        <f>'P &amp; L'!M24</f>
        <v>5.25</v>
      </c>
    </row>
    <row r="9" spans="1:13" s="246" customFormat="1" ht="21" hidden="1" customHeight="1" x14ac:dyDescent="0.25">
      <c r="A9" s="305" t="s">
        <v>524</v>
      </c>
      <c r="B9" s="294">
        <f>SUM(BS!B5:B7)</f>
        <v>2870</v>
      </c>
      <c r="C9" s="294">
        <f>SUM(BS!C5:C7)</f>
        <v>2771.0131452001478</v>
      </c>
      <c r="D9" s="294">
        <f>SUM(BS!D5:D7)</f>
        <v>2849.4906163722062</v>
      </c>
      <c r="E9" s="294">
        <f>SUM(BS!E5:E7)</f>
        <v>2992.9445053588511</v>
      </c>
      <c r="F9" s="294">
        <f>SUM(BS!F5:F7)</f>
        <v>3200.3043917711725</v>
      </c>
      <c r="G9" s="294">
        <f>SUM(BS!G5:G7)</f>
        <v>3329.1173969009606</v>
      </c>
      <c r="H9" s="294">
        <f>SUM(BS!H5:H7)</f>
        <v>3520.4815839451485</v>
      </c>
      <c r="I9" s="294">
        <f>SUM(BS!I5:I7)</f>
        <v>3732.9185746196226</v>
      </c>
      <c r="J9" s="294">
        <f>SUM(BS!J5:J7)</f>
        <v>4006.9732430192294</v>
      </c>
      <c r="K9" s="294">
        <f>SUM(BS!K5:K7)</f>
        <v>4303.6050235085522</v>
      </c>
      <c r="L9" s="294">
        <f>SUM(BS!L5:L7)</f>
        <v>4704.142503735452</v>
      </c>
      <c r="M9" s="294">
        <f>SUM(BS!M5:M7)</f>
        <v>5410.9028271942916</v>
      </c>
    </row>
    <row r="10" spans="1:13" s="246" customFormat="1" ht="21" hidden="1" customHeight="1" x14ac:dyDescent="0.25">
      <c r="A10" s="305" t="s">
        <v>525</v>
      </c>
      <c r="B10" s="294">
        <f>BS!B5</f>
        <v>890</v>
      </c>
      <c r="C10" s="294">
        <f>BS!C5</f>
        <v>890</v>
      </c>
      <c r="D10" s="294">
        <f>BS!D5</f>
        <v>890</v>
      </c>
      <c r="E10" s="294">
        <f>BS!E5</f>
        <v>890</v>
      </c>
      <c r="F10" s="294">
        <f>BS!F5</f>
        <v>890</v>
      </c>
      <c r="G10" s="294">
        <f>BS!G5</f>
        <v>890</v>
      </c>
      <c r="H10" s="294">
        <f>BS!H5</f>
        <v>890</v>
      </c>
      <c r="I10" s="294">
        <f>BS!I5</f>
        <v>890</v>
      </c>
      <c r="J10" s="294">
        <f>BS!J5</f>
        <v>890</v>
      </c>
      <c r="K10" s="294">
        <f>BS!K5</f>
        <v>890</v>
      </c>
      <c r="L10" s="294">
        <f>BS!L5</f>
        <v>890</v>
      </c>
      <c r="M10" s="294">
        <f>BS!M5</f>
        <v>890</v>
      </c>
    </row>
    <row r="11" spans="1:13" s="246" customFormat="1" ht="21" hidden="1" customHeight="1" x14ac:dyDescent="0.25">
      <c r="A11" s="305" t="s">
        <v>526</v>
      </c>
      <c r="B11" s="294">
        <f>BS!B5+BS!B6</f>
        <v>890</v>
      </c>
      <c r="C11" s="294">
        <f>BS!C5+BS!C6</f>
        <v>891.01314520014785</v>
      </c>
      <c r="D11" s="294">
        <f>BS!D5+BS!D6</f>
        <v>1129.4906163722062</v>
      </c>
      <c r="E11" s="294">
        <f>BS!E5+BS!E6</f>
        <v>1432.9445053588511</v>
      </c>
      <c r="F11" s="294">
        <f>BS!F5+BS!F6</f>
        <v>1800.3043917711725</v>
      </c>
      <c r="G11" s="294">
        <f>BS!G5+BS!G6</f>
        <v>2129.1173969009606</v>
      </c>
      <c r="H11" s="294">
        <f>BS!H5+BS!H6</f>
        <v>2520.4815839451485</v>
      </c>
      <c r="I11" s="294">
        <f>BS!I5+BS!I6</f>
        <v>2972.9185746196226</v>
      </c>
      <c r="J11" s="294">
        <f>BS!J5+BS!J6</f>
        <v>3486.9732430192294</v>
      </c>
      <c r="K11" s="294">
        <f>BS!K5+BS!K6</f>
        <v>4063.6050235085522</v>
      </c>
      <c r="L11" s="294">
        <f>BS!L5+BS!L6</f>
        <v>4704.142503735452</v>
      </c>
      <c r="M11" s="294">
        <f>BS!M5+BS!M6</f>
        <v>5410.9028271942916</v>
      </c>
    </row>
    <row r="12" spans="1:13" s="246" customFormat="1" ht="21" hidden="1" customHeight="1" x14ac:dyDescent="0.25">
      <c r="A12" s="305" t="s">
        <v>585</v>
      </c>
      <c r="B12" s="294">
        <f>BS!B7</f>
        <v>1980</v>
      </c>
      <c r="C12" s="294">
        <f>BS!C7</f>
        <v>1880</v>
      </c>
      <c r="D12" s="294">
        <f>BS!D7</f>
        <v>1720</v>
      </c>
      <c r="E12" s="294">
        <f>BS!E7</f>
        <v>1560</v>
      </c>
      <c r="F12" s="294">
        <f>BS!F7</f>
        <v>1400</v>
      </c>
      <c r="G12" s="294">
        <f>BS!G7</f>
        <v>1200</v>
      </c>
      <c r="H12" s="294">
        <f>BS!H7</f>
        <v>1000</v>
      </c>
      <c r="I12" s="294">
        <f>BS!I7</f>
        <v>760</v>
      </c>
      <c r="J12" s="294">
        <f>BS!J7</f>
        <v>520</v>
      </c>
      <c r="K12" s="294">
        <f>BS!K7</f>
        <v>240</v>
      </c>
      <c r="L12" s="294">
        <f>BS!L7</f>
        <v>2.2737367544323206E-13</v>
      </c>
      <c r="M12" s="294">
        <f>BS!M7</f>
        <v>2.2737367544323206E-13</v>
      </c>
    </row>
    <row r="13" spans="1:13" s="246" customFormat="1" ht="21" hidden="1" customHeight="1" x14ac:dyDescent="0.25">
      <c r="A13" s="305" t="s">
        <v>748</v>
      </c>
      <c r="B13" s="294">
        <f>B12+BS!B9+BS!B10+BS!B11</f>
        <v>2000</v>
      </c>
      <c r="C13" s="294">
        <f>C12+BS!C9+BS!C10+BS!C11</f>
        <v>2043.2964562499999</v>
      </c>
      <c r="D13" s="294">
        <f>D12+BS!D9+BS!D10+BS!D11</f>
        <v>1947.3706338235295</v>
      </c>
      <c r="E13" s="294">
        <f>E12+BS!E9+BS!E10+BS!E11</f>
        <v>1787.8891655147058</v>
      </c>
      <c r="F13" s="294">
        <f>F12+BS!F9+BS!F10+BS!F11</f>
        <v>1628.4336237904413</v>
      </c>
      <c r="G13" s="294">
        <f>G12+BS!G9+BS!G10+BS!G11</f>
        <v>1469.0053049799633</v>
      </c>
      <c r="H13" s="294">
        <f>H12+BS!H9+BS!H10+BS!H11</f>
        <v>1269.6055702289614</v>
      </c>
      <c r="I13" s="294">
        <f>I12+BS!I9+BS!I10+BS!I11</f>
        <v>1070.2358487404094</v>
      </c>
      <c r="J13" s="294">
        <f>J12+BS!J9+BS!J10+BS!J11</f>
        <v>830.89764117742993</v>
      </c>
      <c r="K13" s="294">
        <f>K12+BS!K9+BS!K10+BS!K11</f>
        <v>591.59252323630142</v>
      </c>
      <c r="L13" s="294">
        <f>L12+BS!L9+BS!L10+BS!L11</f>
        <v>312.32214939811649</v>
      </c>
      <c r="M13" s="294">
        <f>M12+BS!M9+BS!M10+BS!M11</f>
        <v>73.088256868022569</v>
      </c>
    </row>
    <row r="14" spans="1:13" s="246" customFormat="1" ht="21" hidden="1" customHeight="1" x14ac:dyDescent="0.25">
      <c r="A14" s="305" t="s">
        <v>749</v>
      </c>
      <c r="B14" s="294">
        <f>B11-BS!B26</f>
        <v>877.98500000000001</v>
      </c>
      <c r="C14" s="294">
        <f>C11-BS!C26</f>
        <v>881.40114520014788</v>
      </c>
      <c r="D14" s="294">
        <f>D11-BS!D26</f>
        <v>1122.2816163722061</v>
      </c>
      <c r="E14" s="294">
        <f>E11-BS!E26</f>
        <v>1428.138505358851</v>
      </c>
      <c r="F14" s="294">
        <f>F11-BS!F26</f>
        <v>1797.9013917711725</v>
      </c>
      <c r="G14" s="294">
        <f>G11-BS!G26</f>
        <v>2129.1173969009606</v>
      </c>
      <c r="H14" s="294">
        <f>H11-BS!H26</f>
        <v>2520.4815839451485</v>
      </c>
      <c r="I14" s="294">
        <f>I11-BS!I26</f>
        <v>2972.9185746196226</v>
      </c>
      <c r="J14" s="294">
        <f>J11-BS!J26</f>
        <v>3486.9732430192294</v>
      </c>
      <c r="K14" s="294">
        <f>K11-BS!K26</f>
        <v>4063.6050235085522</v>
      </c>
      <c r="L14" s="294">
        <f>L11-BS!L26</f>
        <v>4704.142503735452</v>
      </c>
      <c r="M14" s="294">
        <f>M11-BS!M26</f>
        <v>5410.9028271942916</v>
      </c>
    </row>
    <row r="15" spans="1:13" s="246" customFormat="1" ht="21" hidden="1" customHeight="1" x14ac:dyDescent="0.25">
      <c r="A15" s="305" t="s">
        <v>527</v>
      </c>
      <c r="B15" s="294"/>
      <c r="C15" s="294">
        <f>'P &amp; L'!C9</f>
        <v>934.89374999999995</v>
      </c>
      <c r="D15" s="294">
        <f>'P &amp; L'!D9</f>
        <v>1539.825</v>
      </c>
      <c r="E15" s="294">
        <f>'P &amp; L'!E9</f>
        <v>1616.8162500000001</v>
      </c>
      <c r="F15" s="294">
        <f>'P &amp; L'!F9</f>
        <v>1697.6570624999999</v>
      </c>
      <c r="G15" s="294">
        <f>'P &amp; L'!G9</f>
        <v>1782.5399156250003</v>
      </c>
      <c r="H15" s="294">
        <f>'P &amp; L'!H9</f>
        <v>1871.6669114062506</v>
      </c>
      <c r="I15" s="294">
        <f>'P &amp; L'!I9</f>
        <v>1965.2502569765632</v>
      </c>
      <c r="J15" s="294">
        <f>'P &amp; L'!J9</f>
        <v>2063.5127698253914</v>
      </c>
      <c r="K15" s="294">
        <f>'P &amp; L'!K9</f>
        <v>2166.688408316661</v>
      </c>
      <c r="L15" s="294">
        <f>'P &amp; L'!L9</f>
        <v>2275.022828732494</v>
      </c>
      <c r="M15" s="294">
        <f>'P &amp; L'!M9</f>
        <v>2388.7739701691189</v>
      </c>
    </row>
    <row r="16" spans="1:13" s="246" customFormat="1" ht="21" hidden="1" customHeight="1" x14ac:dyDescent="0.25">
      <c r="A16" s="305" t="s">
        <v>510</v>
      </c>
      <c r="B16" s="294">
        <f>BS!B21</f>
        <v>2877.9850000000001</v>
      </c>
      <c r="C16" s="294">
        <f>BS!C21</f>
        <v>2486.760406193348</v>
      </c>
      <c r="D16" s="294">
        <f>BS!D21</f>
        <v>2150.1721858383589</v>
      </c>
      <c r="E16" s="294">
        <f>BS!E21</f>
        <v>1860.4296144792168</v>
      </c>
      <c r="F16" s="294">
        <f>BS!F21</f>
        <v>1610.8701031722849</v>
      </c>
      <c r="G16" s="294">
        <f>BS!G21</f>
        <v>1395.7940254748976</v>
      </c>
      <c r="H16" s="294">
        <f>BS!H21</f>
        <v>1210.3239156542729</v>
      </c>
      <c r="I16" s="294">
        <f>BS!I21</f>
        <v>1050.2844229066809</v>
      </c>
      <c r="J16" s="294">
        <f>BS!J21</f>
        <v>912.09994461117276</v>
      </c>
      <c r="K16" s="294">
        <f>BS!K21</f>
        <v>792.70731954594157</v>
      </c>
      <c r="L16" s="294">
        <f>BS!L21</f>
        <v>689.48135157785055</v>
      </c>
      <c r="M16" s="294">
        <f>BS!M21</f>
        <v>600.17126580859303</v>
      </c>
    </row>
    <row r="17" spans="1:14" s="246" customFormat="1" ht="21" hidden="1" customHeight="1" x14ac:dyDescent="0.25">
      <c r="A17" s="305" t="s">
        <v>534</v>
      </c>
      <c r="B17" s="294"/>
      <c r="C17" s="294">
        <f>BS!C7</f>
        <v>1880</v>
      </c>
      <c r="D17" s="294">
        <f>BS!D7</f>
        <v>1720</v>
      </c>
      <c r="E17" s="294">
        <f>BS!E7</f>
        <v>1560</v>
      </c>
      <c r="F17" s="294">
        <f>BS!F7</f>
        <v>1400</v>
      </c>
      <c r="G17" s="294">
        <f>BS!G7</f>
        <v>1200</v>
      </c>
      <c r="H17" s="294">
        <f>BS!H7</f>
        <v>1000</v>
      </c>
      <c r="I17" s="294">
        <f>BS!I7</f>
        <v>760</v>
      </c>
      <c r="J17" s="294">
        <f>BS!J7</f>
        <v>520</v>
      </c>
      <c r="K17" s="294">
        <f>BS!K7</f>
        <v>240</v>
      </c>
      <c r="L17" s="294">
        <f>BS!L7</f>
        <v>2.2737367544323206E-13</v>
      </c>
      <c r="M17" s="294">
        <f>BS!M7</f>
        <v>2.2737367544323206E-13</v>
      </c>
    </row>
    <row r="18" spans="1:14" s="246" customFormat="1" ht="21" hidden="1" customHeight="1" x14ac:dyDescent="0.25">
      <c r="A18" s="305"/>
      <c r="B18" s="210"/>
      <c r="C18" s="294"/>
      <c r="D18" s="294"/>
      <c r="E18" s="294"/>
      <c r="F18" s="294"/>
      <c r="G18" s="294"/>
      <c r="H18" s="294"/>
      <c r="I18" s="211"/>
      <c r="J18" s="211"/>
      <c r="K18" s="211"/>
      <c r="L18" s="211"/>
      <c r="M18" s="211"/>
    </row>
    <row r="19" spans="1:14" s="246" customFormat="1" ht="21" hidden="1" customHeight="1" x14ac:dyDescent="0.25">
      <c r="A19" s="305" t="s">
        <v>492</v>
      </c>
      <c r="B19" s="210"/>
      <c r="C19" s="210">
        <f>BS!C23+BS!C24+BS!C25</f>
        <v>437.93719525680007</v>
      </c>
      <c r="D19" s="210">
        <f>BS!D23+BS!D24+BS!D25</f>
        <v>919.48006435737705</v>
      </c>
      <c r="E19" s="210">
        <f>BS!E23+BS!E24+BS!E25</f>
        <v>1355.5980563943406</v>
      </c>
      <c r="F19" s="210">
        <f>BS!F23+BS!F24+BS!F25</f>
        <v>1815.4649123893291</v>
      </c>
      <c r="G19" s="210">
        <f>BS!G23+BS!G24+BS!G25</f>
        <v>2202.3286764060267</v>
      </c>
      <c r="H19" s="210">
        <f>BS!H23+BS!H24+BS!H25</f>
        <v>2579.7632385198376</v>
      </c>
      <c r="I19" s="210">
        <f>BS!I23+BS!I24+BS!I25</f>
        <v>2992.8700004533521</v>
      </c>
      <c r="J19" s="210">
        <f>BS!J23+BS!J24+BS!J25</f>
        <v>3405.7709395854872</v>
      </c>
      <c r="K19" s="210">
        <f>BS!K23+BS!K24+BS!K25</f>
        <v>3862.4902271989131</v>
      </c>
      <c r="L19" s="210">
        <f>BS!L23+BS!L24+BS!L25</f>
        <v>4326.9833015557188</v>
      </c>
      <c r="M19" s="210">
        <f>BS!M23+BS!M24+BS!M25</f>
        <v>4883.8198182537226</v>
      </c>
    </row>
    <row r="20" spans="1:14" s="246" customFormat="1" ht="21" hidden="1" customHeight="1" x14ac:dyDescent="0.25">
      <c r="A20" s="305" t="s">
        <v>555</v>
      </c>
      <c r="B20" s="210"/>
      <c r="C20" s="210">
        <f>BS!C9+BS!C10</f>
        <v>113.29645625000001</v>
      </c>
      <c r="D20" s="210">
        <f>BS!D9+BS!D10</f>
        <v>177.3706338235294</v>
      </c>
      <c r="E20" s="210">
        <f>BS!E9+BS!E10</f>
        <v>177.88916551470589</v>
      </c>
      <c r="F20" s="210">
        <f>BS!F9+BS!F10</f>
        <v>178.43362379044117</v>
      </c>
      <c r="G20" s="210">
        <f>BS!G9+BS!G10</f>
        <v>219.00530497996323</v>
      </c>
      <c r="H20" s="210">
        <f>BS!H9+BS!H10</f>
        <v>219.6055702289614</v>
      </c>
      <c r="I20" s="210">
        <f>BS!I9+BS!I10</f>
        <v>260.23584874040949</v>
      </c>
      <c r="J20" s="210">
        <f>BS!J9+BS!J10</f>
        <v>260.89764117742993</v>
      </c>
      <c r="K20" s="210">
        <f>BS!K9+BS!K10</f>
        <v>301.59252323630142</v>
      </c>
      <c r="L20" s="210">
        <f>BS!L9+BS!L10</f>
        <v>262.32214939811627</v>
      </c>
      <c r="M20" s="210">
        <f>BS!M9+BS!M10</f>
        <v>23.088256868022341</v>
      </c>
    </row>
    <row r="21" spans="1:14" s="246" customFormat="1" ht="21" hidden="1" customHeight="1" x14ac:dyDescent="0.25">
      <c r="A21" s="305"/>
      <c r="B21" s="295"/>
      <c r="C21" s="210"/>
      <c r="D21" s="210"/>
      <c r="E21" s="210"/>
      <c r="F21" s="210"/>
      <c r="G21" s="210"/>
      <c r="H21" s="210"/>
      <c r="I21" s="211"/>
      <c r="J21" s="211"/>
      <c r="K21" s="211"/>
      <c r="L21" s="211"/>
      <c r="M21" s="211"/>
    </row>
    <row r="22" spans="1:14" s="246" customFormat="1" ht="21" hidden="1" customHeight="1" x14ac:dyDescent="0.25">
      <c r="A22" s="305" t="s">
        <v>528</v>
      </c>
      <c r="B22" s="295"/>
      <c r="C22" s="295">
        <f t="shared" ref="C22:H22" si="1">C6/C15</f>
        <v>-0.10588032575878512</v>
      </c>
      <c r="D22" s="295">
        <f t="shared" si="1"/>
        <v>8.9930655218650513E-2</v>
      </c>
      <c r="E22" s="295">
        <f t="shared" si="1"/>
        <v>0.12583612329888735</v>
      </c>
      <c r="F22" s="295">
        <f t="shared" si="1"/>
        <v>0.15748757055715504</v>
      </c>
      <c r="G22" s="295">
        <f t="shared" si="1"/>
        <v>0.18446319336108591</v>
      </c>
      <c r="H22" s="295">
        <f t="shared" si="1"/>
        <v>0.20909927116793559</v>
      </c>
      <c r="I22" s="295">
        <f t="shared" ref="I22:J22" si="2">I6/I15</f>
        <v>0.23021851240997954</v>
      </c>
      <c r="J22" s="295">
        <f t="shared" si="2"/>
        <v>0.24911630105545923</v>
      </c>
      <c r="K22" s="295">
        <f t="shared" ref="K22:L22" si="3">K6/K15</f>
        <v>0.2661350742801632</v>
      </c>
      <c r="L22" s="295">
        <f t="shared" si="3"/>
        <v>0.28155211109849337</v>
      </c>
      <c r="M22" s="295">
        <f t="shared" ref="M22" si="4">M6/M15</f>
        <v>0.29586739150912761</v>
      </c>
    </row>
    <row r="23" spans="1:14" s="246" customFormat="1" ht="21" hidden="1" customHeight="1" x14ac:dyDescent="0.25">
      <c r="A23" s="305" t="s">
        <v>529</v>
      </c>
      <c r="B23" s="295"/>
      <c r="C23" s="295">
        <f t="shared" ref="C23:H23" si="5">C4/C9</f>
        <v>2.1021425070121919E-2</v>
      </c>
      <c r="D23" s="295">
        <f t="shared" si="5"/>
        <v>0.14467219273775037</v>
      </c>
      <c r="E23" s="295">
        <f t="shared" si="5"/>
        <v>0.16603611178318045</v>
      </c>
      <c r="F23" s="295">
        <f t="shared" si="5"/>
        <v>0.18025208851341742</v>
      </c>
      <c r="G23" s="295">
        <f t="shared" si="5"/>
        <v>0.19617021850987218</v>
      </c>
      <c r="H23" s="295">
        <f t="shared" si="5"/>
        <v>0.20703070757146172</v>
      </c>
      <c r="I23" s="295">
        <f t="shared" ref="I23:J23" si="6">I4/I9</f>
        <v>0.21438568496713026</v>
      </c>
      <c r="J23" s="295">
        <f t="shared" si="6"/>
        <v>0.21723267342241034</v>
      </c>
      <c r="K23" s="295">
        <f t="shared" ref="K23:L23" si="7">K4/K9</f>
        <v>0.21841197261814041</v>
      </c>
      <c r="L23" s="295">
        <f t="shared" si="7"/>
        <v>0.21457323906119072</v>
      </c>
      <c r="M23" s="295">
        <f t="shared" ref="M23" si="8">M4/M9</f>
        <v>0.19944258172722498</v>
      </c>
    </row>
    <row r="24" spans="1:14" s="246" customFormat="1" ht="21" hidden="1" customHeight="1" x14ac:dyDescent="0.25">
      <c r="A24" s="305" t="s">
        <v>530</v>
      </c>
      <c r="B24" s="295"/>
      <c r="C24" s="295">
        <f t="shared" ref="C24:H24" si="9">C6/C10</f>
        <v>-0.11122118516837327</v>
      </c>
      <c r="D24" s="295">
        <f t="shared" si="9"/>
        <v>0.15559266423826801</v>
      </c>
      <c r="E24" s="295">
        <f t="shared" si="9"/>
        <v>0.22859987526589293</v>
      </c>
      <c r="F24" s="295">
        <f t="shared" si="9"/>
        <v>0.30040436675541721</v>
      </c>
      <c r="G24" s="295">
        <f t="shared" si="9"/>
        <v>0.36945281475257097</v>
      </c>
      <c r="H24" s="295">
        <f t="shared" si="9"/>
        <v>0.43973504162268318</v>
      </c>
      <c r="I24" s="295">
        <f t="shared" ref="I24:J24" si="10">I6/I10</f>
        <v>0.50835616929716221</v>
      </c>
      <c r="J24" s="295">
        <f t="shared" si="10"/>
        <v>0.57758951505573786</v>
      </c>
      <c r="K24" s="295">
        <f t="shared" ref="K24:L24" si="11">K6/K10</f>
        <v>0.64790087695429566</v>
      </c>
      <c r="L24" s="295">
        <f t="shared" si="11"/>
        <v>0.71970503396280872</v>
      </c>
      <c r="M24" s="295">
        <f t="shared" ref="M24" si="12">M6/M10</f>
        <v>0.7941127229874605</v>
      </c>
    </row>
    <row r="25" spans="1:14" s="246" customFormat="1" ht="21" hidden="1" customHeight="1" x14ac:dyDescent="0.25">
      <c r="A25" s="305" t="s">
        <v>531</v>
      </c>
      <c r="B25" s="295"/>
      <c r="C25" s="295">
        <f t="shared" ref="C25:H25" si="13">C6/C11</f>
        <v>-0.11109471878511606</v>
      </c>
      <c r="D25" s="295">
        <f t="shared" si="13"/>
        <v>0.12260170130216064</v>
      </c>
      <c r="E25" s="295">
        <f t="shared" si="13"/>
        <v>0.14198309022141364</v>
      </c>
      <c r="F25" s="295">
        <f t="shared" si="13"/>
        <v>0.14850815652862334</v>
      </c>
      <c r="G25" s="295">
        <f t="shared" si="13"/>
        <v>0.15443629628332958</v>
      </c>
      <c r="H25" s="295">
        <f t="shared" si="13"/>
        <v>0.15527357531079863</v>
      </c>
      <c r="I25" s="295">
        <f t="shared" ref="I25:J25" si="14">I6/I11</f>
        <v>0.15218613605398276</v>
      </c>
      <c r="J25" s="295">
        <f t="shared" si="14"/>
        <v>0.14742145481865171</v>
      </c>
      <c r="K25" s="295">
        <f t="shared" ref="K25:L25" si="15">K6/K11</f>
        <v>0.14190153254399074</v>
      </c>
      <c r="L25" s="295">
        <f t="shared" si="15"/>
        <v>0.13616455702995042</v>
      </c>
      <c r="M25" s="295">
        <f t="shared" ref="M25" si="16">M6/M11</f>
        <v>0.13061781851020882</v>
      </c>
      <c r="N25" s="280" t="s">
        <v>694</v>
      </c>
    </row>
    <row r="26" spans="1:14" s="246" customFormat="1" ht="21" hidden="1" customHeight="1" x14ac:dyDescent="0.25">
      <c r="A26" s="305" t="s">
        <v>532</v>
      </c>
      <c r="B26" s="210"/>
      <c r="C26" s="210">
        <f>DSCR!B13</f>
        <v>2.5360052980142465</v>
      </c>
      <c r="D26" s="210">
        <f>DSCR!C13</f>
        <v>2.2392720684852061</v>
      </c>
      <c r="E26" s="210">
        <f>DSCR!D13</f>
        <v>1.9547176514205926</v>
      </c>
      <c r="F26" s="210">
        <f>DSCR!E13</f>
        <v>2.0744111912078669</v>
      </c>
      <c r="G26" s="210">
        <f>DSCR!F13</f>
        <v>2.2171499138464661</v>
      </c>
      <c r="H26" s="210">
        <f>DSCR!G13</f>
        <v>2.1198641808761152</v>
      </c>
      <c r="I26" s="210">
        <f>DSCR!H13</f>
        <v>2.3073739569637604</v>
      </c>
      <c r="J26" s="210">
        <f>DSCR!I13</f>
        <v>2.2401899720069642</v>
      </c>
      <c r="K26" s="210">
        <f>DSCR!J13</f>
        <v>2.4844544451645656</v>
      </c>
      <c r="L26" s="210">
        <f>DSCR!K13</f>
        <v>2.4497138111753385</v>
      </c>
      <c r="M26" s="210">
        <f>DSCR!L13</f>
        <v>3.2291858457730926</v>
      </c>
      <c r="N26" s="296">
        <f>DSCR!B14</f>
        <v>2.3502125759031105</v>
      </c>
    </row>
    <row r="27" spans="1:14" s="246" customFormat="1" ht="21" hidden="1" customHeight="1" x14ac:dyDescent="0.25">
      <c r="A27" s="305" t="s">
        <v>533</v>
      </c>
      <c r="B27" s="210"/>
      <c r="C27" s="210">
        <f t="shared" ref="C27:K27" si="17">C16/C17</f>
        <v>1.3227448969113553</v>
      </c>
      <c r="D27" s="210">
        <f t="shared" si="17"/>
        <v>1.2501001080455576</v>
      </c>
      <c r="E27" s="210">
        <f t="shared" si="17"/>
        <v>1.1925830862046261</v>
      </c>
      <c r="F27" s="210">
        <f t="shared" si="17"/>
        <v>1.1506215022659179</v>
      </c>
      <c r="G27" s="210">
        <f t="shared" si="17"/>
        <v>1.163161687895748</v>
      </c>
      <c r="H27" s="210">
        <f t="shared" si="17"/>
        <v>1.2103239156542729</v>
      </c>
      <c r="I27" s="210">
        <f t="shared" si="17"/>
        <v>1.3819531880351064</v>
      </c>
      <c r="J27" s="210">
        <f t="shared" si="17"/>
        <v>1.754038355021486</v>
      </c>
      <c r="K27" s="210">
        <f t="shared" si="17"/>
        <v>3.3029471647747566</v>
      </c>
      <c r="L27" s="210"/>
      <c r="M27" s="210"/>
    </row>
    <row r="28" spans="1:14" s="246" customFormat="1" ht="21" hidden="1" customHeight="1" x14ac:dyDescent="0.25">
      <c r="A28" s="305" t="s">
        <v>554</v>
      </c>
      <c r="B28" s="210"/>
      <c r="C28" s="297">
        <f>C3/(C7+C8)</f>
        <v>2.7985244342290949</v>
      </c>
      <c r="D28" s="297">
        <f t="shared" ref="D28:H28" si="18">D3/(D7+D8)</f>
        <v>3.6271297547436272</v>
      </c>
      <c r="E28" s="297">
        <f t="shared" si="18"/>
        <v>4.0768568330077741</v>
      </c>
      <c r="F28" s="297">
        <f t="shared" si="18"/>
        <v>4.6867909935325329</v>
      </c>
      <c r="G28" s="297">
        <f t="shared" si="18"/>
        <v>5.436662090833897</v>
      </c>
      <c r="H28" s="297">
        <f t="shared" si="18"/>
        <v>6.4872515212493065</v>
      </c>
      <c r="I28" s="297">
        <f t="shared" ref="I28:J28" si="19">I3/(I7+I8)</f>
        <v>7.9964703792459098</v>
      </c>
      <c r="J28" s="297">
        <f t="shared" si="19"/>
        <v>10.382795578173488</v>
      </c>
      <c r="K28" s="297">
        <f t="shared" ref="K28:L28" si="20">K3/(K7+K8)</f>
        <v>14.694292444707706</v>
      </c>
      <c r="L28" s="297">
        <f t="shared" si="20"/>
        <v>24.758783211517766</v>
      </c>
      <c r="M28" s="297">
        <f t="shared" ref="M28" si="21">M3/(M7+M8)</f>
        <v>79.845205108845505</v>
      </c>
    </row>
    <row r="29" spans="1:14" s="246" customFormat="1" ht="21" hidden="1" customHeight="1" x14ac:dyDescent="0.25">
      <c r="A29" s="305" t="s">
        <v>556</v>
      </c>
      <c r="B29" s="210"/>
      <c r="C29" s="210">
        <f t="shared" ref="C29:H29" si="22">C19/C20</f>
        <v>3.8654094730946191</v>
      </c>
      <c r="D29" s="210">
        <f t="shared" si="22"/>
        <v>5.183947559617966</v>
      </c>
      <c r="E29" s="210">
        <f t="shared" si="22"/>
        <v>7.6204644193593385</v>
      </c>
      <c r="F29" s="210">
        <f t="shared" si="22"/>
        <v>10.174455205379205</v>
      </c>
      <c r="G29" s="210">
        <f t="shared" si="22"/>
        <v>10.056051731749227</v>
      </c>
      <c r="H29" s="210">
        <f t="shared" si="22"/>
        <v>11.74725775776165</v>
      </c>
      <c r="I29" s="210">
        <f t="shared" ref="I29:J29" si="23">I19/I20</f>
        <v>11.500606142233694</v>
      </c>
      <c r="J29" s="210">
        <f t="shared" si="23"/>
        <v>13.054050332595027</v>
      </c>
      <c r="K29" s="210">
        <f t="shared" ref="K29:L29" si="24">K19/K20</f>
        <v>12.806982698880121</v>
      </c>
      <c r="L29" s="210">
        <f t="shared" si="24"/>
        <v>16.494921650664054</v>
      </c>
      <c r="M29" s="210">
        <f t="shared" ref="M29" si="25">M19/M20</f>
        <v>211.52830402791918</v>
      </c>
    </row>
    <row r="30" spans="1:14" s="246" customFormat="1" ht="21" hidden="1" customHeight="1" x14ac:dyDescent="0.25">
      <c r="A30" s="305" t="s">
        <v>747</v>
      </c>
      <c r="B30" s="210">
        <f>B13/B14</f>
        <v>2.2779432450440495</v>
      </c>
      <c r="C30" s="210">
        <f t="shared" ref="C30:M30" si="26">C13/C14</f>
        <v>2.3182366705298638</v>
      </c>
      <c r="D30" s="210">
        <f t="shared" si="26"/>
        <v>1.7351889271058696</v>
      </c>
      <c r="E30" s="210">
        <f t="shared" si="26"/>
        <v>1.2519018000046569</v>
      </c>
      <c r="F30" s="210">
        <f t="shared" si="26"/>
        <v>0.90574134446061982</v>
      </c>
      <c r="G30" s="210">
        <f t="shared" si="26"/>
        <v>0.68995974910457059</v>
      </c>
      <c r="H30" s="210">
        <f t="shared" si="26"/>
        <v>0.50371547180349918</v>
      </c>
      <c r="I30" s="210">
        <f t="shared" si="26"/>
        <v>0.35999500890378183</v>
      </c>
      <c r="J30" s="210">
        <f t="shared" si="26"/>
        <v>0.23828621078204465</v>
      </c>
      <c r="K30" s="210">
        <f t="shared" si="26"/>
        <v>0.14558317548429331</v>
      </c>
      <c r="L30" s="210">
        <f t="shared" si="26"/>
        <v>6.6393003432635947E-2</v>
      </c>
      <c r="M30" s="210">
        <f t="shared" si="26"/>
        <v>1.3507589990471318E-2</v>
      </c>
    </row>
    <row r="31" spans="1:14" s="246" customFormat="1" ht="21" hidden="1" customHeight="1" x14ac:dyDescent="0.25">
      <c r="A31" s="305" t="s">
        <v>586</v>
      </c>
      <c r="B31" s="210">
        <f t="shared" ref="B31:H31" si="27">B12/B11</f>
        <v>2.2247191011235956</v>
      </c>
      <c r="C31" s="210">
        <f t="shared" si="27"/>
        <v>2.1099576477939577</v>
      </c>
      <c r="D31" s="210">
        <f t="shared" si="27"/>
        <v>1.5228103492567666</v>
      </c>
      <c r="E31" s="210">
        <f t="shared" si="27"/>
        <v>1.0886674216384469</v>
      </c>
      <c r="F31" s="210">
        <f t="shared" si="27"/>
        <v>0.77764627270761377</v>
      </c>
      <c r="G31" s="210">
        <f t="shared" si="27"/>
        <v>0.56361382502752622</v>
      </c>
      <c r="H31" s="210">
        <f t="shared" si="27"/>
        <v>0.39674957610075612</v>
      </c>
      <c r="I31" s="210">
        <f t="shared" ref="I31:J31" si="28">I12/I11</f>
        <v>0.25564104126102416</v>
      </c>
      <c r="J31" s="210">
        <f t="shared" si="28"/>
        <v>0.14912646692687351</v>
      </c>
      <c r="K31" s="210">
        <f t="shared" ref="K31:L31" si="29">K12/K11</f>
        <v>5.9060858181728966E-2</v>
      </c>
      <c r="L31" s="210">
        <f t="shared" si="29"/>
        <v>4.8334776266382198E-17</v>
      </c>
      <c r="M31" s="210">
        <f t="shared" ref="M31" si="30">M12/M11</f>
        <v>4.2021393232288342E-17</v>
      </c>
    </row>
    <row r="32" spans="1:14" s="246" customFormat="1" ht="21" customHeight="1" x14ac:dyDescent="0.25">
      <c r="A32" s="199" t="s">
        <v>535</v>
      </c>
      <c r="B32" s="210"/>
      <c r="C32" s="210"/>
      <c r="D32" s="210"/>
      <c r="E32" s="210"/>
      <c r="F32" s="210"/>
      <c r="G32" s="210"/>
      <c r="H32" s="210"/>
      <c r="I32" s="211"/>
      <c r="J32" s="211"/>
      <c r="K32" s="211"/>
      <c r="L32" s="211"/>
      <c r="M32" s="211"/>
    </row>
    <row r="33" spans="1:13" s="246" customFormat="1" ht="20.100000000000001" customHeight="1" x14ac:dyDescent="0.25">
      <c r="A33" s="211" t="s">
        <v>29</v>
      </c>
      <c r="B33" s="210"/>
      <c r="C33" s="210">
        <f>'P &amp; L'!C9</f>
        <v>934.89374999999995</v>
      </c>
      <c r="D33" s="210">
        <f>'P &amp; L'!D9</f>
        <v>1539.825</v>
      </c>
      <c r="E33" s="210">
        <f>'P &amp; L'!E9</f>
        <v>1616.8162500000001</v>
      </c>
      <c r="F33" s="210">
        <f>'P &amp; L'!F9</f>
        <v>1697.6570624999999</v>
      </c>
      <c r="G33" s="210">
        <f>'P &amp; L'!G9</f>
        <v>1782.5399156250003</v>
      </c>
      <c r="H33" s="210">
        <f>'P &amp; L'!H9</f>
        <v>1871.6669114062506</v>
      </c>
      <c r="I33" s="210">
        <f>'P &amp; L'!I9</f>
        <v>1965.2502569765632</v>
      </c>
      <c r="J33" s="210">
        <f>'P &amp; L'!J9</f>
        <v>2063.5127698253914</v>
      </c>
      <c r="K33" s="210">
        <f>'P &amp; L'!K9</f>
        <v>2166.688408316661</v>
      </c>
      <c r="L33" s="210">
        <f>'P &amp; L'!L9</f>
        <v>2275.022828732494</v>
      </c>
      <c r="M33" s="210">
        <f>'P &amp; L'!M9</f>
        <v>2388.7739701691189</v>
      </c>
    </row>
    <row r="34" spans="1:13" s="246" customFormat="1" ht="20.100000000000001" customHeight="1" x14ac:dyDescent="0.25">
      <c r="A34" s="211" t="s">
        <v>30</v>
      </c>
      <c r="B34" s="210"/>
      <c r="C34" s="210">
        <f>'P &amp; L'!C14</f>
        <v>315.13537499999995</v>
      </c>
      <c r="D34" s="210">
        <f>'P &amp; L'!D14</f>
        <v>519.04650000000004</v>
      </c>
      <c r="E34" s="210">
        <f>'P &amp; L'!E14</f>
        <v>544.99882500000001</v>
      </c>
      <c r="F34" s="210">
        <f>'P &amp; L'!F14</f>
        <v>572.24876625000002</v>
      </c>
      <c r="G34" s="210">
        <f>'P &amp; L'!G14</f>
        <v>600.86120456250012</v>
      </c>
      <c r="H34" s="210">
        <f>'P &amp; L'!H14</f>
        <v>630.90426479062512</v>
      </c>
      <c r="I34" s="210">
        <f>'P &amp; L'!I14</f>
        <v>662.44947803015646</v>
      </c>
      <c r="J34" s="210">
        <f>'P &amp; L'!J14</f>
        <v>695.57195193166422</v>
      </c>
      <c r="K34" s="210">
        <f>'P &amp; L'!K14</f>
        <v>730.3505495282476</v>
      </c>
      <c r="L34" s="210">
        <f>'P &amp; L'!L14</f>
        <v>766.86807700465988</v>
      </c>
      <c r="M34" s="210">
        <f>'P &amp; L'!M14</f>
        <v>805.2114808548929</v>
      </c>
    </row>
    <row r="35" spans="1:13" s="246" customFormat="1" ht="20.100000000000001" customHeight="1" x14ac:dyDescent="0.25">
      <c r="A35" s="211" t="s">
        <v>31</v>
      </c>
      <c r="B35" s="210"/>
      <c r="C35" s="210">
        <f t="shared" ref="C35:H35" si="31">C33-C34</f>
        <v>619.758375</v>
      </c>
      <c r="D35" s="210">
        <f t="shared" si="31"/>
        <v>1020.7785</v>
      </c>
      <c r="E35" s="210">
        <f t="shared" si="31"/>
        <v>1071.8174250000002</v>
      </c>
      <c r="F35" s="210">
        <f t="shared" si="31"/>
        <v>1125.4082962499999</v>
      </c>
      <c r="G35" s="210">
        <f t="shared" si="31"/>
        <v>1181.6787110625</v>
      </c>
      <c r="H35" s="210">
        <f t="shared" si="31"/>
        <v>1240.7626466156255</v>
      </c>
      <c r="I35" s="210">
        <f t="shared" ref="I35:J35" si="32">I33-I34</f>
        <v>1302.8007789464068</v>
      </c>
      <c r="J35" s="210">
        <f t="shared" si="32"/>
        <v>1367.9408178937272</v>
      </c>
      <c r="K35" s="210">
        <f t="shared" ref="K35:L35" si="33">K33-K34</f>
        <v>1436.3378587884135</v>
      </c>
      <c r="L35" s="210">
        <f t="shared" si="33"/>
        <v>1508.1547517278341</v>
      </c>
      <c r="M35" s="210">
        <f t="shared" ref="M35" si="34">M33-M34</f>
        <v>1583.562489314226</v>
      </c>
    </row>
    <row r="36" spans="1:13" s="246" customFormat="1" ht="20.100000000000001" customHeight="1" x14ac:dyDescent="0.25">
      <c r="A36" s="211" t="s">
        <v>32</v>
      </c>
      <c r="B36" s="210"/>
      <c r="C36" s="210">
        <f>'P &amp; L'!C20</f>
        <v>165.03313599320001</v>
      </c>
      <c r="D36" s="210">
        <f>'P &amp; L'!D20</f>
        <v>266.69822398880001</v>
      </c>
      <c r="E36" s="210">
        <f>'P &amp; L'!E20</f>
        <v>279.88798518824001</v>
      </c>
      <c r="F36" s="210">
        <f>'P &amp; L'!F20</f>
        <v>293.7372344476521</v>
      </c>
      <c r="G36" s="210">
        <f>'P &amp; L'!G20</f>
        <v>308.27894617003471</v>
      </c>
      <c r="H36" s="210">
        <f>'P &amp; L'!H20</f>
        <v>321.19474347853645</v>
      </c>
      <c r="I36" s="210">
        <f>'P &amp; L'!I20</f>
        <v>337.22698065246328</v>
      </c>
      <c r="J36" s="210">
        <f>'P &amp; L'!J20</f>
        <v>354.06082968508645</v>
      </c>
      <c r="K36" s="210">
        <f>'P &amp; L'!K20</f>
        <v>371.73637116934077</v>
      </c>
      <c r="L36" s="210">
        <f>'P &amp; L'!L20</f>
        <v>390.29568972780783</v>
      </c>
      <c r="M36" s="210">
        <f>'P &amp; L'!M20</f>
        <v>409.83797421419825</v>
      </c>
    </row>
    <row r="37" spans="1:13" s="246" customFormat="1" ht="20.100000000000001" customHeight="1" x14ac:dyDescent="0.25">
      <c r="A37" s="211" t="s">
        <v>33</v>
      </c>
      <c r="B37" s="210"/>
      <c r="C37" s="210">
        <f>'P &amp; L'!C23</f>
        <v>157.23749999999998</v>
      </c>
      <c r="D37" s="210">
        <f>'P &amp; L'!D23</f>
        <v>202.64999999999998</v>
      </c>
      <c r="E37" s="210">
        <f>'P &amp; L'!E23</f>
        <v>188.99999999999997</v>
      </c>
      <c r="F37" s="210">
        <f>'P &amp; L'!F23</f>
        <v>172.19999999999996</v>
      </c>
      <c r="G37" s="210">
        <f>'P &amp; L'!G23</f>
        <v>155.39999999999998</v>
      </c>
      <c r="H37" s="210">
        <f>'P &amp; L'!H23</f>
        <v>136.49999999999997</v>
      </c>
      <c r="I37" s="210">
        <f>'P &amp; L'!I23</f>
        <v>115.49999999999997</v>
      </c>
      <c r="J37" s="210">
        <f>'P &amp; L'!J23</f>
        <v>92.399999999999963</v>
      </c>
      <c r="K37" s="210">
        <f>'P &amp; L'!K23</f>
        <v>67.19999999999996</v>
      </c>
      <c r="L37" s="210">
        <f>'P &amp; L'!L23</f>
        <v>39.89999999999997</v>
      </c>
      <c r="M37" s="210">
        <f>'P &amp; L'!M23</f>
        <v>9.4499999999999851</v>
      </c>
    </row>
    <row r="38" spans="1:13" s="246" customFormat="1" ht="20.100000000000001" customHeight="1" x14ac:dyDescent="0.25">
      <c r="A38" s="211" t="s">
        <v>34</v>
      </c>
      <c r="B38" s="210"/>
      <c r="C38" s="210">
        <f>'P &amp; L'!C25</f>
        <v>391.22459380665219</v>
      </c>
      <c r="D38" s="210">
        <f>'P &amp; L'!D25</f>
        <v>336.58822035498912</v>
      </c>
      <c r="E38" s="210">
        <f>'P &amp; L'!E25</f>
        <v>289.74257135914212</v>
      </c>
      <c r="F38" s="210">
        <f>'P &amp; L'!F25</f>
        <v>249.55951130693194</v>
      </c>
      <c r="G38" s="210">
        <f>'P &amp; L'!G25</f>
        <v>215.07607769738723</v>
      </c>
      <c r="H38" s="210">
        <f>'P &amp; L'!H25</f>
        <v>185.47010982062469</v>
      </c>
      <c r="I38" s="210">
        <f>'P &amp; L'!I25</f>
        <v>160.03949274759196</v>
      </c>
      <c r="J38" s="210">
        <f>'P &amp; L'!J25</f>
        <v>138.18447829550809</v>
      </c>
      <c r="K38" s="210">
        <f>'P &amp; L'!K25</f>
        <v>119.39262506523126</v>
      </c>
      <c r="L38" s="210">
        <f>'P &amp; L'!L25</f>
        <v>103.22596796809104</v>
      </c>
      <c r="M38" s="210">
        <f>'P &amp; L'!M25</f>
        <v>89.310085769257398</v>
      </c>
    </row>
    <row r="39" spans="1:13" s="246" customFormat="1" ht="20.100000000000001" customHeight="1" x14ac:dyDescent="0.25">
      <c r="A39" s="211" t="s">
        <v>35</v>
      </c>
      <c r="B39" s="302"/>
      <c r="C39" s="210">
        <f t="shared" ref="C39:H39" si="35">C36+C37+C38</f>
        <v>713.49522979985227</v>
      </c>
      <c r="D39" s="210">
        <f t="shared" si="35"/>
        <v>805.93644434378916</v>
      </c>
      <c r="E39" s="210">
        <f t="shared" si="35"/>
        <v>758.63055654738218</v>
      </c>
      <c r="F39" s="210">
        <f t="shared" si="35"/>
        <v>715.49674575458403</v>
      </c>
      <c r="G39" s="210">
        <f t="shared" si="35"/>
        <v>678.75502386742187</v>
      </c>
      <c r="H39" s="210">
        <f t="shared" si="35"/>
        <v>643.16485329916111</v>
      </c>
      <c r="I39" s="210">
        <f t="shared" ref="I39:J39" si="36">I36+I37+I38</f>
        <v>612.76647340005525</v>
      </c>
      <c r="J39" s="210">
        <f t="shared" si="36"/>
        <v>584.64530798059445</v>
      </c>
      <c r="K39" s="210">
        <f t="shared" ref="K39:L39" si="37">K36+K37+K38</f>
        <v>558.32899623457206</v>
      </c>
      <c r="L39" s="210">
        <f t="shared" si="37"/>
        <v>533.42165769589883</v>
      </c>
      <c r="M39" s="210">
        <f t="shared" ref="M39" si="38">M36+M37+M38</f>
        <v>508.59805998345564</v>
      </c>
    </row>
    <row r="40" spans="1:13" ht="20.100000000000001" hidden="1" customHeight="1" x14ac:dyDescent="0.25">
      <c r="A40" s="284" t="s">
        <v>36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</row>
    <row r="41" spans="1:13" ht="20.100000000000001" hidden="1" customHeight="1" x14ac:dyDescent="0.25">
      <c r="A41" s="284" t="s">
        <v>37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</row>
    <row r="42" spans="1:13" ht="20.100000000000001" hidden="1" customHeight="1" x14ac:dyDescent="0.25">
      <c r="A42" s="284" t="s">
        <v>38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</row>
    <row r="43" spans="1:13" ht="20.100000000000001" hidden="1" customHeight="1" x14ac:dyDescent="0.25">
      <c r="A43" s="284" t="s">
        <v>39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</row>
    <row r="44" spans="1:13" ht="20.100000000000001" hidden="1" customHeight="1" x14ac:dyDescent="0.25">
      <c r="A44" s="284" t="s">
        <v>40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</row>
    <row r="45" spans="1:13" ht="20.100000000000001" hidden="1" customHeight="1" x14ac:dyDescent="0.25">
      <c r="A45" s="284" t="s">
        <v>41</v>
      </c>
      <c r="B45" s="298">
        <f t="shared" ref="B45" si="39">B34-B38</f>
        <v>0</v>
      </c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</row>
    <row r="46" spans="1:13" ht="20.100000000000001" customHeight="1" x14ac:dyDescent="0.25">
      <c r="A46" s="303" t="s">
        <v>536</v>
      </c>
      <c r="B46" s="299"/>
      <c r="C46" s="298">
        <f t="shared" ref="C46:H46" si="40">C35-C39</f>
        <v>-93.736854799852267</v>
      </c>
      <c r="D46" s="298">
        <f t="shared" si="40"/>
        <v>214.84205565621085</v>
      </c>
      <c r="E46" s="298">
        <f t="shared" si="40"/>
        <v>313.186868452618</v>
      </c>
      <c r="F46" s="298">
        <f t="shared" si="40"/>
        <v>409.9115504954159</v>
      </c>
      <c r="G46" s="298">
        <f t="shared" si="40"/>
        <v>502.92368719507817</v>
      </c>
      <c r="H46" s="298">
        <f t="shared" si="40"/>
        <v>597.59779331646439</v>
      </c>
      <c r="I46" s="298">
        <f t="shared" ref="I46:J46" si="41">I35-I39</f>
        <v>690.03430554635156</v>
      </c>
      <c r="J46" s="298">
        <f t="shared" si="41"/>
        <v>783.29550991313272</v>
      </c>
      <c r="K46" s="298">
        <f t="shared" ref="K46:L46" si="42">K35-K39</f>
        <v>878.00886255384148</v>
      </c>
      <c r="L46" s="298">
        <f t="shared" si="42"/>
        <v>974.73309403193525</v>
      </c>
      <c r="M46" s="298">
        <f t="shared" ref="M46" si="43">M35-M39</f>
        <v>1074.9644293307704</v>
      </c>
    </row>
    <row r="47" spans="1:13" ht="20.100000000000001" customHeight="1" x14ac:dyDescent="0.25">
      <c r="A47" s="303" t="s">
        <v>537</v>
      </c>
      <c r="B47" s="298"/>
      <c r="C47" s="299">
        <f t="shared" ref="C47:H47" si="44">C35/C33</f>
        <v>0.66291851346743946</v>
      </c>
      <c r="D47" s="299">
        <f t="shared" si="44"/>
        <v>0.66291851346743946</v>
      </c>
      <c r="E47" s="299">
        <f t="shared" si="44"/>
        <v>0.66291851346743957</v>
      </c>
      <c r="F47" s="299">
        <f t="shared" si="44"/>
        <v>0.66291851346743946</v>
      </c>
      <c r="G47" s="299">
        <f t="shared" si="44"/>
        <v>0.66291851346743935</v>
      </c>
      <c r="H47" s="299">
        <f t="shared" si="44"/>
        <v>0.66291851346743957</v>
      </c>
      <c r="I47" s="299">
        <f t="shared" ref="I47:J47" si="45">I35/I33</f>
        <v>0.66291851346743957</v>
      </c>
      <c r="J47" s="299">
        <f t="shared" si="45"/>
        <v>0.66291851346743957</v>
      </c>
      <c r="K47" s="299">
        <f t="shared" ref="K47:L47" si="46">K35/K33</f>
        <v>0.66291851346743946</v>
      </c>
      <c r="L47" s="299">
        <f t="shared" si="46"/>
        <v>0.66291851346743946</v>
      </c>
      <c r="M47" s="299">
        <f t="shared" ref="M47" si="47">M35/M33</f>
        <v>0.66291851346743946</v>
      </c>
    </row>
    <row r="48" spans="1:13" ht="20.100000000000001" customHeight="1" x14ac:dyDescent="0.25">
      <c r="A48" s="304" t="s">
        <v>538</v>
      </c>
      <c r="B48" s="299"/>
      <c r="C48" s="298">
        <f t="shared" ref="C48:H48" si="48">(C36/C35)*C33</f>
        <v>248.94935446889721</v>
      </c>
      <c r="D48" s="298">
        <f t="shared" si="48"/>
        <v>402.30921081660125</v>
      </c>
      <c r="E48" s="298">
        <f t="shared" si="48"/>
        <v>422.20571533636496</v>
      </c>
      <c r="F48" s="298">
        <f t="shared" si="48"/>
        <v>443.09704508211718</v>
      </c>
      <c r="G48" s="298">
        <f t="shared" si="48"/>
        <v>465.03294131515679</v>
      </c>
      <c r="H48" s="298">
        <f t="shared" si="48"/>
        <v>484.51617650336226</v>
      </c>
      <c r="I48" s="298">
        <f t="shared" ref="I48:J48" si="49">(I36/I35)*I33</f>
        <v>508.70050210028836</v>
      </c>
      <c r="J48" s="298">
        <f t="shared" si="49"/>
        <v>534.09404397706089</v>
      </c>
      <c r="K48" s="298">
        <f t="shared" ref="K48:L48" si="50">(K36/K35)*K33</f>
        <v>560.75726294767196</v>
      </c>
      <c r="L48" s="298">
        <f t="shared" si="50"/>
        <v>588.75364286681361</v>
      </c>
      <c r="M48" s="298">
        <f t="shared" ref="M48" si="51">(M36/M35)*M33</f>
        <v>618.23280823839627</v>
      </c>
    </row>
    <row r="49" spans="1:13" ht="20.100000000000001" customHeight="1" x14ac:dyDescent="0.25">
      <c r="A49" s="303" t="s">
        <v>539</v>
      </c>
      <c r="B49" s="303"/>
      <c r="C49" s="299">
        <f t="shared" ref="C49:H49" si="52">C48/C33</f>
        <v>0.26628625388596</v>
      </c>
      <c r="D49" s="299">
        <f t="shared" si="52"/>
        <v>0.26126943699225641</v>
      </c>
      <c r="E49" s="299">
        <f t="shared" si="52"/>
        <v>0.26113401280842208</v>
      </c>
      <c r="F49" s="299">
        <f t="shared" si="52"/>
        <v>0.26100503739524672</v>
      </c>
      <c r="G49" s="299">
        <f t="shared" si="52"/>
        <v>0.26088220366841286</v>
      </c>
      <c r="H49" s="299">
        <f t="shared" si="52"/>
        <v>0.25886880488757896</v>
      </c>
      <c r="I49" s="299">
        <f t="shared" ref="I49:J49" si="53">I48/I33</f>
        <v>0.25884769651825312</v>
      </c>
      <c r="J49" s="299">
        <f t="shared" si="53"/>
        <v>0.25882759330937138</v>
      </c>
      <c r="K49" s="299">
        <f t="shared" ref="K49:L49" si="54">K48/K33</f>
        <v>0.25880844739615066</v>
      </c>
      <c r="L49" s="299">
        <f t="shared" si="54"/>
        <v>0.25879021319308332</v>
      </c>
      <c r="M49" s="299">
        <f t="shared" ref="M49" si="55">M48/M33</f>
        <v>0.25880757910076652</v>
      </c>
    </row>
    <row r="52" spans="1:13" x14ac:dyDescent="0.25">
      <c r="A52" s="309" t="s">
        <v>577</v>
      </c>
      <c r="B52" s="314">
        <f>B19-B20</f>
        <v>0</v>
      </c>
      <c r="C52" s="314">
        <f t="shared" ref="C52:M52" si="56">C19-C20</f>
        <v>324.64073900680006</v>
      </c>
      <c r="D52" s="314">
        <f t="shared" si="56"/>
        <v>742.10943053384767</v>
      </c>
      <c r="E52" s="314">
        <f t="shared" si="56"/>
        <v>1177.7088908796347</v>
      </c>
      <c r="F52" s="314">
        <f t="shared" si="56"/>
        <v>1637.0312885988878</v>
      </c>
      <c r="G52" s="314">
        <f t="shared" si="56"/>
        <v>1983.3233714260634</v>
      </c>
      <c r="H52" s="314">
        <f t="shared" si="56"/>
        <v>2360.1576682908762</v>
      </c>
      <c r="I52" s="314">
        <f t="shared" si="56"/>
        <v>2732.6341517129426</v>
      </c>
      <c r="J52" s="314">
        <f t="shared" si="56"/>
        <v>3144.8732984080571</v>
      </c>
      <c r="K52" s="314">
        <f t="shared" si="56"/>
        <v>3560.8977039626116</v>
      </c>
      <c r="L52" s="314">
        <f t="shared" si="56"/>
        <v>4064.6611521576024</v>
      </c>
      <c r="M52" s="314">
        <f t="shared" si="56"/>
        <v>4860.7315613856999</v>
      </c>
    </row>
    <row r="53" spans="1:13" x14ac:dyDescent="0.25">
      <c r="A53" s="315" t="s">
        <v>771</v>
      </c>
      <c r="B53" s="309"/>
      <c r="C53" s="314">
        <f>C52-B52</f>
        <v>324.64073900680006</v>
      </c>
      <c r="D53" s="314">
        <f t="shared" ref="D53:M53" si="57">D52-C52</f>
        <v>417.46869152704761</v>
      </c>
      <c r="E53" s="314">
        <f t="shared" si="57"/>
        <v>435.59946034578707</v>
      </c>
      <c r="F53" s="314">
        <f t="shared" si="57"/>
        <v>459.3223977192531</v>
      </c>
      <c r="G53" s="314">
        <f t="shared" si="57"/>
        <v>346.29208282717559</v>
      </c>
      <c r="H53" s="314">
        <f t="shared" si="57"/>
        <v>376.83429686481281</v>
      </c>
      <c r="I53" s="314">
        <f t="shared" si="57"/>
        <v>372.47648342206639</v>
      </c>
      <c r="J53" s="314">
        <f t="shared" si="57"/>
        <v>412.23914669511441</v>
      </c>
      <c r="K53" s="314">
        <f t="shared" si="57"/>
        <v>416.02440555455451</v>
      </c>
      <c r="L53" s="314">
        <f t="shared" si="57"/>
        <v>503.76344819499081</v>
      </c>
      <c r="M53" s="314">
        <f t="shared" si="57"/>
        <v>796.07040922809756</v>
      </c>
    </row>
  </sheetData>
  <customSheetViews>
    <customSheetView guid="{22475485-DA09-46DB-978D-BB94CE1E5597}" hiddenRows="1" topLeftCell="A8">
      <selection activeCell="A20" sqref="A20"/>
      <pageMargins left="0.7" right="0.7" top="0.75" bottom="0.75" header="0.3" footer="0.3"/>
      <pageSetup paperSize="9" orientation="landscape" verticalDpi="300" r:id="rId1"/>
    </customSheetView>
  </customSheetViews>
  <pageMargins left="0.7" right="0.7" top="0.75" bottom="0.75" header="0.3" footer="0.3"/>
  <pageSetup paperSize="9" orientation="landscape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M44"/>
  <sheetViews>
    <sheetView workbookViewId="0">
      <pane xSplit="1" ySplit="5" topLeftCell="B26" activePane="bottomRight" state="frozen"/>
      <selection activeCell="B8" sqref="B8"/>
      <selection pane="topRight" activeCell="B8" sqref="B8"/>
      <selection pane="bottomLeft" activeCell="B8" sqref="B8"/>
      <selection pane="bottomRight" activeCell="A3" sqref="A3:M3"/>
    </sheetView>
  </sheetViews>
  <sheetFormatPr defaultColWidth="9.140625" defaultRowHeight="15" x14ac:dyDescent="0.25"/>
  <cols>
    <col min="1" max="1" width="29.28515625" style="246" customWidth="1"/>
    <col min="2" max="13" width="11.7109375" style="246" customWidth="1"/>
    <col min="14" max="16384" width="9.140625" style="246"/>
  </cols>
  <sheetData>
    <row r="3" spans="1:13" x14ac:dyDescent="0.25">
      <c r="A3" s="414" t="s">
        <v>795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6"/>
    </row>
    <row r="5" spans="1:13" x14ac:dyDescent="0.25">
      <c r="A5" s="199" t="s">
        <v>452</v>
      </c>
      <c r="B5" s="345">
        <v>2024</v>
      </c>
      <c r="C5" s="345">
        <f>B5+1</f>
        <v>2025</v>
      </c>
      <c r="D5" s="345">
        <f t="shared" ref="D5:M5" si="0">C5+1</f>
        <v>2026</v>
      </c>
      <c r="E5" s="345">
        <f t="shared" si="0"/>
        <v>2027</v>
      </c>
      <c r="F5" s="345">
        <f t="shared" si="0"/>
        <v>2028</v>
      </c>
      <c r="G5" s="345">
        <f t="shared" si="0"/>
        <v>2029</v>
      </c>
      <c r="H5" s="345">
        <f t="shared" si="0"/>
        <v>2030</v>
      </c>
      <c r="I5" s="345">
        <f t="shared" si="0"/>
        <v>2031</v>
      </c>
      <c r="J5" s="345">
        <f t="shared" si="0"/>
        <v>2032</v>
      </c>
      <c r="K5" s="345">
        <f t="shared" si="0"/>
        <v>2033</v>
      </c>
      <c r="L5" s="345">
        <f t="shared" si="0"/>
        <v>2034</v>
      </c>
      <c r="M5" s="345">
        <f t="shared" si="0"/>
        <v>2035</v>
      </c>
    </row>
    <row r="6" spans="1:13" x14ac:dyDescent="0.25">
      <c r="A6" s="211" t="s">
        <v>408</v>
      </c>
      <c r="B6" s="223"/>
      <c r="C6" s="223">
        <v>9</v>
      </c>
      <c r="D6" s="223">
        <v>12</v>
      </c>
      <c r="E6" s="223">
        <v>12</v>
      </c>
      <c r="F6" s="223">
        <v>12</v>
      </c>
      <c r="G6" s="223">
        <v>12</v>
      </c>
      <c r="H6" s="223">
        <v>12</v>
      </c>
      <c r="I6" s="223">
        <v>12</v>
      </c>
      <c r="J6" s="223">
        <v>12</v>
      </c>
      <c r="K6" s="223">
        <v>12</v>
      </c>
      <c r="L6" s="223">
        <v>12</v>
      </c>
      <c r="M6" s="223">
        <v>12</v>
      </c>
    </row>
    <row r="7" spans="1:13" x14ac:dyDescent="0.25">
      <c r="A7" s="211" t="s">
        <v>544</v>
      </c>
      <c r="B7" s="344"/>
      <c r="C7" s="344">
        <f>'P &amp; L'!C9</f>
        <v>934.89374999999995</v>
      </c>
      <c r="D7" s="344">
        <f>'P &amp; L'!D9</f>
        <v>1539.825</v>
      </c>
      <c r="E7" s="344">
        <f>'P &amp; L'!E9</f>
        <v>1616.8162500000001</v>
      </c>
      <c r="F7" s="344">
        <f>'P &amp; L'!F9</f>
        <v>1697.6570624999999</v>
      </c>
      <c r="G7" s="344">
        <f>'P &amp; L'!G9</f>
        <v>1782.5399156250003</v>
      </c>
      <c r="H7" s="344">
        <f>'P &amp; L'!H9</f>
        <v>1871.6669114062506</v>
      </c>
      <c r="I7" s="344">
        <f>'P &amp; L'!I9</f>
        <v>1965.2502569765632</v>
      </c>
      <c r="J7" s="344">
        <f>'P &amp; L'!J9</f>
        <v>2063.5127698253914</v>
      </c>
      <c r="K7" s="344">
        <f>'P &amp; L'!K9</f>
        <v>2166.688408316661</v>
      </c>
      <c r="L7" s="344">
        <f>'P &amp; L'!L9</f>
        <v>2275.022828732494</v>
      </c>
      <c r="M7" s="344">
        <f>'P &amp; L'!M9</f>
        <v>2388.7739701691189</v>
      </c>
    </row>
    <row r="8" spans="1:13" x14ac:dyDescent="0.25">
      <c r="A8" s="211" t="s">
        <v>545</v>
      </c>
      <c r="B8" s="344"/>
      <c r="C8" s="344">
        <f>'P &amp; L'!C11</f>
        <v>177.38437499999998</v>
      </c>
      <c r="D8" s="344">
        <f>'P &amp; L'!D11</f>
        <v>292.16250000000002</v>
      </c>
      <c r="E8" s="344">
        <f>'P &amp; L'!E11</f>
        <v>306.770625</v>
      </c>
      <c r="F8" s="344">
        <f>'P &amp; L'!F11</f>
        <v>322.10915625000001</v>
      </c>
      <c r="G8" s="344">
        <f>'P &amp; L'!G11</f>
        <v>338.21461406250006</v>
      </c>
      <c r="H8" s="344">
        <f>'P &amp; L'!H11</f>
        <v>355.12534476562507</v>
      </c>
      <c r="I8" s="344">
        <f>'P &amp; L'!I11</f>
        <v>372.88161200390635</v>
      </c>
      <c r="J8" s="344">
        <f>'P &amp; L'!J11</f>
        <v>391.52569260410166</v>
      </c>
      <c r="K8" s="344">
        <f>'P &amp; L'!K11</f>
        <v>411.10197723430679</v>
      </c>
      <c r="L8" s="344">
        <f>'P &amp; L'!L11</f>
        <v>431.65707609602214</v>
      </c>
      <c r="M8" s="344">
        <f>'P &amp; L'!M11</f>
        <v>453.23992990082326</v>
      </c>
    </row>
    <row r="9" spans="1:13" x14ac:dyDescent="0.25">
      <c r="A9" s="211" t="s">
        <v>713</v>
      </c>
      <c r="B9" s="210"/>
      <c r="C9" s="210">
        <f>'P &amp; L'!C12</f>
        <v>128.4435</v>
      </c>
      <c r="D9" s="210">
        <f>'P &amp; L'!D12</f>
        <v>211.554</v>
      </c>
      <c r="E9" s="210">
        <f>'P &amp; L'!E12</f>
        <v>222.1317</v>
      </c>
      <c r="F9" s="210">
        <f>'P &amp; L'!F12</f>
        <v>233.23828500000002</v>
      </c>
      <c r="G9" s="210">
        <f>'P &amp; L'!G12</f>
        <v>244.90019925000004</v>
      </c>
      <c r="H9" s="210">
        <f>'P &amp; L'!H12</f>
        <v>257.14520921250005</v>
      </c>
      <c r="I9" s="210">
        <f>'P &amp; L'!I12</f>
        <v>270.00246967312506</v>
      </c>
      <c r="J9" s="210">
        <f>'P &amp; L'!J12</f>
        <v>283.5025931567813</v>
      </c>
      <c r="K9" s="210">
        <f>'P &amp; L'!K12</f>
        <v>297.67772281462038</v>
      </c>
      <c r="L9" s="210">
        <f>'P &amp; L'!L12</f>
        <v>312.56160895535146</v>
      </c>
      <c r="M9" s="210">
        <f>'P &amp; L'!M12</f>
        <v>328.18968940311902</v>
      </c>
    </row>
    <row r="10" spans="1:13" x14ac:dyDescent="0.25">
      <c r="A10" s="211" t="s">
        <v>546</v>
      </c>
      <c r="B10" s="210"/>
      <c r="C10" s="210">
        <f>'P &amp; L'!C16</f>
        <v>149.00513599320001</v>
      </c>
      <c r="D10" s="210">
        <f>'P &amp; L'!D16</f>
        <v>245.42022398880002</v>
      </c>
      <c r="E10" s="210">
        <f>'P &amp; L'!E16</f>
        <v>257.69123518824</v>
      </c>
      <c r="F10" s="210">
        <f>'P &amp; L'!F16</f>
        <v>270.57579694765207</v>
      </c>
      <c r="G10" s="210">
        <f>'P &amp; L'!G16</f>
        <v>284.10458679503466</v>
      </c>
      <c r="H10" s="210">
        <f>'P &amp; L'!H16</f>
        <v>298.30981613478644</v>
      </c>
      <c r="I10" s="210">
        <f>'P &amp; L'!I16</f>
        <v>313.22530694152579</v>
      </c>
      <c r="J10" s="210">
        <f>'P &amp; L'!J16</f>
        <v>328.88657228860205</v>
      </c>
      <c r="K10" s="210">
        <f>'P &amp; L'!K16</f>
        <v>345.33090090303216</v>
      </c>
      <c r="L10" s="210">
        <f>'P &amp; L'!L16</f>
        <v>362.5974459481838</v>
      </c>
      <c r="M10" s="210">
        <f>'P &amp; L'!M16</f>
        <v>380.72731824559298</v>
      </c>
    </row>
    <row r="11" spans="1:13" x14ac:dyDescent="0.25">
      <c r="A11" s="211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</row>
    <row r="12" spans="1:13" x14ac:dyDescent="0.25">
      <c r="A12" s="211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</row>
    <row r="13" spans="1:13" x14ac:dyDescent="0.25">
      <c r="A13" s="211" t="s">
        <v>457</v>
      </c>
      <c r="B13" s="223"/>
      <c r="C13" s="297">
        <f>B15</f>
        <v>0</v>
      </c>
      <c r="D13" s="297">
        <f t="shared" ref="D13:M13" si="1">C15</f>
        <v>3.6520312499999994</v>
      </c>
      <c r="E13" s="297">
        <f t="shared" si="1"/>
        <v>6.0151102941176475</v>
      </c>
      <c r="F13" s="297">
        <f t="shared" si="1"/>
        <v>6.3158658088235287</v>
      </c>
      <c r="G13" s="297">
        <f t="shared" si="1"/>
        <v>6.6316590992647058</v>
      </c>
      <c r="H13" s="297">
        <f t="shared" si="1"/>
        <v>6.9632420542279423</v>
      </c>
      <c r="I13" s="297">
        <f t="shared" si="1"/>
        <v>7.3114041569393402</v>
      </c>
      <c r="J13" s="297">
        <f t="shared" si="1"/>
        <v>7.6769743647863073</v>
      </c>
      <c r="K13" s="297">
        <f t="shared" si="1"/>
        <v>8.0608230830256229</v>
      </c>
      <c r="L13" s="297">
        <f t="shared" si="1"/>
        <v>8.4638642371769031</v>
      </c>
      <c r="M13" s="297">
        <f t="shared" si="1"/>
        <v>8.8870574490357495</v>
      </c>
    </row>
    <row r="14" spans="1:13" x14ac:dyDescent="0.25">
      <c r="A14" s="215" t="s">
        <v>458</v>
      </c>
      <c r="B14" s="294"/>
      <c r="C14" s="294">
        <f t="shared" ref="C14:H14" si="2">C8</f>
        <v>177.38437499999998</v>
      </c>
      <c r="D14" s="294">
        <f t="shared" si="2"/>
        <v>292.16250000000002</v>
      </c>
      <c r="E14" s="294">
        <f t="shared" si="2"/>
        <v>306.770625</v>
      </c>
      <c r="F14" s="294">
        <f t="shared" si="2"/>
        <v>322.10915625000001</v>
      </c>
      <c r="G14" s="294">
        <f t="shared" si="2"/>
        <v>338.21461406250006</v>
      </c>
      <c r="H14" s="294">
        <f t="shared" si="2"/>
        <v>355.12534476562507</v>
      </c>
      <c r="I14" s="294">
        <f t="shared" ref="I14:J14" si="3">I8</f>
        <v>372.88161200390635</v>
      </c>
      <c r="J14" s="294">
        <f t="shared" si="3"/>
        <v>391.52569260410166</v>
      </c>
      <c r="K14" s="294">
        <f t="shared" ref="K14:L14" si="4">K8</f>
        <v>411.10197723430679</v>
      </c>
      <c r="L14" s="294">
        <f t="shared" si="4"/>
        <v>431.65707609602214</v>
      </c>
      <c r="M14" s="294">
        <f t="shared" ref="M14" si="5">M8</f>
        <v>453.23992990082326</v>
      </c>
    </row>
    <row r="15" spans="1:13" x14ac:dyDescent="0.25">
      <c r="A15" s="211" t="s">
        <v>459</v>
      </c>
      <c r="B15" s="297"/>
      <c r="C15" s="297">
        <f t="shared" ref="C15:H15" si="6">C17*C16/340</f>
        <v>3.6520312499999994</v>
      </c>
      <c r="D15" s="297">
        <f t="shared" si="6"/>
        <v>6.0151102941176475</v>
      </c>
      <c r="E15" s="297">
        <f t="shared" si="6"/>
        <v>6.3158658088235287</v>
      </c>
      <c r="F15" s="297">
        <f t="shared" si="6"/>
        <v>6.6316590992647058</v>
      </c>
      <c r="G15" s="297">
        <f t="shared" si="6"/>
        <v>6.9632420542279423</v>
      </c>
      <c r="H15" s="297">
        <f t="shared" si="6"/>
        <v>7.3114041569393402</v>
      </c>
      <c r="I15" s="297">
        <f t="shared" ref="I15:J15" si="7">I17*I16/340</f>
        <v>7.6769743647863073</v>
      </c>
      <c r="J15" s="297">
        <f t="shared" si="7"/>
        <v>8.0608230830256229</v>
      </c>
      <c r="K15" s="297">
        <f t="shared" ref="K15:L15" si="8">K17*K16/340</f>
        <v>8.4638642371769031</v>
      </c>
      <c r="L15" s="297">
        <f t="shared" si="8"/>
        <v>8.8870574490357495</v>
      </c>
      <c r="M15" s="297">
        <f t="shared" ref="M15" si="9">M17*M16/340</f>
        <v>9.331410321487537</v>
      </c>
    </row>
    <row r="16" spans="1:13" x14ac:dyDescent="0.25">
      <c r="A16" s="211" t="s">
        <v>196</v>
      </c>
      <c r="B16" s="223"/>
      <c r="C16" s="223">
        <v>7</v>
      </c>
      <c r="D16" s="223">
        <f>C16</f>
        <v>7</v>
      </c>
      <c r="E16" s="223">
        <f>D16</f>
        <v>7</v>
      </c>
      <c r="F16" s="223">
        <f t="shared" ref="F16:M16" si="10">E16</f>
        <v>7</v>
      </c>
      <c r="G16" s="223">
        <f t="shared" si="10"/>
        <v>7</v>
      </c>
      <c r="H16" s="223">
        <f t="shared" si="10"/>
        <v>7</v>
      </c>
      <c r="I16" s="223">
        <f t="shared" si="10"/>
        <v>7</v>
      </c>
      <c r="J16" s="223">
        <f t="shared" si="10"/>
        <v>7</v>
      </c>
      <c r="K16" s="223">
        <f t="shared" si="10"/>
        <v>7</v>
      </c>
      <c r="L16" s="223">
        <f t="shared" si="10"/>
        <v>7</v>
      </c>
      <c r="M16" s="223">
        <f t="shared" si="10"/>
        <v>7</v>
      </c>
    </row>
    <row r="17" spans="1:13" x14ac:dyDescent="0.25">
      <c r="A17" s="211" t="s">
        <v>460</v>
      </c>
      <c r="B17" s="294"/>
      <c r="C17" s="294">
        <f t="shared" ref="C17:H17" si="11">C8</f>
        <v>177.38437499999998</v>
      </c>
      <c r="D17" s="294">
        <f t="shared" si="11"/>
        <v>292.16250000000002</v>
      </c>
      <c r="E17" s="294">
        <f t="shared" si="11"/>
        <v>306.770625</v>
      </c>
      <c r="F17" s="294">
        <f t="shared" si="11"/>
        <v>322.10915625000001</v>
      </c>
      <c r="G17" s="294">
        <f t="shared" si="11"/>
        <v>338.21461406250006</v>
      </c>
      <c r="H17" s="294">
        <f t="shared" si="11"/>
        <v>355.12534476562507</v>
      </c>
      <c r="I17" s="294">
        <f t="shared" ref="I17:J17" si="12">I8</f>
        <v>372.88161200390635</v>
      </c>
      <c r="J17" s="294">
        <f t="shared" si="12"/>
        <v>391.52569260410166</v>
      </c>
      <c r="K17" s="294">
        <f t="shared" ref="K17:L17" si="13">K8</f>
        <v>411.10197723430679</v>
      </c>
      <c r="L17" s="294">
        <f t="shared" si="13"/>
        <v>431.65707609602214</v>
      </c>
      <c r="M17" s="294">
        <f t="shared" ref="M17" si="14">M8</f>
        <v>453.23992990082326</v>
      </c>
    </row>
    <row r="18" spans="1:13" x14ac:dyDescent="0.25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</row>
    <row r="19" spans="1:13" x14ac:dyDescent="0.25">
      <c r="A19" s="223" t="s">
        <v>196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</row>
    <row r="20" spans="1:13" x14ac:dyDescent="0.25">
      <c r="A20" s="211" t="s">
        <v>461</v>
      </c>
      <c r="B20" s="210"/>
      <c r="C20" s="210">
        <f t="shared" ref="C20:H20" si="15">C14*C21/340</f>
        <v>3.6520312499999994</v>
      </c>
      <c r="D20" s="210">
        <f t="shared" si="15"/>
        <v>6.0151102941176475</v>
      </c>
      <c r="E20" s="210">
        <f t="shared" si="15"/>
        <v>6.3158658088235287</v>
      </c>
      <c r="F20" s="210">
        <f t="shared" si="15"/>
        <v>6.6316590992647058</v>
      </c>
      <c r="G20" s="210">
        <f t="shared" si="15"/>
        <v>6.9632420542279423</v>
      </c>
      <c r="H20" s="210">
        <f t="shared" si="15"/>
        <v>7.3114041569393402</v>
      </c>
      <c r="I20" s="210">
        <f t="shared" ref="I20:J20" si="16">I14*I21/340</f>
        <v>7.6769743647863073</v>
      </c>
      <c r="J20" s="210">
        <f t="shared" si="16"/>
        <v>8.0608230830256229</v>
      </c>
      <c r="K20" s="210">
        <f t="shared" ref="K20:L20" si="17">K14*K21/340</f>
        <v>8.4638642371769031</v>
      </c>
      <c r="L20" s="210">
        <f t="shared" si="17"/>
        <v>8.8870574490357495</v>
      </c>
      <c r="M20" s="210">
        <f t="shared" ref="M20" si="18">M14*M21/340</f>
        <v>9.331410321487537</v>
      </c>
    </row>
    <row r="21" spans="1:13" x14ac:dyDescent="0.25">
      <c r="A21" s="211" t="s">
        <v>462</v>
      </c>
      <c r="B21" s="294"/>
      <c r="C21" s="294">
        <v>7</v>
      </c>
      <c r="D21" s="294">
        <f>C21</f>
        <v>7</v>
      </c>
      <c r="E21" s="294">
        <f t="shared" ref="E21:M21" si="19">D21</f>
        <v>7</v>
      </c>
      <c r="F21" s="294">
        <f t="shared" si="19"/>
        <v>7</v>
      </c>
      <c r="G21" s="294">
        <f t="shared" si="19"/>
        <v>7</v>
      </c>
      <c r="H21" s="294">
        <f t="shared" si="19"/>
        <v>7</v>
      </c>
      <c r="I21" s="294">
        <f t="shared" si="19"/>
        <v>7</v>
      </c>
      <c r="J21" s="294">
        <f t="shared" si="19"/>
        <v>7</v>
      </c>
      <c r="K21" s="294">
        <f t="shared" si="19"/>
        <v>7</v>
      </c>
      <c r="L21" s="294">
        <f t="shared" si="19"/>
        <v>7</v>
      </c>
      <c r="M21" s="294">
        <f t="shared" si="19"/>
        <v>7</v>
      </c>
    </row>
    <row r="22" spans="1:13" x14ac:dyDescent="0.25">
      <c r="A22" s="211" t="s">
        <v>712</v>
      </c>
      <c r="B22" s="210"/>
      <c r="C22" s="210">
        <f t="shared" ref="C22:H22" si="20">C9*C23/340</f>
        <v>2.644425</v>
      </c>
      <c r="D22" s="210">
        <f t="shared" si="20"/>
        <v>4.3555235294117649</v>
      </c>
      <c r="E22" s="210">
        <f t="shared" si="20"/>
        <v>4.573299705882353</v>
      </c>
      <c r="F22" s="210">
        <f t="shared" si="20"/>
        <v>4.8019646911764715</v>
      </c>
      <c r="G22" s="210">
        <f t="shared" si="20"/>
        <v>5.0420629257352951</v>
      </c>
      <c r="H22" s="210">
        <f t="shared" si="20"/>
        <v>5.29416607202206</v>
      </c>
      <c r="I22" s="210">
        <f t="shared" ref="I22:J22" si="21">I9*I23/340</f>
        <v>5.5588743756231631</v>
      </c>
      <c r="J22" s="210">
        <f t="shared" si="21"/>
        <v>5.8368180944043209</v>
      </c>
      <c r="K22" s="210">
        <f t="shared" ref="K22:L22" si="22">K9*K23/340</f>
        <v>6.1286589991245375</v>
      </c>
      <c r="L22" s="210">
        <f t="shared" si="22"/>
        <v>6.4350919490807659</v>
      </c>
      <c r="M22" s="210">
        <f t="shared" ref="M22" si="23">M9*M23/340</f>
        <v>6.7568465465348044</v>
      </c>
    </row>
    <row r="23" spans="1:13" x14ac:dyDescent="0.25">
      <c r="A23" s="211" t="s">
        <v>462</v>
      </c>
      <c r="B23" s="294"/>
      <c r="C23" s="294">
        <v>7</v>
      </c>
      <c r="D23" s="294">
        <f t="shared" ref="D23:M23" si="24">C23</f>
        <v>7</v>
      </c>
      <c r="E23" s="294">
        <f t="shared" si="24"/>
        <v>7</v>
      </c>
      <c r="F23" s="294">
        <f t="shared" si="24"/>
        <v>7</v>
      </c>
      <c r="G23" s="294">
        <f t="shared" si="24"/>
        <v>7</v>
      </c>
      <c r="H23" s="294">
        <f t="shared" si="24"/>
        <v>7</v>
      </c>
      <c r="I23" s="294">
        <f t="shared" si="24"/>
        <v>7</v>
      </c>
      <c r="J23" s="294">
        <f t="shared" si="24"/>
        <v>7</v>
      </c>
      <c r="K23" s="294">
        <f t="shared" si="24"/>
        <v>7</v>
      </c>
      <c r="L23" s="294">
        <f t="shared" si="24"/>
        <v>7</v>
      </c>
      <c r="M23" s="294">
        <f t="shared" si="24"/>
        <v>7</v>
      </c>
    </row>
    <row r="24" spans="1:13" x14ac:dyDescent="0.25">
      <c r="A24" s="211" t="s">
        <v>465</v>
      </c>
      <c r="B24" s="210"/>
      <c r="C24" s="210">
        <f t="shared" ref="C24:H24" si="25">C10*C25/340</f>
        <v>3.0677527998600005</v>
      </c>
      <c r="D24" s="210">
        <f t="shared" si="25"/>
        <v>5.0527693174164714</v>
      </c>
      <c r="E24" s="210">
        <f t="shared" si="25"/>
        <v>5.3054077832872943</v>
      </c>
      <c r="F24" s="210">
        <f t="shared" si="25"/>
        <v>5.5706781724516601</v>
      </c>
      <c r="G24" s="210">
        <f t="shared" si="25"/>
        <v>5.849212081074243</v>
      </c>
      <c r="H24" s="210">
        <f t="shared" si="25"/>
        <v>6.1416726851279559</v>
      </c>
      <c r="I24" s="210">
        <f t="shared" ref="I24:J24" si="26">I10*I25/340</f>
        <v>6.4487563193843549</v>
      </c>
      <c r="J24" s="210">
        <f t="shared" si="26"/>
        <v>6.7711941353535714</v>
      </c>
      <c r="K24" s="210">
        <f t="shared" ref="K24:L24" si="27">K10*K25/340</f>
        <v>7.1097538421212505</v>
      </c>
      <c r="L24" s="210">
        <f t="shared" si="27"/>
        <v>7.4652415342273128</v>
      </c>
      <c r="M24" s="210">
        <f t="shared" ref="M24" si="28">M10*M25/340</f>
        <v>7.8385036109386794</v>
      </c>
    </row>
    <row r="25" spans="1:13" x14ac:dyDescent="0.25">
      <c r="A25" s="211" t="s">
        <v>462</v>
      </c>
      <c r="B25" s="294"/>
      <c r="C25" s="294">
        <v>7</v>
      </c>
      <c r="D25" s="294">
        <f t="shared" ref="D25:M25" si="29">C25</f>
        <v>7</v>
      </c>
      <c r="E25" s="294">
        <f t="shared" si="29"/>
        <v>7</v>
      </c>
      <c r="F25" s="294">
        <f t="shared" si="29"/>
        <v>7</v>
      </c>
      <c r="G25" s="294">
        <f t="shared" si="29"/>
        <v>7</v>
      </c>
      <c r="H25" s="294">
        <f t="shared" si="29"/>
        <v>7</v>
      </c>
      <c r="I25" s="294">
        <f t="shared" si="29"/>
        <v>7</v>
      </c>
      <c r="J25" s="294">
        <f t="shared" si="29"/>
        <v>7</v>
      </c>
      <c r="K25" s="294">
        <f t="shared" si="29"/>
        <v>7</v>
      </c>
      <c r="L25" s="294">
        <f t="shared" si="29"/>
        <v>7</v>
      </c>
      <c r="M25" s="294">
        <f t="shared" si="29"/>
        <v>7</v>
      </c>
    </row>
    <row r="26" spans="1:13" x14ac:dyDescent="0.25">
      <c r="A26" s="211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</row>
    <row r="27" spans="1:13" x14ac:dyDescent="0.25">
      <c r="A27" s="199" t="s">
        <v>493</v>
      </c>
      <c r="B27" s="100"/>
      <c r="C27" s="100">
        <f t="shared" ref="C27:H27" si="30">C20+C22+C25</f>
        <v>13.296456249999999</v>
      </c>
      <c r="D27" s="100">
        <f t="shared" si="30"/>
        <v>17.370633823529413</v>
      </c>
      <c r="E27" s="100">
        <f t="shared" si="30"/>
        <v>17.88916551470588</v>
      </c>
      <c r="F27" s="100">
        <f t="shared" si="30"/>
        <v>18.433623790441178</v>
      </c>
      <c r="G27" s="100">
        <f t="shared" si="30"/>
        <v>19.005304979963238</v>
      </c>
      <c r="H27" s="100">
        <f t="shared" si="30"/>
        <v>19.605570228961401</v>
      </c>
      <c r="I27" s="100">
        <f t="shared" ref="I27:J27" si="31">I20+I22+I25</f>
        <v>20.23584874040947</v>
      </c>
      <c r="J27" s="100">
        <f t="shared" si="31"/>
        <v>20.897641177429943</v>
      </c>
      <c r="K27" s="100">
        <f t="shared" ref="K27:L27" si="32">K20+K22+K25</f>
        <v>21.592523236301439</v>
      </c>
      <c r="L27" s="100">
        <f t="shared" si="32"/>
        <v>22.322149398116515</v>
      </c>
      <c r="M27" s="100">
        <f t="shared" ref="M27" si="33">M20+M22+M25</f>
        <v>23.088256868022341</v>
      </c>
    </row>
    <row r="28" spans="1:13" x14ac:dyDescent="0.25">
      <c r="A28" s="211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</row>
    <row r="29" spans="1:13" x14ac:dyDescent="0.25">
      <c r="A29" s="211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</row>
    <row r="30" spans="1:13" x14ac:dyDescent="0.25">
      <c r="A30" s="211" t="s">
        <v>463</v>
      </c>
      <c r="B30" s="210"/>
      <c r="C30" s="210">
        <f t="shared" ref="C30:H30" si="34">C7*C31/340</f>
        <v>57.743437499999999</v>
      </c>
      <c r="D30" s="210">
        <f t="shared" si="34"/>
        <v>95.10683823529412</v>
      </c>
      <c r="E30" s="210">
        <f t="shared" si="34"/>
        <v>99.862180147058822</v>
      </c>
      <c r="F30" s="210">
        <f t="shared" si="34"/>
        <v>104.85528915441175</v>
      </c>
      <c r="G30" s="210">
        <f t="shared" si="34"/>
        <v>110.09805361213238</v>
      </c>
      <c r="H30" s="210">
        <f t="shared" si="34"/>
        <v>115.60295629273901</v>
      </c>
      <c r="I30" s="210">
        <f t="shared" ref="I30:J30" si="35">I7*I31/340</f>
        <v>121.38310410737596</v>
      </c>
      <c r="J30" s="210">
        <f t="shared" si="35"/>
        <v>127.45225931274476</v>
      </c>
      <c r="K30" s="210">
        <f t="shared" ref="K30:L30" si="36">K7*K31/340</f>
        <v>133.824872278382</v>
      </c>
      <c r="L30" s="210">
        <f t="shared" si="36"/>
        <v>140.51611589230109</v>
      </c>
      <c r="M30" s="210">
        <f t="shared" ref="M30" si="37">M7*M31/340</f>
        <v>147.54192168691617</v>
      </c>
    </row>
    <row r="31" spans="1:13" x14ac:dyDescent="0.25">
      <c r="A31" s="211" t="s">
        <v>462</v>
      </c>
      <c r="B31" s="294"/>
      <c r="C31" s="294">
        <v>21</v>
      </c>
      <c r="D31" s="294">
        <f>C31</f>
        <v>21</v>
      </c>
      <c r="E31" s="294">
        <f t="shared" ref="E31:M31" si="38">D31</f>
        <v>21</v>
      </c>
      <c r="F31" s="294">
        <f t="shared" si="38"/>
        <v>21</v>
      </c>
      <c r="G31" s="294">
        <f t="shared" si="38"/>
        <v>21</v>
      </c>
      <c r="H31" s="294">
        <f t="shared" si="38"/>
        <v>21</v>
      </c>
      <c r="I31" s="294">
        <f t="shared" si="38"/>
        <v>21</v>
      </c>
      <c r="J31" s="294">
        <f t="shared" si="38"/>
        <v>21</v>
      </c>
      <c r="K31" s="294">
        <f t="shared" si="38"/>
        <v>21</v>
      </c>
      <c r="L31" s="294">
        <f t="shared" si="38"/>
        <v>21</v>
      </c>
      <c r="M31" s="294">
        <f t="shared" si="38"/>
        <v>21</v>
      </c>
    </row>
    <row r="32" spans="1:13" x14ac:dyDescent="0.25">
      <c r="A32" s="211" t="s">
        <v>464</v>
      </c>
      <c r="B32" s="297"/>
      <c r="C32" s="297">
        <f t="shared" ref="C32:H32" si="39">C15</f>
        <v>3.6520312499999994</v>
      </c>
      <c r="D32" s="297">
        <f t="shared" si="39"/>
        <v>6.0151102941176475</v>
      </c>
      <c r="E32" s="297">
        <f t="shared" si="39"/>
        <v>6.3158658088235287</v>
      </c>
      <c r="F32" s="297">
        <f t="shared" si="39"/>
        <v>6.6316590992647058</v>
      </c>
      <c r="G32" s="297">
        <f t="shared" si="39"/>
        <v>6.9632420542279423</v>
      </c>
      <c r="H32" s="297">
        <f t="shared" si="39"/>
        <v>7.3114041569393402</v>
      </c>
      <c r="I32" s="297">
        <f t="shared" ref="I32:J32" si="40">I15</f>
        <v>7.6769743647863073</v>
      </c>
      <c r="J32" s="297">
        <f t="shared" si="40"/>
        <v>8.0608230830256229</v>
      </c>
      <c r="K32" s="297">
        <f t="shared" ref="K32:L32" si="41">K15</f>
        <v>8.4638642371769031</v>
      </c>
      <c r="L32" s="297">
        <f t="shared" si="41"/>
        <v>8.8870574490357495</v>
      </c>
      <c r="M32" s="297">
        <f t="shared" ref="M32" si="42">M15</f>
        <v>9.331410321487537</v>
      </c>
    </row>
    <row r="33" spans="1:13" x14ac:dyDescent="0.25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</row>
    <row r="34" spans="1:13" x14ac:dyDescent="0.25">
      <c r="A34" s="211" t="s">
        <v>466</v>
      </c>
      <c r="B34" s="100"/>
      <c r="C34" s="100">
        <f t="shared" ref="C34:H34" si="43">C30+C32</f>
        <v>61.395468749999999</v>
      </c>
      <c r="D34" s="100">
        <f t="shared" si="43"/>
        <v>101.12194852941177</v>
      </c>
      <c r="E34" s="100">
        <f t="shared" si="43"/>
        <v>106.17804595588235</v>
      </c>
      <c r="F34" s="100">
        <f t="shared" si="43"/>
        <v>111.48694825367646</v>
      </c>
      <c r="G34" s="100">
        <f t="shared" si="43"/>
        <v>117.06129566636032</v>
      </c>
      <c r="H34" s="100">
        <f t="shared" si="43"/>
        <v>122.91436044967836</v>
      </c>
      <c r="I34" s="100">
        <f t="shared" ref="I34:J34" si="44">I30+I32</f>
        <v>129.06007847216227</v>
      </c>
      <c r="J34" s="100">
        <f t="shared" si="44"/>
        <v>135.51308239577037</v>
      </c>
      <c r="K34" s="100">
        <f t="shared" ref="K34:L34" si="45">K30+K32</f>
        <v>142.2887365155589</v>
      </c>
      <c r="L34" s="100">
        <f t="shared" si="45"/>
        <v>149.40317334133684</v>
      </c>
      <c r="M34" s="100">
        <f t="shared" ref="M34" si="46">M30+M32</f>
        <v>156.87333200840371</v>
      </c>
    </row>
    <row r="35" spans="1:13" x14ac:dyDescent="0.25">
      <c r="A35" s="211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</row>
    <row r="36" spans="1:13" x14ac:dyDescent="0.25">
      <c r="A36" s="211" t="s">
        <v>519</v>
      </c>
      <c r="B36" s="210"/>
      <c r="C36" s="210">
        <f>C34-C27</f>
        <v>48.099012500000001</v>
      </c>
      <c r="D36" s="210">
        <f t="shared" ref="D36:H36" si="47">D34-D27</f>
        <v>83.751314705882351</v>
      </c>
      <c r="E36" s="210">
        <f t="shared" si="47"/>
        <v>88.288880441176474</v>
      </c>
      <c r="F36" s="210">
        <f t="shared" si="47"/>
        <v>93.053324463235285</v>
      </c>
      <c r="G36" s="210">
        <f t="shared" si="47"/>
        <v>98.055990686397081</v>
      </c>
      <c r="H36" s="210">
        <f t="shared" si="47"/>
        <v>103.30879022071696</v>
      </c>
      <c r="I36" s="210">
        <f t="shared" ref="I36:J36" si="48">I34-I27</f>
        <v>108.82422973175281</v>
      </c>
      <c r="J36" s="210">
        <f t="shared" si="48"/>
        <v>114.61544121834042</v>
      </c>
      <c r="K36" s="210">
        <f t="shared" ref="K36:L36" si="49">K34-K27</f>
        <v>120.69621327925745</v>
      </c>
      <c r="L36" s="210">
        <f t="shared" si="49"/>
        <v>127.08102394322032</v>
      </c>
      <c r="M36" s="210">
        <f t="shared" ref="M36" si="50">M34-M27</f>
        <v>133.78507514038137</v>
      </c>
    </row>
    <row r="37" spans="1:13" x14ac:dyDescent="0.25">
      <c r="A37" s="211" t="s">
        <v>520</v>
      </c>
      <c r="B37" s="210"/>
      <c r="C37" s="210">
        <f t="shared" ref="C37:H37" si="51">C36*25%</f>
        <v>12.024753125</v>
      </c>
      <c r="D37" s="210">
        <f t="shared" si="51"/>
        <v>20.937828676470588</v>
      </c>
      <c r="E37" s="210">
        <f t="shared" si="51"/>
        <v>22.072220110294118</v>
      </c>
      <c r="F37" s="210">
        <f t="shared" si="51"/>
        <v>23.263331115808821</v>
      </c>
      <c r="G37" s="210">
        <f t="shared" si="51"/>
        <v>24.51399767159927</v>
      </c>
      <c r="H37" s="210">
        <f t="shared" si="51"/>
        <v>25.827197555179239</v>
      </c>
      <c r="I37" s="210">
        <f t="shared" ref="I37:J37" si="52">I36*25%</f>
        <v>27.206057432938202</v>
      </c>
      <c r="J37" s="210">
        <f t="shared" si="52"/>
        <v>28.653860304585105</v>
      </c>
      <c r="K37" s="210">
        <f t="shared" ref="K37:L37" si="53">K36*25%</f>
        <v>30.174053319814362</v>
      </c>
      <c r="L37" s="210">
        <f t="shared" si="53"/>
        <v>31.770255985805079</v>
      </c>
      <c r="M37" s="210">
        <f t="shared" ref="M37" si="54">M36*25%</f>
        <v>33.446268785095342</v>
      </c>
    </row>
    <row r="38" spans="1:13" x14ac:dyDescent="0.25">
      <c r="A38" s="211" t="s">
        <v>548</v>
      </c>
      <c r="B38" s="210"/>
      <c r="C38" s="210">
        <f>C36-C37</f>
        <v>36.074259374999997</v>
      </c>
      <c r="D38" s="210">
        <f>D36-D37</f>
        <v>62.813486029411763</v>
      </c>
      <c r="E38" s="211"/>
      <c r="F38" s="211"/>
      <c r="G38" s="211"/>
      <c r="H38" s="211"/>
      <c r="I38" s="211"/>
      <c r="J38" s="211"/>
      <c r="K38" s="211"/>
      <c r="L38" s="211"/>
      <c r="M38" s="211"/>
    </row>
    <row r="40" spans="1:13" x14ac:dyDescent="0.25">
      <c r="A40" s="256" t="s">
        <v>771</v>
      </c>
      <c r="B40" s="256"/>
      <c r="C40" s="316">
        <f>C36-B36</f>
        <v>48.099012500000001</v>
      </c>
      <c r="D40" s="316">
        <f t="shared" ref="D40:M40" si="55">D36-C36</f>
        <v>35.65230220588235</v>
      </c>
      <c r="E40" s="316">
        <f t="shared" si="55"/>
        <v>4.5375657352941232</v>
      </c>
      <c r="F40" s="316">
        <f t="shared" si="55"/>
        <v>4.7644440220588109</v>
      </c>
      <c r="G40" s="316">
        <f t="shared" si="55"/>
        <v>5.0026662231617962</v>
      </c>
      <c r="H40" s="316">
        <f t="shared" si="55"/>
        <v>5.2527995343198768</v>
      </c>
      <c r="I40" s="316">
        <f t="shared" si="55"/>
        <v>5.5154395110358507</v>
      </c>
      <c r="J40" s="316">
        <f t="shared" si="55"/>
        <v>5.7912114865876134</v>
      </c>
      <c r="K40" s="316">
        <f t="shared" si="55"/>
        <v>6.0807720609170275</v>
      </c>
      <c r="L40" s="316">
        <f t="shared" si="55"/>
        <v>6.3848106639628668</v>
      </c>
      <c r="M40" s="316">
        <f t="shared" si="55"/>
        <v>6.7040511971610499</v>
      </c>
    </row>
    <row r="44" spans="1:13" x14ac:dyDescent="0.25">
      <c r="C44" s="153"/>
    </row>
  </sheetData>
  <customSheetViews>
    <customSheetView guid="{22475485-DA09-46DB-978D-BB94CE1E5597}">
      <pane xSplit="1" ySplit="5" topLeftCell="B9" activePane="bottomRight" state="frozen"/>
      <selection pane="bottomRight" activeCell="B22" sqref="B22"/>
      <pageMargins left="0.7" right="0.7" top="0.75" bottom="0.75" header="0.3" footer="0.3"/>
      <pageSetup paperSize="9" orientation="portrait" verticalDpi="0" r:id="rId1"/>
    </customSheetView>
  </customSheetViews>
  <mergeCells count="1">
    <mergeCell ref="A3:M3"/>
  </mergeCell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5"/>
  <sheetViews>
    <sheetView workbookViewId="0">
      <selection activeCell="I13" sqref="I13:J13"/>
    </sheetView>
  </sheetViews>
  <sheetFormatPr defaultColWidth="32.28515625" defaultRowHeight="15" x14ac:dyDescent="0.25"/>
  <cols>
    <col min="1" max="1" width="34.7109375" style="1" customWidth="1"/>
    <col min="2" max="2" width="8.7109375" style="1" customWidth="1"/>
    <col min="3" max="3" width="12.140625" style="1" bestFit="1" customWidth="1"/>
    <col min="4" max="4" width="10.42578125" style="1" bestFit="1" customWidth="1"/>
    <col min="5" max="11" width="8.7109375" style="1" customWidth="1"/>
    <col min="12" max="12" width="40.42578125" style="1" customWidth="1"/>
    <col min="13" max="16384" width="32.28515625" style="1"/>
  </cols>
  <sheetData>
    <row r="1" spans="1:11" ht="26.1" customHeight="1" x14ac:dyDescent="0.25">
      <c r="A1" s="360" t="s">
        <v>18</v>
      </c>
      <c r="B1" s="360"/>
      <c r="C1" s="360"/>
      <c r="D1" s="360"/>
      <c r="E1" s="417"/>
      <c r="F1" s="417"/>
      <c r="G1" s="417"/>
      <c r="H1" s="417"/>
      <c r="I1" s="417"/>
      <c r="J1" s="417"/>
      <c r="K1" s="417"/>
    </row>
    <row r="2" spans="1:11" s="2" customFormat="1" ht="21.75" customHeight="1" x14ac:dyDescent="0.25">
      <c r="A2" s="8" t="s">
        <v>14</v>
      </c>
      <c r="B2" s="12" t="s">
        <v>15</v>
      </c>
      <c r="C2" s="12" t="s">
        <v>134</v>
      </c>
      <c r="D2" s="12" t="s">
        <v>135</v>
      </c>
      <c r="E2" s="12" t="s">
        <v>136</v>
      </c>
      <c r="F2" s="12" t="s">
        <v>137</v>
      </c>
      <c r="G2" s="12" t="s">
        <v>138</v>
      </c>
      <c r="H2" s="12" t="s">
        <v>139</v>
      </c>
      <c r="I2" s="12" t="s">
        <v>140</v>
      </c>
      <c r="J2" s="12" t="s">
        <v>141</v>
      </c>
      <c r="K2" s="12" t="s">
        <v>142</v>
      </c>
    </row>
    <row r="3" spans="1:11" s="2" customFormat="1" ht="23.25" customHeight="1" x14ac:dyDescent="0.25">
      <c r="A3" s="419" t="s">
        <v>19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</row>
    <row r="4" spans="1:11" ht="22.5" customHeight="1" x14ac:dyDescent="0.25">
      <c r="A4" s="418" t="s">
        <v>20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</row>
    <row r="5" spans="1:11" ht="21" customHeight="1" x14ac:dyDescent="0.25">
      <c r="A5" s="13" t="s">
        <v>21</v>
      </c>
      <c r="B5" s="63">
        <f>'CoP-MoF'!C21/A</f>
        <v>2890</v>
      </c>
      <c r="C5" s="64">
        <f>'CoP-MoF'!C18/A</f>
        <v>2000</v>
      </c>
      <c r="D5" s="13"/>
      <c r="E5" s="13"/>
      <c r="F5" s="13"/>
      <c r="G5" s="13"/>
      <c r="H5" s="13"/>
      <c r="I5" s="13"/>
      <c r="J5" s="13"/>
      <c r="K5" s="13"/>
    </row>
    <row r="6" spans="1:11" ht="18.75" customHeight="1" x14ac:dyDescent="0.25">
      <c r="A6" s="13" t="s">
        <v>514</v>
      </c>
      <c r="B6" s="64">
        <f>'P &amp; L'!B28+'P &amp; L'!B25</f>
        <v>0</v>
      </c>
      <c r="C6" s="64">
        <f>'P &amp; L'!C28+'P &amp; L'!C25</f>
        <v>292.23773900679998</v>
      </c>
      <c r="D6" s="64">
        <f>'P &amp; L'!D28+'P &amp; L'!D25</f>
        <v>475.06569152704765</v>
      </c>
      <c r="E6" s="64">
        <f>'P &amp; L'!E28+'P &amp; L'!E25</f>
        <v>493.19646034578682</v>
      </c>
      <c r="F6" s="64">
        <f>'P &amp; L'!F28+'P &amp; L'!F25</f>
        <v>516.91939771925331</v>
      </c>
      <c r="G6" s="64">
        <f>'P &amp; L'!G28+'P &amp; L'!G25</f>
        <v>543.88908282717534</v>
      </c>
      <c r="H6" s="64">
        <f>'P &amp; L'!H28+'P &amp; L'!H25</f>
        <v>576.8342968648127</v>
      </c>
      <c r="I6" s="64" t="e">
        <f>'P &amp; L'!#REF!+'P &amp; L'!#REF!</f>
        <v>#REF!</v>
      </c>
      <c r="J6" s="64" t="e">
        <f>'P &amp; L'!#REF!+'P &amp; L'!#REF!</f>
        <v>#REF!</v>
      </c>
      <c r="K6" s="64" t="e">
        <f>'P &amp; L'!#REF!+'P &amp; L'!#REF!</f>
        <v>#REF!</v>
      </c>
    </row>
    <row r="7" spans="1:11" ht="18.75" customHeight="1" x14ac:dyDescent="0.25">
      <c r="A7" s="13" t="s">
        <v>517</v>
      </c>
      <c r="B7" s="64">
        <f>'Cash Flow'!B12</f>
        <v>0</v>
      </c>
      <c r="C7" s="64">
        <f>'Cash Flow'!C12</f>
        <v>100</v>
      </c>
      <c r="D7" s="64">
        <f>'Cash Flow'!D12</f>
        <v>100</v>
      </c>
      <c r="E7" s="64">
        <f>'Cash Flow'!E12</f>
        <v>100</v>
      </c>
      <c r="F7" s="64">
        <f>'Cash Flow'!F12</f>
        <v>100</v>
      </c>
      <c r="G7" s="64">
        <f>'Cash Flow'!G12</f>
        <v>0</v>
      </c>
      <c r="H7" s="64">
        <f>'Cash Flow'!H12</f>
        <v>0</v>
      </c>
      <c r="I7" s="64"/>
      <c r="J7" s="64"/>
      <c r="K7" s="64"/>
    </row>
    <row r="8" spans="1:11" ht="18.75" customHeight="1" x14ac:dyDescent="0.25">
      <c r="A8" s="13" t="s">
        <v>515</v>
      </c>
      <c r="B8" s="64">
        <f>+B6+B7</f>
        <v>0</v>
      </c>
      <c r="C8" s="64">
        <f t="shared" ref="C8:H8" si="0">B8+C6+C7</f>
        <v>392.23773900679998</v>
      </c>
      <c r="D8" s="64">
        <f t="shared" si="0"/>
        <v>967.30343053384763</v>
      </c>
      <c r="E8" s="64">
        <f t="shared" si="0"/>
        <v>1560.4998908796344</v>
      </c>
      <c r="F8" s="64">
        <f t="shared" si="0"/>
        <v>2177.4192885988878</v>
      </c>
      <c r="G8" s="64">
        <f t="shared" si="0"/>
        <v>2721.3083714260629</v>
      </c>
      <c r="H8" s="64">
        <f t="shared" si="0"/>
        <v>3298.1426682908755</v>
      </c>
      <c r="I8" s="64" t="e">
        <f t="shared" ref="I8:K8" si="1">H8+I6</f>
        <v>#REF!</v>
      </c>
      <c r="J8" s="64" t="e">
        <f t="shared" si="1"/>
        <v>#REF!</v>
      </c>
      <c r="K8" s="64" t="e">
        <f t="shared" si="1"/>
        <v>#REF!</v>
      </c>
    </row>
    <row r="9" spans="1:11" ht="18.75" customHeight="1" x14ac:dyDescent="0.25">
      <c r="A9" s="13" t="s">
        <v>328</v>
      </c>
      <c r="B9" s="13"/>
      <c r="C9" s="64">
        <f>((C5-D8)/E6)+3</f>
        <v>5.0938847954061037</v>
      </c>
      <c r="D9" s="68">
        <f>((B5-D8)/E6)+3</f>
        <v>6.8984395145863848</v>
      </c>
      <c r="E9" s="13"/>
      <c r="F9" s="13"/>
      <c r="G9" s="13"/>
      <c r="H9" s="13"/>
      <c r="I9" s="13"/>
      <c r="J9" s="13"/>
      <c r="K9" s="13"/>
    </row>
    <row r="10" spans="1:11" ht="18.75" customHeight="1" x14ac:dyDescent="0.25">
      <c r="A10" s="418" t="s">
        <v>22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20"/>
    </row>
    <row r="11" spans="1:11" ht="21" customHeight="1" x14ac:dyDescent="0.25">
      <c r="A11" s="13" t="s">
        <v>332</v>
      </c>
      <c r="B11" s="69">
        <f>B5</f>
        <v>2890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.75" customHeight="1" x14ac:dyDescent="0.25">
      <c r="A12" s="13" t="s">
        <v>514</v>
      </c>
      <c r="B12" s="64">
        <f>B6+B7</f>
        <v>0</v>
      </c>
      <c r="C12" s="64">
        <f t="shared" ref="C12:K12" si="2">C6+C7</f>
        <v>392.23773900679998</v>
      </c>
      <c r="D12" s="64">
        <f t="shared" si="2"/>
        <v>575.06569152704765</v>
      </c>
      <c r="E12" s="64">
        <f t="shared" si="2"/>
        <v>593.19646034578682</v>
      </c>
      <c r="F12" s="64">
        <f t="shared" si="2"/>
        <v>616.91939771925331</v>
      </c>
      <c r="G12" s="64">
        <f t="shared" si="2"/>
        <v>543.88908282717534</v>
      </c>
      <c r="H12" s="64">
        <f t="shared" si="2"/>
        <v>576.8342968648127</v>
      </c>
      <c r="I12" s="64" t="e">
        <f t="shared" si="2"/>
        <v>#REF!</v>
      </c>
      <c r="J12" s="64" t="e">
        <f t="shared" si="2"/>
        <v>#REF!</v>
      </c>
      <c r="K12" s="64" t="e">
        <f t="shared" si="2"/>
        <v>#REF!</v>
      </c>
    </row>
    <row r="13" spans="1:11" ht="18.75" customHeight="1" x14ac:dyDescent="0.25">
      <c r="A13" s="93" t="s">
        <v>516</v>
      </c>
      <c r="B13" s="63">
        <f>B12-B11</f>
        <v>-2890</v>
      </c>
      <c r="C13" s="63">
        <f t="shared" ref="C13:K13" si="3">C12-C11</f>
        <v>392.23773900679998</v>
      </c>
      <c r="D13" s="63">
        <f t="shared" si="3"/>
        <v>575.06569152704765</v>
      </c>
      <c r="E13" s="63">
        <f t="shared" si="3"/>
        <v>593.19646034578682</v>
      </c>
      <c r="F13" s="63">
        <f t="shared" si="3"/>
        <v>616.91939771925331</v>
      </c>
      <c r="G13" s="63">
        <f t="shared" si="3"/>
        <v>543.88908282717534</v>
      </c>
      <c r="H13" s="63">
        <f t="shared" si="3"/>
        <v>576.8342968648127</v>
      </c>
      <c r="I13" s="63" t="e">
        <f t="shared" si="3"/>
        <v>#REF!</v>
      </c>
      <c r="J13" s="63" t="e">
        <f t="shared" si="3"/>
        <v>#REF!</v>
      </c>
      <c r="K13" s="63" t="e">
        <f t="shared" si="3"/>
        <v>#REF!</v>
      </c>
    </row>
    <row r="14" spans="1:11" ht="18.75" customHeight="1" x14ac:dyDescent="0.25">
      <c r="A14" s="27" t="s">
        <v>335</v>
      </c>
      <c r="B14" s="13"/>
      <c r="C14" s="13"/>
      <c r="D14" s="13"/>
      <c r="E14" s="13"/>
      <c r="F14" s="13"/>
      <c r="G14" s="13"/>
      <c r="H14" s="94" t="e">
        <f>IRR(#REF!)</f>
        <v>#REF!</v>
      </c>
      <c r="I14" s="13"/>
      <c r="J14" s="13"/>
      <c r="K14" s="94" t="e">
        <f>IRR(B13:K13)</f>
        <v>#VALUE!</v>
      </c>
    </row>
    <row r="15" spans="1:11" ht="18.75" hidden="1" customHeight="1" x14ac:dyDescent="0.25">
      <c r="A15" s="418" t="s">
        <v>27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21"/>
    </row>
    <row r="16" spans="1:11" ht="18.75" hidden="1" customHeight="1" x14ac:dyDescent="0.25">
      <c r="A16" s="13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8.75" hidden="1" customHeight="1" x14ac:dyDescent="0.25">
      <c r="A17" s="13" t="s">
        <v>23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8.75" hidden="1" customHeight="1" x14ac:dyDescent="0.25">
      <c r="A18" s="13" t="s">
        <v>24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8.75" hidden="1" customHeight="1" x14ac:dyDescent="0.25">
      <c r="A19" s="13" t="s">
        <v>26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8.75" hidden="1" customHeight="1" x14ac:dyDescent="0.25">
      <c r="A20" s="13" t="s">
        <v>25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8.75" hidden="1" customHeight="1" x14ac:dyDescent="0.25">
      <c r="A21" s="3"/>
    </row>
    <row r="22" spans="1:11" ht="18.75" customHeight="1" x14ac:dyDescent="0.25">
      <c r="A22" s="3"/>
    </row>
    <row r="23" spans="1:11" ht="18.75" customHeight="1" x14ac:dyDescent="0.25"/>
    <row r="24" spans="1:11" ht="18.75" customHeight="1" x14ac:dyDescent="0.25"/>
    <row r="25" spans="1:11" ht="18.75" customHeight="1" x14ac:dyDescent="0.25"/>
  </sheetData>
  <customSheetViews>
    <customSheetView guid="{22475485-DA09-46DB-978D-BB94CE1E5597}" hiddenRows="1">
      <selection activeCell="D25" sqref="D25"/>
      <pageMargins left="0.7" right="0.7" top="0.75" bottom="0.75" header="0.3" footer="0.3"/>
      <pageSetup paperSize="9" orientation="landscape" verticalDpi="300" r:id="rId1"/>
    </customSheetView>
  </customSheetViews>
  <mergeCells count="5">
    <mergeCell ref="A1:K1"/>
    <mergeCell ref="A4:K4"/>
    <mergeCell ref="A3:K3"/>
    <mergeCell ref="A10:K10"/>
    <mergeCell ref="A15:K15"/>
  </mergeCells>
  <pageMargins left="0.7" right="0.7" top="0.75" bottom="0.75" header="0.3" footer="0.3"/>
  <pageSetup paperSize="9" orientation="landscape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Q37"/>
  <sheetViews>
    <sheetView view="pageBreakPreview" topLeftCell="A8" zoomScaleSheetLayoutView="100" workbookViewId="0">
      <selection activeCell="D31" sqref="D31"/>
    </sheetView>
  </sheetViews>
  <sheetFormatPr defaultColWidth="8.85546875" defaultRowHeight="15" x14ac:dyDescent="0.25"/>
  <cols>
    <col min="5" max="5" width="11.140625" bestFit="1" customWidth="1"/>
    <col min="6" max="6" width="17.85546875" customWidth="1"/>
  </cols>
  <sheetData>
    <row r="2" spans="2:17" x14ac:dyDescent="0.25">
      <c r="B2" t="s">
        <v>334</v>
      </c>
    </row>
    <row r="3" spans="2:17" x14ac:dyDescent="0.25">
      <c r="C3" s="41" t="s">
        <v>324</v>
      </c>
      <c r="D3" s="41" t="s">
        <v>327</v>
      </c>
      <c r="E3" s="41" t="s">
        <v>329</v>
      </c>
      <c r="F3" s="41" t="s">
        <v>330</v>
      </c>
    </row>
    <row r="4" spans="2:17" x14ac:dyDescent="0.25">
      <c r="C4" s="41"/>
      <c r="D4" s="41"/>
      <c r="E4" s="42">
        <v>0.12</v>
      </c>
      <c r="F4" s="41"/>
    </row>
    <row r="5" spans="2:17" x14ac:dyDescent="0.25">
      <c r="C5" s="41">
        <v>1</v>
      </c>
      <c r="D5" s="91">
        <f t="array" ref="D5:D14">TRANSPOSE('PBP-IRR'!B12:K12)</f>
        <v>0</v>
      </c>
      <c r="E5" s="43">
        <f>(1/(1+$E$4))^C5</f>
        <v>0.89285714285714279</v>
      </c>
      <c r="F5" s="43">
        <f>E5*D5</f>
        <v>0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2:17" x14ac:dyDescent="0.25">
      <c r="C6" s="41">
        <f>C5+1</f>
        <v>2</v>
      </c>
      <c r="D6" s="91">
        <v>392.23773900679998</v>
      </c>
      <c r="E6" s="43">
        <f t="shared" ref="E6:E14" si="0">(1/(1+$E$4))^C6</f>
        <v>0.79719387755102034</v>
      </c>
      <c r="F6" s="43">
        <f t="shared" ref="F6:F14" si="1">E6*D6</f>
        <v>312.68952408067599</v>
      </c>
    </row>
    <row r="7" spans="2:17" x14ac:dyDescent="0.25">
      <c r="C7" s="41">
        <f t="shared" ref="C7:C14" si="2">C6+1</f>
        <v>3</v>
      </c>
      <c r="D7" s="91">
        <v>575.06569152704765</v>
      </c>
      <c r="E7" s="43">
        <f t="shared" si="0"/>
        <v>0.71178024781341098</v>
      </c>
      <c r="F7" s="43">
        <f t="shared" si="1"/>
        <v>409.32040042411251</v>
      </c>
    </row>
    <row r="8" spans="2:17" x14ac:dyDescent="0.25">
      <c r="C8" s="41">
        <f t="shared" si="2"/>
        <v>4</v>
      </c>
      <c r="D8" s="91">
        <v>593.19646034578682</v>
      </c>
      <c r="E8" s="43">
        <f t="shared" si="0"/>
        <v>0.63551807840483121</v>
      </c>
      <c r="F8" s="43">
        <f t="shared" si="1"/>
        <v>376.98707459550212</v>
      </c>
    </row>
    <row r="9" spans="2:17" x14ac:dyDescent="0.25">
      <c r="C9" s="41">
        <f t="shared" si="2"/>
        <v>5</v>
      </c>
      <c r="D9" s="91">
        <v>616.91939771925331</v>
      </c>
      <c r="E9" s="43">
        <f t="shared" si="0"/>
        <v>0.5674268557185993</v>
      </c>
      <c r="F9" s="43">
        <f t="shared" si="1"/>
        <v>350.05663407964795</v>
      </c>
    </row>
    <row r="10" spans="2:17" x14ac:dyDescent="0.25">
      <c r="C10" s="41">
        <f t="shared" si="2"/>
        <v>6</v>
      </c>
      <c r="D10" s="91">
        <v>543.88908282717534</v>
      </c>
      <c r="E10" s="43">
        <f t="shared" si="0"/>
        <v>0.50663112117732079</v>
      </c>
      <c r="F10" s="43">
        <f t="shared" si="1"/>
        <v>275.55113582883655</v>
      </c>
    </row>
    <row r="11" spans="2:17" x14ac:dyDescent="0.25">
      <c r="C11" s="41">
        <f t="shared" si="2"/>
        <v>7</v>
      </c>
      <c r="D11" s="91">
        <v>576.8342968648127</v>
      </c>
      <c r="E11" s="43">
        <f t="shared" si="0"/>
        <v>0.45234921533689348</v>
      </c>
      <c r="F11" s="43">
        <f t="shared" si="1"/>
        <v>260.93054156620673</v>
      </c>
    </row>
    <row r="12" spans="2:17" x14ac:dyDescent="0.25">
      <c r="C12" s="41">
        <f t="shared" si="2"/>
        <v>8</v>
      </c>
      <c r="D12" s="91" t="e">
        <v>#REF!</v>
      </c>
      <c r="E12" s="43">
        <f t="shared" si="0"/>
        <v>0.40388322797936921</v>
      </c>
      <c r="F12" s="43" t="e">
        <f t="shared" si="1"/>
        <v>#REF!</v>
      </c>
    </row>
    <row r="13" spans="2:17" x14ac:dyDescent="0.25">
      <c r="C13" s="41">
        <f t="shared" si="2"/>
        <v>9</v>
      </c>
      <c r="D13" s="91" t="e">
        <v>#REF!</v>
      </c>
      <c r="E13" s="43">
        <f t="shared" si="0"/>
        <v>0.36061002498157962</v>
      </c>
      <c r="F13" s="43" t="e">
        <f t="shared" si="1"/>
        <v>#REF!</v>
      </c>
    </row>
    <row r="14" spans="2:17" x14ac:dyDescent="0.25">
      <c r="C14" s="41">
        <f t="shared" si="2"/>
        <v>10</v>
      </c>
      <c r="D14" s="91" t="e">
        <v>#REF!</v>
      </c>
      <c r="E14" s="43">
        <f t="shared" si="0"/>
        <v>0.3219732365906961</v>
      </c>
      <c r="F14" s="43" t="e">
        <f t="shared" si="1"/>
        <v>#REF!</v>
      </c>
    </row>
    <row r="15" spans="2:17" x14ac:dyDescent="0.25">
      <c r="C15" s="41"/>
      <c r="D15" s="41"/>
      <c r="E15" s="41"/>
      <c r="F15" s="41"/>
    </row>
    <row r="16" spans="2:17" x14ac:dyDescent="0.25">
      <c r="C16" s="41"/>
      <c r="D16" s="41"/>
      <c r="E16" s="41" t="s">
        <v>331</v>
      </c>
      <c r="F16" s="90" t="e">
        <f>SUM(F5:F15)</f>
        <v>#REF!</v>
      </c>
    </row>
    <row r="17" spans="2:6" x14ac:dyDescent="0.25">
      <c r="C17" s="41"/>
      <c r="D17" s="41" t="s">
        <v>333</v>
      </c>
      <c r="E17" s="41" t="s">
        <v>332</v>
      </c>
      <c r="F17" s="90">
        <f>('CoP-MoF'!C5+'CoP-MoF'!C6+'CoP-MoF'!C7)/A</f>
        <v>2587.2757151999999</v>
      </c>
    </row>
    <row r="18" spans="2:6" x14ac:dyDescent="0.25">
      <c r="C18" s="41"/>
      <c r="D18" s="41"/>
      <c r="E18" s="41" t="s">
        <v>334</v>
      </c>
      <c r="F18" s="90" t="e">
        <f>F16-F17</f>
        <v>#REF!</v>
      </c>
    </row>
    <row r="21" spans="2:6" x14ac:dyDescent="0.25">
      <c r="B21" t="s">
        <v>335</v>
      </c>
    </row>
    <row r="22" spans="2:6" x14ac:dyDescent="0.25">
      <c r="C22" s="41" t="s">
        <v>324</v>
      </c>
      <c r="D22" s="41" t="s">
        <v>327</v>
      </c>
      <c r="E22" s="41" t="s">
        <v>329</v>
      </c>
      <c r="F22" s="41" t="s">
        <v>330</v>
      </c>
    </row>
    <row r="23" spans="2:6" x14ac:dyDescent="0.25">
      <c r="C23" s="41"/>
      <c r="D23" s="41"/>
      <c r="E23" s="101">
        <v>0.16869999999999999</v>
      </c>
      <c r="F23" s="41"/>
    </row>
    <row r="24" spans="2:6" x14ac:dyDescent="0.25">
      <c r="C24" s="41">
        <v>1</v>
      </c>
      <c r="D24" s="90">
        <f>D5</f>
        <v>0</v>
      </c>
      <c r="E24" s="43">
        <f>(1/(1+$E$23))^C24</f>
        <v>0.85565157867716257</v>
      </c>
      <c r="F24" s="43">
        <f>E24*D24</f>
        <v>0</v>
      </c>
    </row>
    <row r="25" spans="2:6" x14ac:dyDescent="0.25">
      <c r="C25" s="41">
        <f>C24+1</f>
        <v>2</v>
      </c>
      <c r="D25" s="90">
        <f t="shared" ref="D25:D30" si="3">D6</f>
        <v>392.23773900679998</v>
      </c>
      <c r="E25" s="43">
        <f t="shared" ref="E25:E30" si="4">(1/(1+$E$23))^C25</f>
        <v>0.73213962409272049</v>
      </c>
      <c r="F25" s="43">
        <f t="shared" ref="F25:F30" si="5">E25*D25</f>
        <v>287.17279079141713</v>
      </c>
    </row>
    <row r="26" spans="2:6" x14ac:dyDescent="0.25">
      <c r="C26" s="41">
        <f t="shared" ref="C26:C30" si="6">C25+1</f>
        <v>3</v>
      </c>
      <c r="D26" s="90">
        <f t="shared" si="3"/>
        <v>575.06569152704765</v>
      </c>
      <c r="E26" s="43">
        <f t="shared" si="4"/>
        <v>0.6264564251670407</v>
      </c>
      <c r="F26" s="43">
        <f t="shared" si="5"/>
        <v>360.25359735024642</v>
      </c>
    </row>
    <row r="27" spans="2:6" x14ac:dyDescent="0.25">
      <c r="C27" s="41">
        <f t="shared" si="6"/>
        <v>4</v>
      </c>
      <c r="D27" s="90">
        <f t="shared" si="3"/>
        <v>593.19646034578682</v>
      </c>
      <c r="E27" s="43">
        <f t="shared" si="4"/>
        <v>0.53602842916663007</v>
      </c>
      <c r="F27" s="43">
        <f t="shared" si="5"/>
        <v>317.97016682635729</v>
      </c>
    </row>
    <row r="28" spans="2:6" x14ac:dyDescent="0.25">
      <c r="C28" s="41">
        <f t="shared" si="6"/>
        <v>5</v>
      </c>
      <c r="D28" s="90">
        <f t="shared" si="3"/>
        <v>616.91939771925331</v>
      </c>
      <c r="E28" s="43">
        <f t="shared" si="4"/>
        <v>0.45865357163226661</v>
      </c>
      <c r="F28" s="43">
        <f t="shared" si="5"/>
        <v>282.95228517316229</v>
      </c>
    </row>
    <row r="29" spans="2:6" x14ac:dyDescent="0.25">
      <c r="C29" s="41">
        <f t="shared" si="6"/>
        <v>6</v>
      </c>
      <c r="D29" s="90">
        <f t="shared" si="3"/>
        <v>543.88908282717534</v>
      </c>
      <c r="E29" s="43">
        <f t="shared" si="4"/>
        <v>0.39244765263306797</v>
      </c>
      <c r="F29" s="43">
        <f t="shared" si="5"/>
        <v>213.44799384827724</v>
      </c>
    </row>
    <row r="30" spans="2:6" x14ac:dyDescent="0.25">
      <c r="C30" s="41">
        <f t="shared" si="6"/>
        <v>7</v>
      </c>
      <c r="D30" s="90">
        <f t="shared" si="3"/>
        <v>576.8342968648127</v>
      </c>
      <c r="E30" s="43">
        <f t="shared" si="4"/>
        <v>0.33579845352363136</v>
      </c>
      <c r="F30" s="43">
        <f t="shared" si="5"/>
        <v>193.70006482659539</v>
      </c>
    </row>
    <row r="31" spans="2:6" x14ac:dyDescent="0.25">
      <c r="C31" s="41"/>
      <c r="D31" s="90"/>
      <c r="E31" s="43"/>
      <c r="F31" s="43"/>
    </row>
    <row r="32" spans="2:6" x14ac:dyDescent="0.25">
      <c r="C32" s="41"/>
      <c r="D32" s="90"/>
      <c r="E32" s="43"/>
      <c r="F32" s="43"/>
    </row>
    <row r="33" spans="3:6" x14ac:dyDescent="0.25">
      <c r="C33" s="41"/>
      <c r="D33" s="90"/>
      <c r="E33" s="43"/>
      <c r="F33" s="43"/>
    </row>
    <row r="34" spans="3:6" x14ac:dyDescent="0.25">
      <c r="C34" s="41"/>
      <c r="D34" s="41"/>
      <c r="E34" s="41"/>
      <c r="F34" s="41"/>
    </row>
    <row r="35" spans="3:6" x14ac:dyDescent="0.25">
      <c r="C35" s="41"/>
      <c r="D35" s="41"/>
      <c r="E35" s="41" t="s">
        <v>331</v>
      </c>
      <c r="F35" s="90">
        <f>SUM(F24:F34)</f>
        <v>1655.4968988160558</v>
      </c>
    </row>
    <row r="36" spans="3:6" x14ac:dyDescent="0.25">
      <c r="C36" s="41"/>
      <c r="D36" s="41" t="s">
        <v>333</v>
      </c>
      <c r="E36" s="41" t="s">
        <v>332</v>
      </c>
      <c r="F36" s="90">
        <f>F17</f>
        <v>2587.2757151999999</v>
      </c>
    </row>
    <row r="37" spans="3:6" x14ac:dyDescent="0.25">
      <c r="C37" s="41"/>
      <c r="D37" s="41"/>
      <c r="E37" s="41" t="s">
        <v>334</v>
      </c>
      <c r="F37" s="90">
        <f>F35-F36</f>
        <v>-931.7788163839441</v>
      </c>
    </row>
  </sheetData>
  <customSheetViews>
    <customSheetView guid="{22475485-DA09-46DB-978D-BB94CE1E5597}" showPageBreaks="1" view="pageBreakPreview" topLeftCell="A27">
      <selection activeCell="E50" sqref="E5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P14"/>
  <sheetViews>
    <sheetView workbookViewId="0">
      <selection activeCell="N23" sqref="N23"/>
    </sheetView>
  </sheetViews>
  <sheetFormatPr defaultColWidth="8.85546875" defaultRowHeight="14.25" x14ac:dyDescent="0.2"/>
  <cols>
    <col min="1" max="1" width="6.140625" style="82" customWidth="1"/>
    <col min="2" max="2" width="32.42578125" style="82" bestFit="1" customWidth="1"/>
    <col min="3" max="3" width="8.85546875" style="96"/>
    <col min="4" max="4" width="0" style="82" hidden="1" customWidth="1"/>
    <col min="5" max="5" width="9.42578125" style="82" hidden="1" customWidth="1"/>
    <col min="6" max="16384" width="8.85546875" style="82"/>
  </cols>
  <sheetData>
    <row r="2" spans="2:16" x14ac:dyDescent="0.2">
      <c r="B2" s="196" t="s">
        <v>473</v>
      </c>
      <c r="C2" s="98"/>
      <c r="D2" s="97"/>
      <c r="E2" s="97"/>
      <c r="F2" s="97"/>
      <c r="G2" s="97"/>
      <c r="H2" s="97"/>
      <c r="I2" s="97"/>
      <c r="J2" s="97"/>
      <c r="K2" s="165" t="s">
        <v>658</v>
      </c>
      <c r="L2" s="97"/>
      <c r="M2" s="97"/>
      <c r="N2" s="97"/>
      <c r="O2" s="97"/>
      <c r="P2" s="97"/>
    </row>
    <row r="3" spans="2:16" x14ac:dyDescent="0.2">
      <c r="B3" s="196"/>
      <c r="C3" s="98"/>
      <c r="D3" s="97"/>
      <c r="E3" s="195"/>
      <c r="F3" s="195" t="s">
        <v>736</v>
      </c>
      <c r="G3" s="195" t="s">
        <v>657</v>
      </c>
      <c r="H3" s="195" t="s">
        <v>657</v>
      </c>
      <c r="I3" s="195" t="s">
        <v>657</v>
      </c>
      <c r="J3" s="195" t="s">
        <v>657</v>
      </c>
      <c r="K3" s="195" t="s">
        <v>657</v>
      </c>
      <c r="L3" s="195" t="s">
        <v>657</v>
      </c>
      <c r="M3" s="195" t="s">
        <v>657</v>
      </c>
      <c r="N3" s="195" t="s">
        <v>657</v>
      </c>
      <c r="O3" s="195" t="s">
        <v>657</v>
      </c>
      <c r="P3" s="195" t="s">
        <v>657</v>
      </c>
    </row>
    <row r="4" spans="2:16" x14ac:dyDescent="0.2">
      <c r="B4" s="164" t="s">
        <v>653</v>
      </c>
      <c r="C4" s="95"/>
      <c r="D4" s="95"/>
      <c r="E4" s="164"/>
      <c r="F4" s="164">
        <v>2025</v>
      </c>
      <c r="G4" s="164">
        <f t="shared" ref="G4:P4" si="0">F4+1</f>
        <v>2026</v>
      </c>
      <c r="H4" s="164">
        <f t="shared" si="0"/>
        <v>2027</v>
      </c>
      <c r="I4" s="164">
        <f t="shared" si="0"/>
        <v>2028</v>
      </c>
      <c r="J4" s="164">
        <f t="shared" si="0"/>
        <v>2029</v>
      </c>
      <c r="K4" s="164">
        <f t="shared" si="0"/>
        <v>2030</v>
      </c>
      <c r="L4" s="164">
        <f t="shared" si="0"/>
        <v>2031</v>
      </c>
      <c r="M4" s="164">
        <f t="shared" si="0"/>
        <v>2032</v>
      </c>
      <c r="N4" s="164">
        <f t="shared" si="0"/>
        <v>2033</v>
      </c>
      <c r="O4" s="164">
        <f t="shared" si="0"/>
        <v>2034</v>
      </c>
      <c r="P4" s="164">
        <f t="shared" si="0"/>
        <v>2035</v>
      </c>
    </row>
    <row r="5" spans="2:16" x14ac:dyDescent="0.2">
      <c r="B5" s="97" t="s">
        <v>64</v>
      </c>
      <c r="C5" s="98"/>
      <c r="D5" s="97"/>
      <c r="E5" s="166"/>
      <c r="F5" s="166">
        <f>'P &amp; L'!C26</f>
        <v>-98.98685479985221</v>
      </c>
      <c r="G5" s="166">
        <f>'P &amp; L'!D26</f>
        <v>209.5920556562109</v>
      </c>
      <c r="H5" s="166">
        <f>'P &amp; L'!E26</f>
        <v>307.93686845261794</v>
      </c>
      <c r="I5" s="166">
        <f>'P &amp; L'!F26</f>
        <v>404.66155049541595</v>
      </c>
      <c r="J5" s="166">
        <f>'P &amp; L'!G26</f>
        <v>497.67368719507823</v>
      </c>
      <c r="K5" s="166">
        <f>'P &amp; L'!H26</f>
        <v>592.34779331646439</v>
      </c>
      <c r="L5" s="166">
        <f>'P &amp; L'!I26</f>
        <v>684.78430554635133</v>
      </c>
      <c r="M5" s="166">
        <f>'P &amp; L'!J26</f>
        <v>778.04550991313272</v>
      </c>
      <c r="N5" s="166">
        <f>'P &amp; L'!K26</f>
        <v>872.75886255384148</v>
      </c>
      <c r="O5" s="166">
        <f>'P &amp; L'!L26</f>
        <v>969.48309403193548</v>
      </c>
      <c r="P5" s="166">
        <f>'P &amp; L'!M26</f>
        <v>1069.7144293307701</v>
      </c>
    </row>
    <row r="6" spans="2:16" x14ac:dyDescent="0.2">
      <c r="B6" s="97" t="s">
        <v>474</v>
      </c>
      <c r="C6" s="98"/>
      <c r="D6" s="97"/>
      <c r="E6" s="166"/>
      <c r="F6" s="166">
        <f>Depr!B20</f>
        <v>150.02188942538945</v>
      </c>
      <c r="G6" s="166">
        <f>Depr!C20</f>
        <v>150.02188942538945</v>
      </c>
      <c r="H6" s="166">
        <f>Depr!D20</f>
        <v>150.02188942538945</v>
      </c>
      <c r="I6" s="166">
        <f>Depr!E20</f>
        <v>150.02188942538945</v>
      </c>
      <c r="J6" s="166">
        <f>Depr!F20</f>
        <v>150.02188942538945</v>
      </c>
      <c r="K6" s="166">
        <f>Depr!G20</f>
        <v>150.02188942538945</v>
      </c>
      <c r="L6" s="166">
        <f>Depr!H20</f>
        <v>150.02188942538945</v>
      </c>
      <c r="M6" s="166">
        <f>Depr!I20</f>
        <v>150.02188942538945</v>
      </c>
      <c r="N6" s="166">
        <f>Depr!J20</f>
        <v>150.02188942538945</v>
      </c>
      <c r="O6" s="166">
        <f>Depr!K20</f>
        <v>150.02188942538945</v>
      </c>
      <c r="P6" s="166">
        <f>Depr!L20</f>
        <v>150.02188942538945</v>
      </c>
    </row>
    <row r="7" spans="2:16" x14ac:dyDescent="0.2">
      <c r="B7" s="97" t="s">
        <v>475</v>
      </c>
      <c r="C7" s="98"/>
      <c r="D7" s="97"/>
      <c r="E7" s="166"/>
      <c r="F7" s="166">
        <f>Depr!B37</f>
        <v>391.22459380665219</v>
      </c>
      <c r="G7" s="166">
        <f>Depr!C37</f>
        <v>336.58822035498912</v>
      </c>
      <c r="H7" s="166">
        <f>Depr!D37</f>
        <v>289.74257135914212</v>
      </c>
      <c r="I7" s="166">
        <f>Depr!E37</f>
        <v>249.55951130693194</v>
      </c>
      <c r="J7" s="166">
        <f>Depr!F37</f>
        <v>215.07607769738723</v>
      </c>
      <c r="K7" s="166">
        <f>Depr!G37</f>
        <v>185.47010982062469</v>
      </c>
      <c r="L7" s="166">
        <f>Depr!H37</f>
        <v>160.03949274759196</v>
      </c>
      <c r="M7" s="166">
        <f>Depr!I37</f>
        <v>138.18447829550809</v>
      </c>
      <c r="N7" s="166">
        <f>Depr!J37</f>
        <v>119.39262506523126</v>
      </c>
      <c r="O7" s="166">
        <f>Depr!K37</f>
        <v>103.22596796809104</v>
      </c>
      <c r="P7" s="166">
        <f>Depr!L37</f>
        <v>89.310085769257398</v>
      </c>
    </row>
    <row r="8" spans="2:16" x14ac:dyDescent="0.2">
      <c r="B8" s="97" t="s">
        <v>476</v>
      </c>
      <c r="C8" s="98"/>
      <c r="D8" s="97"/>
      <c r="E8" s="166"/>
      <c r="F8" s="166">
        <f t="shared" ref="F8:K8" si="1">F5+F6-F7</f>
        <v>-340.18955918111499</v>
      </c>
      <c r="G8" s="166">
        <f>G5+G6-G7</f>
        <v>23.025724726611259</v>
      </c>
      <c r="H8" s="166">
        <f>H5+H6-H7</f>
        <v>168.2161865188653</v>
      </c>
      <c r="I8" s="166">
        <f>I5+I6-I7</f>
        <v>305.12392861387349</v>
      </c>
      <c r="J8" s="166">
        <f t="shared" si="1"/>
        <v>432.61949892308047</v>
      </c>
      <c r="K8" s="166">
        <f t="shared" si="1"/>
        <v>556.89957292122915</v>
      </c>
      <c r="L8" s="166">
        <f t="shared" ref="L8:M8" si="2">L5+L6-L7</f>
        <v>674.76670222414873</v>
      </c>
      <c r="M8" s="166">
        <f t="shared" si="2"/>
        <v>789.88292104301399</v>
      </c>
      <c r="N8" s="166">
        <f t="shared" ref="N8:O8" si="3">N5+N6-N7</f>
        <v>903.3881269139996</v>
      </c>
      <c r="O8" s="166">
        <f t="shared" si="3"/>
        <v>1016.2790154892339</v>
      </c>
      <c r="P8" s="166">
        <f t="shared" ref="P8" si="4">P5+P6-P7</f>
        <v>1130.4262329869021</v>
      </c>
    </row>
    <row r="9" spans="2:16" x14ac:dyDescent="0.2">
      <c r="B9" s="97" t="s">
        <v>477</v>
      </c>
      <c r="C9" s="98"/>
      <c r="D9" s="97"/>
      <c r="E9" s="166"/>
      <c r="F9" s="166">
        <f t="shared" ref="F9:P9" si="5">E9+F8</f>
        <v>-340.18955918111499</v>
      </c>
      <c r="G9" s="166">
        <f t="shared" si="5"/>
        <v>-317.16383445450373</v>
      </c>
      <c r="H9" s="166">
        <f t="shared" si="5"/>
        <v>-148.94764793563843</v>
      </c>
      <c r="I9" s="166">
        <f t="shared" si="5"/>
        <v>156.17628067823506</v>
      </c>
      <c r="J9" s="166">
        <f t="shared" si="5"/>
        <v>588.79577960131553</v>
      </c>
      <c r="K9" s="166">
        <f t="shared" si="5"/>
        <v>1145.6953525225447</v>
      </c>
      <c r="L9" s="166">
        <f t="shared" si="5"/>
        <v>1820.4620547466934</v>
      </c>
      <c r="M9" s="166">
        <f t="shared" si="5"/>
        <v>2610.3449757897074</v>
      </c>
      <c r="N9" s="166">
        <f t="shared" si="5"/>
        <v>3513.7331027037071</v>
      </c>
      <c r="O9" s="166">
        <f t="shared" si="5"/>
        <v>4530.0121181929408</v>
      </c>
      <c r="P9" s="166">
        <f t="shared" si="5"/>
        <v>5660.4383511798424</v>
      </c>
    </row>
    <row r="10" spans="2:16" x14ac:dyDescent="0.2">
      <c r="B10" s="97" t="s">
        <v>478</v>
      </c>
      <c r="C10" s="98"/>
      <c r="D10" s="97"/>
      <c r="E10" s="167"/>
      <c r="F10" s="167">
        <f t="shared" ref="F10:P10" si="6">IF(E11&lt;0,E11,0)</f>
        <v>0</v>
      </c>
      <c r="G10" s="167">
        <f t="shared" si="6"/>
        <v>-340.18955918111499</v>
      </c>
      <c r="H10" s="167">
        <f t="shared" si="6"/>
        <v>-317.16383445450373</v>
      </c>
      <c r="I10" s="167">
        <f t="shared" si="6"/>
        <v>-148.94764793563843</v>
      </c>
      <c r="J10" s="167">
        <f t="shared" si="6"/>
        <v>0</v>
      </c>
      <c r="K10" s="167">
        <f t="shared" si="6"/>
        <v>0</v>
      </c>
      <c r="L10" s="167">
        <f t="shared" si="6"/>
        <v>0</v>
      </c>
      <c r="M10" s="167">
        <f t="shared" si="6"/>
        <v>0</v>
      </c>
      <c r="N10" s="167">
        <f t="shared" si="6"/>
        <v>0</v>
      </c>
      <c r="O10" s="167">
        <f t="shared" si="6"/>
        <v>0</v>
      </c>
      <c r="P10" s="167">
        <f t="shared" si="6"/>
        <v>0</v>
      </c>
    </row>
    <row r="11" spans="2:16" x14ac:dyDescent="0.2">
      <c r="B11" s="99" t="s">
        <v>479</v>
      </c>
      <c r="C11" s="98"/>
      <c r="D11" s="97"/>
      <c r="E11" s="166"/>
      <c r="F11" s="166">
        <f t="shared" ref="F11:K11" si="7">F8+F10</f>
        <v>-340.18955918111499</v>
      </c>
      <c r="G11" s="166">
        <f t="shared" si="7"/>
        <v>-317.16383445450373</v>
      </c>
      <c r="H11" s="166">
        <f t="shared" si="7"/>
        <v>-148.94764793563843</v>
      </c>
      <c r="I11" s="166">
        <f t="shared" si="7"/>
        <v>156.17628067823506</v>
      </c>
      <c r="J11" s="166">
        <f t="shared" si="7"/>
        <v>432.61949892308047</v>
      </c>
      <c r="K11" s="166">
        <f t="shared" si="7"/>
        <v>556.89957292122915</v>
      </c>
      <c r="L11" s="166">
        <f t="shared" ref="L11:M11" si="8">L8+L10</f>
        <v>674.76670222414873</v>
      </c>
      <c r="M11" s="166">
        <f t="shared" si="8"/>
        <v>789.88292104301399</v>
      </c>
      <c r="N11" s="166">
        <f t="shared" ref="N11:O11" si="9">N8+N10</f>
        <v>903.3881269139996</v>
      </c>
      <c r="O11" s="166">
        <f t="shared" si="9"/>
        <v>1016.2790154892339</v>
      </c>
      <c r="P11" s="166">
        <f t="shared" ref="P11" si="10">P8+P10</f>
        <v>1130.4262329869021</v>
      </c>
    </row>
    <row r="12" spans="2:16" x14ac:dyDescent="0.2">
      <c r="B12" s="97" t="s">
        <v>480</v>
      </c>
      <c r="C12" s="98">
        <v>0.33989999999999998</v>
      </c>
      <c r="D12" s="97"/>
      <c r="E12" s="166"/>
      <c r="F12" s="166">
        <f t="shared" ref="F12:K12" si="11">F11*$C$12</f>
        <v>-115.63043116566098</v>
      </c>
      <c r="G12" s="166">
        <f t="shared" si="11"/>
        <v>-107.80398733108581</v>
      </c>
      <c r="H12" s="166">
        <f t="shared" si="11"/>
        <v>-50.627305533323501</v>
      </c>
      <c r="I12" s="166">
        <f t="shared" si="11"/>
        <v>53.084317802532091</v>
      </c>
      <c r="J12" s="166">
        <f t="shared" si="11"/>
        <v>147.04736768395503</v>
      </c>
      <c r="K12" s="166">
        <f t="shared" si="11"/>
        <v>189.29016483592576</v>
      </c>
      <c r="L12" s="166">
        <f t="shared" ref="L12:M12" si="12">L11*$C$12</f>
        <v>229.35320208598813</v>
      </c>
      <c r="M12" s="166">
        <f t="shared" si="12"/>
        <v>268.48120486252043</v>
      </c>
      <c r="N12" s="166">
        <f t="shared" ref="N12:O12" si="13">N11*$C$12</f>
        <v>307.06162433806844</v>
      </c>
      <c r="O12" s="166">
        <f t="shared" si="13"/>
        <v>345.43323736479056</v>
      </c>
      <c r="P12" s="166">
        <f t="shared" ref="P12" si="14">P11*$C$12</f>
        <v>384.231876592248</v>
      </c>
    </row>
    <row r="13" spans="2:16" x14ac:dyDescent="0.2">
      <c r="B13" s="99" t="s">
        <v>481</v>
      </c>
      <c r="C13" s="98">
        <v>0.2001</v>
      </c>
      <c r="D13" s="97"/>
      <c r="E13" s="166"/>
      <c r="F13" s="166">
        <f t="shared" ref="F13:K13" si="15">IF(F5&lt;0,0,(IF(F11=0,0,F5*$C$13)))</f>
        <v>0</v>
      </c>
      <c r="G13" s="166">
        <f t="shared" si="15"/>
        <v>41.939370336807805</v>
      </c>
      <c r="H13" s="166">
        <f t="shared" si="15"/>
        <v>61.618167377368849</v>
      </c>
      <c r="I13" s="166">
        <f t="shared" si="15"/>
        <v>80.972776254132725</v>
      </c>
      <c r="J13" s="166">
        <f t="shared" si="15"/>
        <v>99.584504807735158</v>
      </c>
      <c r="K13" s="166">
        <f t="shared" si="15"/>
        <v>118.52879344262452</v>
      </c>
      <c r="L13" s="166">
        <f t="shared" ref="L13:M13" si="16">IF(L5&lt;0,0,(IF(L11=0,0,L5*$C$13)))</f>
        <v>137.0253395398249</v>
      </c>
      <c r="M13" s="166">
        <f t="shared" si="16"/>
        <v>155.68690653361784</v>
      </c>
      <c r="N13" s="166">
        <f t="shared" ref="N13:O13" si="17">IF(N5&lt;0,0,(IF(N11=0,0,N5*$C$13)))</f>
        <v>174.63904839702369</v>
      </c>
      <c r="O13" s="166">
        <f t="shared" si="17"/>
        <v>193.99356711579028</v>
      </c>
      <c r="P13" s="166">
        <f t="shared" ref="P13" si="18">IF(P5&lt;0,0,(IF(P11=0,0,P5*$C$13)))</f>
        <v>214.04985730908712</v>
      </c>
    </row>
    <row r="14" spans="2:16" x14ac:dyDescent="0.2">
      <c r="B14" s="99" t="s">
        <v>482</v>
      </c>
      <c r="C14" s="98"/>
      <c r="D14" s="97"/>
      <c r="E14" s="168"/>
      <c r="F14" s="168">
        <f t="shared" ref="F14:K14" si="19">MAX(F12:F13)</f>
        <v>0</v>
      </c>
      <c r="G14" s="168">
        <f t="shared" si="19"/>
        <v>41.939370336807805</v>
      </c>
      <c r="H14" s="168">
        <f t="shared" si="19"/>
        <v>61.618167377368849</v>
      </c>
      <c r="I14" s="168">
        <f t="shared" si="19"/>
        <v>80.972776254132725</v>
      </c>
      <c r="J14" s="168">
        <f t="shared" si="19"/>
        <v>147.04736768395503</v>
      </c>
      <c r="K14" s="168">
        <f t="shared" si="19"/>
        <v>189.29016483592576</v>
      </c>
      <c r="L14" s="168">
        <f t="shared" ref="L14:M14" si="20">MAX(L12:L13)</f>
        <v>229.35320208598813</v>
      </c>
      <c r="M14" s="168">
        <f t="shared" si="20"/>
        <v>268.48120486252043</v>
      </c>
      <c r="N14" s="168">
        <f t="shared" ref="N14:O14" si="21">MAX(N12:N13)</f>
        <v>307.06162433806844</v>
      </c>
      <c r="O14" s="168">
        <f t="shared" si="21"/>
        <v>345.43323736479056</v>
      </c>
      <c r="P14" s="168">
        <f t="shared" ref="P14" si="22">MAX(P12:P13)</f>
        <v>384.231876592248</v>
      </c>
    </row>
  </sheetData>
  <sheetProtection sheet="1" objects="1" scenarios="1"/>
  <customSheetViews>
    <customSheetView guid="{22475485-DA09-46DB-978D-BB94CE1E5597}" hiddenColumns="1">
      <selection activeCell="B8" sqref="B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72"/>
  <sheetViews>
    <sheetView zoomScale="120" zoomScaleNormal="120" workbookViewId="0">
      <selection activeCell="C2" sqref="C2"/>
    </sheetView>
  </sheetViews>
  <sheetFormatPr defaultColWidth="13" defaultRowHeight="15" x14ac:dyDescent="0.25"/>
  <cols>
    <col min="1" max="1" width="7.42578125" style="15" customWidth="1"/>
    <col min="2" max="2" width="47" style="5" customWidth="1"/>
    <col min="3" max="3" width="17.28515625" style="15" customWidth="1"/>
    <col min="4" max="4" width="14.85546875" style="15" customWidth="1"/>
    <col min="5" max="9" width="13" style="15"/>
    <col min="10" max="10" width="13.28515625" style="15" customWidth="1"/>
    <col min="11" max="16384" width="13" style="15"/>
  </cols>
  <sheetData>
    <row r="1" spans="1:6" ht="24" customHeight="1" x14ac:dyDescent="0.25">
      <c r="A1" s="360" t="s">
        <v>265</v>
      </c>
      <c r="B1" s="360"/>
      <c r="C1" s="360"/>
      <c r="D1" s="360"/>
    </row>
    <row r="2" spans="1:6" s="4" customFormat="1" ht="20.25" customHeight="1" x14ac:dyDescent="0.25">
      <c r="A2" s="32" t="s">
        <v>0</v>
      </c>
      <c r="B2" s="38" t="s">
        <v>266</v>
      </c>
      <c r="C2" s="32" t="s">
        <v>2</v>
      </c>
      <c r="D2" s="32" t="s">
        <v>3</v>
      </c>
    </row>
    <row r="3" spans="1:6" ht="21.75" customHeight="1" x14ac:dyDescent="0.25">
      <c r="A3" s="34" t="s">
        <v>91</v>
      </c>
      <c r="B3" s="419" t="s">
        <v>267</v>
      </c>
      <c r="C3" s="422"/>
      <c r="D3" s="422"/>
    </row>
    <row r="4" spans="1:6" s="6" customFormat="1" ht="20.25" customHeight="1" x14ac:dyDescent="0.25">
      <c r="A4" s="35">
        <v>1</v>
      </c>
      <c r="B4" s="36" t="s">
        <v>268</v>
      </c>
      <c r="C4" s="37">
        <v>10000</v>
      </c>
      <c r="D4" s="35" t="s">
        <v>194</v>
      </c>
      <c r="F4" s="33"/>
    </row>
    <row r="5" spans="1:6" s="6" customFormat="1" ht="20.25" customHeight="1" x14ac:dyDescent="0.25">
      <c r="A5" s="35">
        <v>2</v>
      </c>
      <c r="B5" s="36" t="s">
        <v>269</v>
      </c>
      <c r="C5" s="37">
        <v>4070</v>
      </c>
      <c r="D5" s="35" t="s">
        <v>317</v>
      </c>
      <c r="F5" s="33"/>
    </row>
    <row r="6" spans="1:6" s="6" customFormat="1" ht="20.25" customHeight="1" x14ac:dyDescent="0.25">
      <c r="A6" s="35">
        <v>3</v>
      </c>
      <c r="B6" s="36" t="s">
        <v>270</v>
      </c>
      <c r="C6" s="37">
        <v>7000</v>
      </c>
      <c r="D6" s="35" t="s">
        <v>317</v>
      </c>
      <c r="F6" s="33"/>
    </row>
    <row r="7" spans="1:6" s="6" customFormat="1" ht="20.25" customHeight="1" x14ac:dyDescent="0.25">
      <c r="A7" s="35">
        <v>4</v>
      </c>
      <c r="B7" s="36" t="s">
        <v>177</v>
      </c>
      <c r="C7" s="37">
        <v>40000</v>
      </c>
      <c r="D7" s="35" t="s">
        <v>317</v>
      </c>
      <c r="F7" s="33"/>
    </row>
    <row r="8" spans="1:6" s="6" customFormat="1" ht="20.25" customHeight="1" x14ac:dyDescent="0.25">
      <c r="A8" s="35">
        <v>5</v>
      </c>
      <c r="B8" s="36" t="s">
        <v>178</v>
      </c>
      <c r="C8" s="37">
        <v>39700</v>
      </c>
      <c r="D8" s="35" t="s">
        <v>318</v>
      </c>
      <c r="F8" s="33"/>
    </row>
    <row r="9" spans="1:6" s="6" customFormat="1" ht="20.25" customHeight="1" x14ac:dyDescent="0.25">
      <c r="A9" s="35">
        <v>6</v>
      </c>
      <c r="B9" s="36" t="s">
        <v>271</v>
      </c>
      <c r="C9" s="37">
        <v>300</v>
      </c>
      <c r="D9" s="35" t="s">
        <v>235</v>
      </c>
      <c r="F9" s="33"/>
    </row>
    <row r="10" spans="1:6" s="6" customFormat="1" ht="20.25" customHeight="1" x14ac:dyDescent="0.25">
      <c r="A10" s="35">
        <v>7</v>
      </c>
      <c r="B10" s="36" t="s">
        <v>191</v>
      </c>
      <c r="C10" s="37">
        <v>1</v>
      </c>
      <c r="D10" s="35"/>
      <c r="F10" s="33"/>
    </row>
    <row r="11" spans="1:6" ht="21.75" customHeight="1" x14ac:dyDescent="0.25">
      <c r="A11" s="34" t="s">
        <v>92</v>
      </c>
      <c r="B11" s="419" t="s">
        <v>272</v>
      </c>
      <c r="C11" s="422"/>
      <c r="D11" s="422"/>
    </row>
    <row r="12" spans="1:6" s="6" customFormat="1" ht="20.25" customHeight="1" x14ac:dyDescent="0.25">
      <c r="A12" s="35">
        <v>1</v>
      </c>
      <c r="B12" s="36" t="s">
        <v>273</v>
      </c>
      <c r="C12" s="37">
        <f>'Det Assump'!C52</f>
        <v>3500</v>
      </c>
      <c r="D12" s="35" t="s">
        <v>319</v>
      </c>
      <c r="F12" s="33"/>
    </row>
    <row r="13" spans="1:6" s="6" customFormat="1" ht="20.25" customHeight="1" x14ac:dyDescent="0.25">
      <c r="A13" s="35">
        <v>2</v>
      </c>
      <c r="B13" s="36" t="s">
        <v>274</v>
      </c>
      <c r="C13" s="37">
        <f>'Det Assump'!C53</f>
        <v>42000</v>
      </c>
      <c r="D13" s="35" t="s">
        <v>319</v>
      </c>
      <c r="F13" s="33"/>
    </row>
    <row r="14" spans="1:6" s="6" customFormat="1" ht="20.25" customHeight="1" x14ac:dyDescent="0.25">
      <c r="A14" s="35">
        <v>3</v>
      </c>
      <c r="B14" s="36" t="s">
        <v>275</v>
      </c>
      <c r="C14" s="37" t="e">
        <f>'Det Assump'!#REF!</f>
        <v>#REF!</v>
      </c>
      <c r="D14" s="35" t="s">
        <v>319</v>
      </c>
      <c r="F14" s="33"/>
    </row>
    <row r="15" spans="1:6" s="6" customFormat="1" ht="20.25" customHeight="1" x14ac:dyDescent="0.25">
      <c r="A15" s="35">
        <v>4</v>
      </c>
      <c r="B15" s="36" t="s">
        <v>276</v>
      </c>
      <c r="C15" s="37">
        <f>Assump!F15</f>
        <v>20148000</v>
      </c>
      <c r="D15" s="35" t="s">
        <v>235</v>
      </c>
      <c r="F15" s="33"/>
    </row>
    <row r="16" spans="1:6" s="6" customFormat="1" ht="20.25" customHeight="1" x14ac:dyDescent="0.25">
      <c r="A16" s="35">
        <v>5</v>
      </c>
      <c r="B16" s="36" t="s">
        <v>277</v>
      </c>
      <c r="C16" s="37">
        <f>C4*365</f>
        <v>3650000</v>
      </c>
      <c r="D16" s="35" t="s">
        <v>203</v>
      </c>
      <c r="F16" s="33"/>
    </row>
    <row r="17" spans="1:6" s="6" customFormat="1" ht="20.25" customHeight="1" x14ac:dyDescent="0.25">
      <c r="A17" s="35">
        <v>6</v>
      </c>
      <c r="B17" s="36" t="s">
        <v>278</v>
      </c>
      <c r="C17" s="37">
        <f>C5*365</f>
        <v>1485550</v>
      </c>
      <c r="D17" s="35" t="s">
        <v>203</v>
      </c>
      <c r="F17" s="33"/>
    </row>
    <row r="18" spans="1:6" s="6" customFormat="1" ht="20.25" customHeight="1" x14ac:dyDescent="0.25">
      <c r="A18" s="35">
        <v>7</v>
      </c>
      <c r="B18" s="36" t="s">
        <v>279</v>
      </c>
      <c r="C18" s="37">
        <f>C6*356</f>
        <v>2492000</v>
      </c>
      <c r="D18" s="35" t="s">
        <v>193</v>
      </c>
      <c r="F18" s="33"/>
    </row>
    <row r="19" spans="1:6" s="6" customFormat="1" ht="20.25" customHeight="1" x14ac:dyDescent="0.25">
      <c r="A19" s="35">
        <v>8</v>
      </c>
      <c r="B19" s="36" t="s">
        <v>280</v>
      </c>
      <c r="C19" s="37">
        <f>C7*365</f>
        <v>14600000</v>
      </c>
      <c r="D19" s="35" t="s">
        <v>193</v>
      </c>
      <c r="F19" s="33"/>
    </row>
    <row r="20" spans="1:6" s="6" customFormat="1" ht="20.25" customHeight="1" x14ac:dyDescent="0.25">
      <c r="A20" s="35">
        <v>9</v>
      </c>
      <c r="B20" s="36" t="s">
        <v>281</v>
      </c>
      <c r="C20" s="37">
        <f>C8*365/1000</f>
        <v>14490.5</v>
      </c>
      <c r="D20" s="35" t="s">
        <v>213</v>
      </c>
      <c r="F20" s="33"/>
    </row>
    <row r="21" spans="1:6" s="6" customFormat="1" ht="20.25" customHeight="1" x14ac:dyDescent="0.25">
      <c r="A21" s="35">
        <v>10</v>
      </c>
      <c r="B21" s="36" t="s">
        <v>184</v>
      </c>
      <c r="C21" s="37" t="e">
        <f>'Det Assump'!#REF!</f>
        <v>#REF!</v>
      </c>
      <c r="D21" s="35" t="s">
        <v>207</v>
      </c>
      <c r="F21" s="33"/>
    </row>
    <row r="22" spans="1:6" ht="21.75" customHeight="1" x14ac:dyDescent="0.25">
      <c r="A22" s="34" t="s">
        <v>95</v>
      </c>
      <c r="B22" s="419" t="s">
        <v>282</v>
      </c>
      <c r="C22" s="422"/>
      <c r="D22" s="422"/>
    </row>
    <row r="23" spans="1:6" s="6" customFormat="1" ht="33" customHeight="1" x14ac:dyDescent="0.25">
      <c r="A23" s="35">
        <v>1</v>
      </c>
      <c r="B23" s="36" t="s">
        <v>283</v>
      </c>
      <c r="C23" s="37">
        <v>56</v>
      </c>
      <c r="D23" s="35" t="s">
        <v>201</v>
      </c>
      <c r="F23" s="33"/>
    </row>
    <row r="24" spans="1:6" s="6" customFormat="1" ht="33.75" customHeight="1" x14ac:dyDescent="0.25">
      <c r="A24" s="35">
        <v>2</v>
      </c>
      <c r="B24" s="36" t="s">
        <v>283</v>
      </c>
      <c r="C24" s="37">
        <v>8</v>
      </c>
      <c r="D24" s="35" t="s">
        <v>201</v>
      </c>
      <c r="F24" s="33"/>
    </row>
    <row r="25" spans="1:6" s="6" customFormat="1" ht="20.25" customHeight="1" x14ac:dyDescent="0.25">
      <c r="A25" s="35">
        <v>3</v>
      </c>
      <c r="B25" s="36" t="s">
        <v>284</v>
      </c>
      <c r="C25" s="37">
        <v>250</v>
      </c>
      <c r="D25" s="35" t="s">
        <v>214</v>
      </c>
      <c r="F25" s="33"/>
    </row>
    <row r="26" spans="1:6" s="6" customFormat="1" ht="20.25" customHeight="1" x14ac:dyDescent="0.25">
      <c r="A26" s="35">
        <v>4</v>
      </c>
      <c r="B26" s="36" t="s">
        <v>285</v>
      </c>
      <c r="C26" s="37">
        <v>1000</v>
      </c>
      <c r="D26" s="35" t="s">
        <v>320</v>
      </c>
      <c r="F26" s="33"/>
    </row>
    <row r="27" spans="1:6" s="6" customFormat="1" ht="20.25" customHeight="1" x14ac:dyDescent="0.25">
      <c r="A27" s="35">
        <v>5</v>
      </c>
      <c r="B27" s="36" t="s">
        <v>321</v>
      </c>
      <c r="C27" s="37">
        <v>500</v>
      </c>
      <c r="D27" s="35" t="s">
        <v>320</v>
      </c>
      <c r="F27" s="33"/>
    </row>
    <row r="28" spans="1:6" s="6" customFormat="1" ht="20.25" customHeight="1" x14ac:dyDescent="0.25">
      <c r="A28" s="35">
        <v>6</v>
      </c>
      <c r="B28" s="36" t="s">
        <v>286</v>
      </c>
      <c r="C28" s="37">
        <v>500</v>
      </c>
      <c r="D28" s="35" t="s">
        <v>320</v>
      </c>
      <c r="F28" s="33"/>
    </row>
    <row r="29" spans="1:6" s="6" customFormat="1" ht="20.25" customHeight="1" x14ac:dyDescent="0.25">
      <c r="A29" s="35">
        <v>7</v>
      </c>
      <c r="B29" s="36" t="s">
        <v>287</v>
      </c>
      <c r="C29" s="37">
        <v>20</v>
      </c>
      <c r="D29" s="35" t="s">
        <v>201</v>
      </c>
      <c r="F29" s="33"/>
    </row>
    <row r="30" spans="1:6" s="6" customFormat="1" ht="20.25" customHeight="1" x14ac:dyDescent="0.25">
      <c r="A30" s="35">
        <v>8</v>
      </c>
      <c r="B30" s="36" t="s">
        <v>288</v>
      </c>
      <c r="C30" s="37"/>
      <c r="D30" s="35"/>
      <c r="F30" s="33"/>
    </row>
    <row r="31" spans="1:6" s="6" customFormat="1" ht="20.25" customHeight="1" x14ac:dyDescent="0.25">
      <c r="A31" s="35">
        <v>9</v>
      </c>
      <c r="B31" s="36" t="s">
        <v>289</v>
      </c>
      <c r="C31" s="37"/>
      <c r="D31" s="35"/>
      <c r="F31" s="33"/>
    </row>
    <row r="32" spans="1:6" s="6" customFormat="1" ht="18" customHeight="1" x14ac:dyDescent="0.25">
      <c r="A32" s="423"/>
      <c r="B32" s="424"/>
      <c r="C32" s="424"/>
      <c r="D32" s="424"/>
      <c r="E32" s="424"/>
      <c r="F32" s="33"/>
    </row>
    <row r="33" spans="1:6" ht="21.75" customHeight="1" x14ac:dyDescent="0.25">
      <c r="A33" s="34" t="s">
        <v>100</v>
      </c>
      <c r="B33" s="419" t="s">
        <v>290</v>
      </c>
      <c r="C33" s="422"/>
      <c r="D33" s="422"/>
    </row>
    <row r="34" spans="1:6" s="6" customFormat="1" ht="18" customHeight="1" x14ac:dyDescent="0.25">
      <c r="A34" s="35" t="s">
        <v>97</v>
      </c>
      <c r="B34" s="31" t="s">
        <v>112</v>
      </c>
      <c r="C34" s="37"/>
      <c r="D34" s="35"/>
      <c r="F34" s="33"/>
    </row>
    <row r="35" spans="1:6" s="6" customFormat="1" ht="18" customHeight="1" x14ac:dyDescent="0.25">
      <c r="A35" s="35">
        <v>1</v>
      </c>
      <c r="B35" s="36" t="s">
        <v>291</v>
      </c>
      <c r="C35" s="37"/>
      <c r="D35" s="35"/>
      <c r="F35" s="33"/>
    </row>
    <row r="36" spans="1:6" s="6" customFormat="1" ht="18" customHeight="1" x14ac:dyDescent="0.25">
      <c r="A36" s="35">
        <v>2</v>
      </c>
      <c r="B36" s="36" t="s">
        <v>69</v>
      </c>
      <c r="C36" s="37"/>
      <c r="D36" s="35"/>
      <c r="F36" s="33"/>
    </row>
    <row r="37" spans="1:6" s="6" customFormat="1" ht="18" customHeight="1" x14ac:dyDescent="0.25">
      <c r="A37" s="35">
        <v>3</v>
      </c>
      <c r="B37" s="36" t="s">
        <v>71</v>
      </c>
      <c r="C37" s="37"/>
      <c r="D37" s="35"/>
      <c r="F37" s="33"/>
    </row>
    <row r="38" spans="1:6" s="6" customFormat="1" ht="18" customHeight="1" x14ac:dyDescent="0.25">
      <c r="A38" s="35">
        <v>4</v>
      </c>
      <c r="B38" s="36" t="s">
        <v>116</v>
      </c>
      <c r="C38" s="37"/>
      <c r="D38" s="35"/>
      <c r="F38" s="33"/>
    </row>
    <row r="39" spans="1:6" s="6" customFormat="1" ht="18" customHeight="1" x14ac:dyDescent="0.25">
      <c r="A39" s="35">
        <v>5</v>
      </c>
      <c r="B39" s="36" t="s">
        <v>292</v>
      </c>
      <c r="C39" s="37"/>
      <c r="D39" s="35"/>
      <c r="F39" s="33"/>
    </row>
    <row r="40" spans="1:6" s="6" customFormat="1" ht="18" customHeight="1" x14ac:dyDescent="0.25">
      <c r="A40" s="35">
        <v>6</v>
      </c>
      <c r="B40" s="36" t="s">
        <v>293</v>
      </c>
      <c r="C40" s="37"/>
      <c r="D40" s="35"/>
      <c r="F40" s="33"/>
    </row>
    <row r="41" spans="1:6" s="6" customFormat="1" ht="18" customHeight="1" x14ac:dyDescent="0.25">
      <c r="A41" s="35"/>
      <c r="B41" s="32" t="s">
        <v>316</v>
      </c>
      <c r="C41" s="37"/>
      <c r="D41" s="35"/>
      <c r="F41" s="33"/>
    </row>
    <row r="42" spans="1:6" s="6" customFormat="1" ht="18" customHeight="1" x14ac:dyDescent="0.25">
      <c r="A42" s="35" t="s">
        <v>98</v>
      </c>
      <c r="B42" s="31" t="s">
        <v>294</v>
      </c>
      <c r="C42" s="37"/>
      <c r="D42" s="35"/>
      <c r="F42" s="33"/>
    </row>
    <row r="43" spans="1:6" s="6" customFormat="1" ht="18" customHeight="1" x14ac:dyDescent="0.25">
      <c r="A43" s="35">
        <v>1</v>
      </c>
      <c r="B43" s="36" t="s">
        <v>295</v>
      </c>
      <c r="C43" s="37"/>
      <c r="D43" s="35"/>
      <c r="F43" s="33"/>
    </row>
    <row r="44" spans="1:6" s="6" customFormat="1" ht="18" customHeight="1" x14ac:dyDescent="0.25">
      <c r="A44" s="35">
        <v>2</v>
      </c>
      <c r="B44" s="36" t="s">
        <v>296</v>
      </c>
      <c r="C44" s="37"/>
      <c r="D44" s="35"/>
      <c r="F44" s="33"/>
    </row>
    <row r="45" spans="1:6" s="6" customFormat="1" ht="18" customHeight="1" x14ac:dyDescent="0.25">
      <c r="A45" s="35"/>
      <c r="B45" s="36" t="s">
        <v>115</v>
      </c>
      <c r="C45" s="37"/>
      <c r="D45" s="35"/>
      <c r="F45" s="33"/>
    </row>
    <row r="46" spans="1:6" s="6" customFormat="1" ht="18" customHeight="1" x14ac:dyDescent="0.25">
      <c r="A46" s="35"/>
      <c r="B46" s="32" t="s">
        <v>297</v>
      </c>
      <c r="C46" s="37"/>
      <c r="D46" s="35"/>
      <c r="F46" s="33"/>
    </row>
    <row r="47" spans="1:6" s="6" customFormat="1" ht="18" customHeight="1" x14ac:dyDescent="0.25">
      <c r="A47" s="35"/>
      <c r="B47" s="36"/>
      <c r="C47" s="37"/>
      <c r="D47" s="35"/>
      <c r="F47" s="33"/>
    </row>
    <row r="48" spans="1:6" ht="21.75" customHeight="1" x14ac:dyDescent="0.25">
      <c r="A48" s="34" t="s">
        <v>102</v>
      </c>
      <c r="B48" s="419" t="s">
        <v>298</v>
      </c>
      <c r="C48" s="422"/>
      <c r="D48" s="422"/>
    </row>
    <row r="49" spans="1:6" s="6" customFormat="1" ht="18" customHeight="1" x14ac:dyDescent="0.25">
      <c r="A49" s="35">
        <v>1</v>
      </c>
      <c r="B49" s="36" t="s">
        <v>299</v>
      </c>
      <c r="C49" s="37"/>
      <c r="D49" s="35"/>
      <c r="F49" s="33"/>
    </row>
    <row r="50" spans="1:6" s="6" customFormat="1" ht="18" customHeight="1" x14ac:dyDescent="0.25">
      <c r="A50" s="35">
        <v>2</v>
      </c>
      <c r="B50" s="36" t="s">
        <v>300</v>
      </c>
      <c r="C50" s="37"/>
      <c r="D50" s="35"/>
      <c r="F50" s="33"/>
    </row>
    <row r="51" spans="1:6" s="6" customFormat="1" ht="18" customHeight="1" x14ac:dyDescent="0.25">
      <c r="A51" s="35">
        <v>3</v>
      </c>
      <c r="B51" s="36" t="s">
        <v>301</v>
      </c>
      <c r="C51" s="37"/>
      <c r="D51" s="35"/>
      <c r="F51" s="33"/>
    </row>
    <row r="52" spans="1:6" s="6" customFormat="1" ht="18" customHeight="1" x14ac:dyDescent="0.25">
      <c r="A52" s="35">
        <v>4</v>
      </c>
      <c r="B52" s="36" t="s">
        <v>302</v>
      </c>
      <c r="C52" s="37"/>
      <c r="D52" s="35"/>
      <c r="F52" s="33"/>
    </row>
    <row r="53" spans="1:6" s="6" customFormat="1" ht="18" customHeight="1" x14ac:dyDescent="0.25">
      <c r="A53" s="35"/>
      <c r="B53" s="36" t="s">
        <v>303</v>
      </c>
      <c r="C53" s="37"/>
      <c r="D53" s="35"/>
      <c r="F53" s="33"/>
    </row>
    <row r="54" spans="1:6" s="6" customFormat="1" ht="18" customHeight="1" x14ac:dyDescent="0.25">
      <c r="A54" s="35">
        <v>1</v>
      </c>
      <c r="B54" s="36" t="s">
        <v>51</v>
      </c>
      <c r="C54" s="37"/>
      <c r="D54" s="35"/>
      <c r="F54" s="33"/>
    </row>
    <row r="55" spans="1:6" s="6" customFormat="1" ht="18" customHeight="1" x14ac:dyDescent="0.25">
      <c r="A55" s="35">
        <v>2</v>
      </c>
      <c r="B55" s="36" t="s">
        <v>304</v>
      </c>
      <c r="C55" s="37"/>
      <c r="D55" s="35"/>
      <c r="F55" s="33"/>
    </row>
    <row r="56" spans="1:6" s="6" customFormat="1" ht="18" customHeight="1" x14ac:dyDescent="0.25">
      <c r="A56" s="35">
        <v>3</v>
      </c>
      <c r="B56" s="36" t="s">
        <v>305</v>
      </c>
      <c r="C56" s="37"/>
      <c r="D56" s="35"/>
      <c r="F56" s="33"/>
    </row>
    <row r="57" spans="1:6" s="6" customFormat="1" ht="18" customHeight="1" x14ac:dyDescent="0.25">
      <c r="A57" s="35">
        <v>4</v>
      </c>
      <c r="B57" s="36" t="s">
        <v>306</v>
      </c>
      <c r="C57" s="37"/>
      <c r="D57" s="35"/>
      <c r="F57" s="33"/>
    </row>
    <row r="58" spans="1:6" s="6" customFormat="1" ht="18" customHeight="1" x14ac:dyDescent="0.25">
      <c r="A58" s="35">
        <v>5</v>
      </c>
      <c r="B58" s="36" t="s">
        <v>52</v>
      </c>
      <c r="C58" s="37"/>
      <c r="D58" s="35"/>
      <c r="F58" s="33"/>
    </row>
    <row r="59" spans="1:6" s="6" customFormat="1" ht="18" customHeight="1" x14ac:dyDescent="0.25">
      <c r="A59" s="35">
        <v>6</v>
      </c>
      <c r="B59" s="36" t="s">
        <v>75</v>
      </c>
      <c r="C59" s="37"/>
      <c r="D59" s="35"/>
      <c r="F59" s="33"/>
    </row>
    <row r="60" spans="1:6" s="6" customFormat="1" ht="18" customHeight="1" x14ac:dyDescent="0.25">
      <c r="A60" s="35">
        <v>7</v>
      </c>
      <c r="B60" s="36" t="s">
        <v>56</v>
      </c>
      <c r="C60" s="37"/>
      <c r="D60" s="35"/>
      <c r="F60" s="33"/>
    </row>
    <row r="61" spans="1:6" s="6" customFormat="1" ht="18" customHeight="1" x14ac:dyDescent="0.25">
      <c r="A61" s="35">
        <v>8</v>
      </c>
      <c r="B61" s="36" t="s">
        <v>59</v>
      </c>
      <c r="C61" s="37"/>
      <c r="D61" s="35"/>
      <c r="F61" s="33"/>
    </row>
    <row r="62" spans="1:6" s="6" customFormat="1" ht="18" customHeight="1" x14ac:dyDescent="0.25">
      <c r="A62" s="35">
        <v>9</v>
      </c>
      <c r="B62" s="36" t="s">
        <v>61</v>
      </c>
      <c r="C62" s="37"/>
      <c r="D62" s="35"/>
      <c r="F62" s="33"/>
    </row>
    <row r="63" spans="1:6" s="6" customFormat="1" ht="18" customHeight="1" x14ac:dyDescent="0.25">
      <c r="A63" s="35">
        <v>10</v>
      </c>
      <c r="B63" s="36" t="s">
        <v>307</v>
      </c>
      <c r="C63" s="37"/>
      <c r="D63" s="35"/>
      <c r="F63" s="33"/>
    </row>
    <row r="64" spans="1:6" s="6" customFormat="1" ht="18" customHeight="1" x14ac:dyDescent="0.25">
      <c r="A64" s="35">
        <v>11</v>
      </c>
      <c r="B64" s="36" t="s">
        <v>308</v>
      </c>
      <c r="C64" s="37"/>
      <c r="D64" s="35"/>
      <c r="F64" s="33"/>
    </row>
    <row r="65" spans="1:6" s="6" customFormat="1" ht="18" customHeight="1" x14ac:dyDescent="0.25">
      <c r="A65" s="35">
        <v>12</v>
      </c>
      <c r="B65" s="36" t="s">
        <v>64</v>
      </c>
      <c r="C65" s="37"/>
      <c r="D65" s="35"/>
      <c r="F65" s="33"/>
    </row>
    <row r="66" spans="1:6" s="6" customFormat="1" ht="18" customHeight="1" x14ac:dyDescent="0.25">
      <c r="A66" s="35">
        <v>13</v>
      </c>
      <c r="B66" s="36" t="s">
        <v>309</v>
      </c>
      <c r="C66" s="37"/>
      <c r="D66" s="35"/>
      <c r="F66" s="33"/>
    </row>
    <row r="67" spans="1:6" s="6" customFormat="1" ht="18" customHeight="1" x14ac:dyDescent="0.25">
      <c r="A67" s="35">
        <v>14</v>
      </c>
      <c r="B67" s="36" t="s">
        <v>310</v>
      </c>
      <c r="C67" s="37"/>
      <c r="D67" s="35"/>
      <c r="F67" s="33"/>
    </row>
    <row r="68" spans="1:6" s="6" customFormat="1" ht="18" customHeight="1" x14ac:dyDescent="0.25">
      <c r="A68" s="35">
        <v>15</v>
      </c>
      <c r="B68" s="36" t="s">
        <v>311</v>
      </c>
      <c r="C68" s="37"/>
      <c r="D68" s="35"/>
      <c r="F68" s="33"/>
    </row>
    <row r="69" spans="1:6" s="6" customFormat="1" ht="18" customHeight="1" x14ac:dyDescent="0.25">
      <c r="A69" s="35">
        <v>16</v>
      </c>
      <c r="B69" s="36" t="s">
        <v>312</v>
      </c>
      <c r="C69" s="37"/>
      <c r="D69" s="35"/>
      <c r="F69" s="33"/>
    </row>
    <row r="70" spans="1:6" s="6" customFormat="1" ht="18" customHeight="1" x14ac:dyDescent="0.25">
      <c r="A70" s="35">
        <v>17</v>
      </c>
      <c r="B70" s="36" t="s">
        <v>313</v>
      </c>
      <c r="C70" s="37"/>
      <c r="D70" s="35"/>
      <c r="F70" s="33"/>
    </row>
    <row r="71" spans="1:6" s="6" customFormat="1" ht="18" customHeight="1" x14ac:dyDescent="0.25">
      <c r="A71" s="35">
        <v>18</v>
      </c>
      <c r="B71" s="36" t="s">
        <v>314</v>
      </c>
      <c r="C71" s="37"/>
      <c r="D71" s="35"/>
      <c r="F71" s="33"/>
    </row>
    <row r="72" spans="1:6" s="6" customFormat="1" ht="18" customHeight="1" x14ac:dyDescent="0.25">
      <c r="A72" s="35">
        <v>19</v>
      </c>
      <c r="B72" s="36" t="s">
        <v>315</v>
      </c>
      <c r="C72" s="37"/>
      <c r="D72" s="35"/>
      <c r="F72" s="33"/>
    </row>
  </sheetData>
  <customSheetViews>
    <customSheetView guid="{22475485-DA09-46DB-978D-BB94CE1E5597}" scale="120" state="hidden" topLeftCell="A83">
      <selection activeCell="A101" sqref="A101"/>
      <pageMargins left="0.7" right="0.7" top="0.75" bottom="0.75" header="0.3" footer="0.3"/>
      <pageSetup paperSize="9" orientation="portrait" verticalDpi="0" r:id="rId1"/>
    </customSheetView>
  </customSheetViews>
  <mergeCells count="7">
    <mergeCell ref="B33:D33"/>
    <mergeCell ref="B48:D48"/>
    <mergeCell ref="A32:E32"/>
    <mergeCell ref="A1:D1"/>
    <mergeCell ref="B3:D3"/>
    <mergeCell ref="B11:D11"/>
    <mergeCell ref="B22:D22"/>
  </mergeCell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55"/>
  <sheetViews>
    <sheetView workbookViewId="0">
      <selection sqref="A1:D1"/>
    </sheetView>
  </sheetViews>
  <sheetFormatPr defaultColWidth="13" defaultRowHeight="15" x14ac:dyDescent="0.25"/>
  <cols>
    <col min="1" max="1" width="8.42578125" style="15" bestFit="1" customWidth="1"/>
    <col min="2" max="2" width="47" style="5" customWidth="1"/>
    <col min="3" max="3" width="17.28515625" style="15" customWidth="1"/>
    <col min="4" max="4" width="14.85546875" style="15" customWidth="1"/>
    <col min="5" max="9" width="13" style="15"/>
    <col min="10" max="10" width="13.28515625" style="15" customWidth="1"/>
    <col min="11" max="16384" width="13" style="15"/>
  </cols>
  <sheetData>
    <row r="1" spans="1:6" ht="26.1" customHeight="1" x14ac:dyDescent="0.25">
      <c r="A1" s="360" t="s">
        <v>265</v>
      </c>
      <c r="B1" s="360"/>
      <c r="C1" s="360"/>
      <c r="D1" s="360"/>
    </row>
    <row r="2" spans="1:6" s="4" customFormat="1" ht="20.25" customHeight="1" x14ac:dyDescent="0.25">
      <c r="A2" s="32" t="s">
        <v>0</v>
      </c>
      <c r="B2" s="38" t="s">
        <v>266</v>
      </c>
      <c r="C2" s="32" t="s">
        <v>2</v>
      </c>
      <c r="D2" s="32" t="s">
        <v>3</v>
      </c>
    </row>
    <row r="3" spans="1:6" ht="21.75" customHeight="1" x14ac:dyDescent="0.25">
      <c r="A3" s="34" t="s">
        <v>91</v>
      </c>
      <c r="B3" s="419" t="s">
        <v>267</v>
      </c>
      <c r="C3" s="422"/>
      <c r="D3" s="422"/>
    </row>
    <row r="4" spans="1:6" s="6" customFormat="1" ht="20.25" customHeight="1" x14ac:dyDescent="0.25">
      <c r="A4" s="35">
        <v>1</v>
      </c>
      <c r="B4" s="36" t="s">
        <v>268</v>
      </c>
      <c r="C4" s="74">
        <f>'Det Assump'!C34</f>
        <v>12700</v>
      </c>
      <c r="D4" s="35" t="s">
        <v>194</v>
      </c>
      <c r="F4" s="33"/>
    </row>
    <row r="5" spans="1:6" s="6" customFormat="1" ht="20.25" customHeight="1" x14ac:dyDescent="0.25">
      <c r="A5" s="35">
        <v>2</v>
      </c>
      <c r="B5" s="36" t="s">
        <v>269</v>
      </c>
      <c r="C5" s="74">
        <f>'Det Assump'!C35</f>
        <v>5000</v>
      </c>
      <c r="D5" s="35" t="s">
        <v>199</v>
      </c>
      <c r="F5" s="33"/>
    </row>
    <row r="6" spans="1:6" s="6" customFormat="1" ht="20.25" customHeight="1" x14ac:dyDescent="0.25">
      <c r="A6" s="35">
        <v>3</v>
      </c>
      <c r="B6" s="36" t="s">
        <v>269</v>
      </c>
      <c r="C6" s="74">
        <f>'Det Assump'!C15</f>
        <v>5000</v>
      </c>
      <c r="D6" s="35" t="s">
        <v>317</v>
      </c>
      <c r="F6" s="33"/>
    </row>
    <row r="7" spans="1:6" s="6" customFormat="1" ht="20.25" customHeight="1" x14ac:dyDescent="0.25">
      <c r="A7" s="35">
        <v>4</v>
      </c>
      <c r="B7" s="36" t="s">
        <v>177</v>
      </c>
      <c r="C7" s="74">
        <f>'Det Assump'!C21</f>
        <v>30000</v>
      </c>
      <c r="D7" s="35" t="s">
        <v>317</v>
      </c>
      <c r="F7" s="33"/>
    </row>
    <row r="8" spans="1:6" s="6" customFormat="1" ht="20.25" customHeight="1" x14ac:dyDescent="0.25">
      <c r="A8" s="35">
        <v>5</v>
      </c>
      <c r="B8" s="36" t="s">
        <v>178</v>
      </c>
      <c r="C8" s="74">
        <f>'Det Assump'!C25</f>
        <v>90000</v>
      </c>
      <c r="D8" s="35" t="s">
        <v>318</v>
      </c>
      <c r="F8" s="33"/>
    </row>
    <row r="9" spans="1:6" s="6" customFormat="1" ht="20.25" customHeight="1" x14ac:dyDescent="0.25">
      <c r="A9" s="19">
        <v>6</v>
      </c>
      <c r="B9" s="36" t="s">
        <v>191</v>
      </c>
      <c r="C9" s="74">
        <v>1</v>
      </c>
      <c r="D9" s="35"/>
      <c r="F9" s="33"/>
    </row>
    <row r="10" spans="1:6" ht="21.75" customHeight="1" x14ac:dyDescent="0.25">
      <c r="A10" s="34" t="s">
        <v>92</v>
      </c>
      <c r="B10" s="419" t="s">
        <v>272</v>
      </c>
      <c r="C10" s="422"/>
      <c r="D10" s="422"/>
    </row>
    <row r="11" spans="1:6" s="6" customFormat="1" ht="20.25" customHeight="1" x14ac:dyDescent="0.25">
      <c r="A11" s="35">
        <v>1</v>
      </c>
      <c r="B11" s="36" t="s">
        <v>273</v>
      </c>
      <c r="C11" s="74">
        <f>'Det Assump'!C52</f>
        <v>3500</v>
      </c>
      <c r="D11" s="35" t="s">
        <v>319</v>
      </c>
      <c r="F11" s="33"/>
    </row>
    <row r="12" spans="1:6" s="6" customFormat="1" ht="31.5" x14ac:dyDescent="0.25">
      <c r="A12" s="35">
        <v>2</v>
      </c>
      <c r="B12" s="36" t="s">
        <v>551</v>
      </c>
      <c r="C12" s="74">
        <f>'Det Assump'!C53</f>
        <v>42000</v>
      </c>
      <c r="D12" s="35" t="s">
        <v>319</v>
      </c>
      <c r="F12" s="33"/>
    </row>
    <row r="13" spans="1:6" s="6" customFormat="1" ht="20.25" customHeight="1" x14ac:dyDescent="0.25">
      <c r="A13" s="35">
        <v>3</v>
      </c>
      <c r="B13" s="36" t="s">
        <v>275</v>
      </c>
      <c r="C13" s="74" t="e">
        <f>'Det Assump'!#REF!</f>
        <v>#REF!</v>
      </c>
      <c r="D13" s="35" t="s">
        <v>319</v>
      </c>
      <c r="F13" s="33"/>
    </row>
    <row r="14" spans="1:6" s="6" customFormat="1" ht="20.25" customHeight="1" x14ac:dyDescent="0.25">
      <c r="A14" s="35">
        <v>4</v>
      </c>
      <c r="B14" s="36" t="s">
        <v>276</v>
      </c>
      <c r="C14" s="74">
        <f>Assump!E15</f>
        <v>2014800</v>
      </c>
      <c r="D14" s="35" t="s">
        <v>235</v>
      </c>
      <c r="F14" s="33"/>
    </row>
    <row r="15" spans="1:6" s="6" customFormat="1" ht="20.25" customHeight="1" x14ac:dyDescent="0.25">
      <c r="A15" s="35">
        <v>5</v>
      </c>
      <c r="B15" s="36" t="s">
        <v>277</v>
      </c>
      <c r="C15" s="74">
        <f>C4*340</f>
        <v>4318000</v>
      </c>
      <c r="D15" s="35" t="s">
        <v>194</v>
      </c>
      <c r="F15" s="33"/>
    </row>
    <row r="16" spans="1:6" s="6" customFormat="1" ht="20.25" customHeight="1" x14ac:dyDescent="0.25">
      <c r="A16" s="35">
        <v>6</v>
      </c>
      <c r="B16" s="36" t="s">
        <v>336</v>
      </c>
      <c r="C16" s="74">
        <f>C6*340</f>
        <v>1700000</v>
      </c>
      <c r="D16" s="35" t="s">
        <v>203</v>
      </c>
      <c r="F16" s="33"/>
    </row>
    <row r="17" spans="1:6" s="6" customFormat="1" ht="20.25" customHeight="1" x14ac:dyDescent="0.25">
      <c r="A17" s="35">
        <v>8</v>
      </c>
      <c r="B17" s="36" t="s">
        <v>280</v>
      </c>
      <c r="C17" s="74">
        <f>C7*340</f>
        <v>10200000</v>
      </c>
      <c r="D17" s="35" t="s">
        <v>193</v>
      </c>
      <c r="F17" s="33"/>
    </row>
    <row r="18" spans="1:6" s="6" customFormat="1" ht="20.25" customHeight="1" x14ac:dyDescent="0.25">
      <c r="A18" s="35">
        <v>9</v>
      </c>
      <c r="B18" s="36" t="s">
        <v>281</v>
      </c>
      <c r="C18" s="74">
        <f>C8*340/1000</f>
        <v>30600</v>
      </c>
      <c r="D18" s="35" t="s">
        <v>213</v>
      </c>
      <c r="F18" s="33"/>
    </row>
    <row r="19" spans="1:6" ht="21.75" customHeight="1" x14ac:dyDescent="0.25">
      <c r="A19" s="34" t="s">
        <v>95</v>
      </c>
      <c r="B19" s="419" t="s">
        <v>282</v>
      </c>
      <c r="C19" s="422"/>
      <c r="D19" s="422"/>
    </row>
    <row r="20" spans="1:6" s="6" customFormat="1" ht="33" customHeight="1" x14ac:dyDescent="0.25">
      <c r="A20" s="35">
        <v>1</v>
      </c>
      <c r="B20" s="36" t="s">
        <v>283</v>
      </c>
      <c r="C20" s="74">
        <f>Assump!C4</f>
        <v>70</v>
      </c>
      <c r="D20" s="35" t="s">
        <v>201</v>
      </c>
      <c r="F20" s="33"/>
    </row>
    <row r="21" spans="1:6" s="6" customFormat="1" ht="21" customHeight="1" x14ac:dyDescent="0.25">
      <c r="A21" s="35">
        <v>2</v>
      </c>
      <c r="B21" s="36" t="s">
        <v>409</v>
      </c>
      <c r="C21" s="74">
        <f>'Det Assump'!C62</f>
        <v>2</v>
      </c>
      <c r="D21" s="35" t="s">
        <v>201</v>
      </c>
      <c r="F21" s="33"/>
    </row>
    <row r="22" spans="1:6" s="6" customFormat="1" ht="21" customHeight="1" x14ac:dyDescent="0.25">
      <c r="A22" s="35">
        <v>3</v>
      </c>
      <c r="B22" s="36" t="s">
        <v>189</v>
      </c>
      <c r="C22" s="74">
        <f>'Det Assump'!C63</f>
        <v>9.9999999999999978E-2</v>
      </c>
      <c r="D22" s="35"/>
      <c r="F22" s="33"/>
    </row>
    <row r="23" spans="1:6" s="6" customFormat="1" ht="21" customHeight="1" x14ac:dyDescent="0.25">
      <c r="A23" s="35">
        <v>4</v>
      </c>
      <c r="B23" s="36" t="s">
        <v>285</v>
      </c>
      <c r="C23" s="74">
        <f>Assump!C11</f>
        <v>750</v>
      </c>
      <c r="D23" s="35" t="s">
        <v>320</v>
      </c>
      <c r="F23" s="33"/>
    </row>
    <row r="24" spans="1:6" s="6" customFormat="1" ht="36" customHeight="1" x14ac:dyDescent="0.25">
      <c r="A24" s="35">
        <v>5</v>
      </c>
      <c r="B24" s="36" t="s">
        <v>550</v>
      </c>
      <c r="C24" s="74">
        <f>Assump!C12</f>
        <v>600</v>
      </c>
      <c r="D24" s="35" t="s">
        <v>320</v>
      </c>
      <c r="F24" s="33"/>
    </row>
    <row r="25" spans="1:6" s="6" customFormat="1" ht="36" customHeight="1" x14ac:dyDescent="0.25">
      <c r="A25" s="35">
        <v>6</v>
      </c>
      <c r="B25" s="36" t="s">
        <v>449</v>
      </c>
      <c r="C25" s="74">
        <v>0</v>
      </c>
      <c r="D25" s="35" t="s">
        <v>320</v>
      </c>
      <c r="F25" s="33"/>
    </row>
    <row r="26" spans="1:6" s="6" customFormat="1" ht="21" customHeight="1" x14ac:dyDescent="0.25">
      <c r="A26" s="35">
        <v>8</v>
      </c>
      <c r="B26" s="36" t="s">
        <v>288</v>
      </c>
      <c r="C26" s="74">
        <f>Assump!C16</f>
        <v>1</v>
      </c>
      <c r="D26" s="35" t="s">
        <v>215</v>
      </c>
      <c r="F26" s="33"/>
    </row>
    <row r="27" spans="1:6" s="6" customFormat="1" ht="21" customHeight="1" x14ac:dyDescent="0.25">
      <c r="A27" s="35">
        <v>9</v>
      </c>
      <c r="B27" s="36" t="s">
        <v>289</v>
      </c>
      <c r="C27" s="74">
        <f>Assump!C15</f>
        <v>10</v>
      </c>
      <c r="D27" s="35" t="s">
        <v>337</v>
      </c>
      <c r="F27" s="33"/>
    </row>
    <row r="28" spans="1:6" s="6" customFormat="1" ht="21" customHeight="1" x14ac:dyDescent="0.25">
      <c r="A28" s="423"/>
      <c r="B28" s="424"/>
      <c r="C28" s="424"/>
      <c r="D28" s="424"/>
      <c r="E28" s="424"/>
      <c r="F28" s="33"/>
    </row>
    <row r="29" spans="1:6" ht="21" customHeight="1" x14ac:dyDescent="0.25">
      <c r="A29" s="34" t="s">
        <v>100</v>
      </c>
      <c r="B29" s="419" t="s">
        <v>290</v>
      </c>
      <c r="C29" s="422"/>
      <c r="D29" s="422"/>
    </row>
    <row r="30" spans="1:6" s="6" customFormat="1" ht="21" customHeight="1" x14ac:dyDescent="0.25">
      <c r="A30" s="35" t="s">
        <v>97</v>
      </c>
      <c r="B30" s="31" t="s">
        <v>112</v>
      </c>
      <c r="C30" s="37"/>
      <c r="D30" s="19"/>
      <c r="F30" s="33"/>
    </row>
    <row r="31" spans="1:6" s="6" customFormat="1" ht="21" customHeight="1" x14ac:dyDescent="0.25">
      <c r="A31" s="71">
        <v>1</v>
      </c>
      <c r="B31" s="70" t="s">
        <v>543</v>
      </c>
      <c r="C31" s="74">
        <f>'CoP-MoF'!C4</f>
        <v>10000000</v>
      </c>
      <c r="D31" s="35" t="s">
        <v>202</v>
      </c>
      <c r="F31" s="33"/>
    </row>
    <row r="32" spans="1:6" s="6" customFormat="1" ht="21" customHeight="1" x14ac:dyDescent="0.25">
      <c r="A32" s="71">
        <v>2</v>
      </c>
      <c r="B32" s="70" t="s">
        <v>451</v>
      </c>
      <c r="C32" s="74">
        <f>'CoP-MoF'!C5</f>
        <v>75582416</v>
      </c>
      <c r="D32" s="35" t="s">
        <v>202</v>
      </c>
      <c r="F32" s="33"/>
    </row>
    <row r="33" spans="1:6" s="6" customFormat="1" ht="21" customHeight="1" x14ac:dyDescent="0.25">
      <c r="A33" s="71">
        <v>3</v>
      </c>
      <c r="B33" s="70" t="s">
        <v>71</v>
      </c>
      <c r="C33" s="74">
        <f>'CoP-MoF'!C6</f>
        <v>182545155.52000001</v>
      </c>
      <c r="D33" s="35" t="s">
        <v>202</v>
      </c>
      <c r="F33" s="33"/>
    </row>
    <row r="34" spans="1:6" s="6" customFormat="1" ht="21" customHeight="1" x14ac:dyDescent="0.25">
      <c r="A34" s="71">
        <v>4</v>
      </c>
      <c r="B34" s="70" t="s">
        <v>116</v>
      </c>
      <c r="C34" s="74">
        <f>'CoP-MoF'!C7</f>
        <v>600000</v>
      </c>
      <c r="D34" s="35" t="s">
        <v>202</v>
      </c>
      <c r="F34" s="33"/>
    </row>
    <row r="35" spans="1:6" s="6" customFormat="1" ht="21" customHeight="1" x14ac:dyDescent="0.25">
      <c r="A35" s="71">
        <v>5</v>
      </c>
      <c r="B35" s="70" t="s">
        <v>490</v>
      </c>
      <c r="C35" s="74">
        <f>'CoP-MoF'!C8</f>
        <v>1201500</v>
      </c>
      <c r="D35" s="35" t="s">
        <v>202</v>
      </c>
      <c r="F35" s="33"/>
    </row>
    <row r="36" spans="1:6" s="6" customFormat="1" ht="21" customHeight="1" x14ac:dyDescent="0.25">
      <c r="A36" s="71">
        <v>6</v>
      </c>
      <c r="B36" s="70" t="s">
        <v>117</v>
      </c>
      <c r="C36" s="74">
        <f>'CoP-MoF'!C11</f>
        <v>341428.48000001907</v>
      </c>
      <c r="D36" s="35"/>
      <c r="F36" s="33"/>
    </row>
    <row r="37" spans="1:6" s="6" customFormat="1" ht="21" customHeight="1" x14ac:dyDescent="0.25">
      <c r="A37" s="71">
        <v>7</v>
      </c>
      <c r="B37" s="70" t="s">
        <v>259</v>
      </c>
      <c r="C37" s="74">
        <f>'CoP-MoF'!C12</f>
        <v>0</v>
      </c>
      <c r="D37" s="35" t="s">
        <v>202</v>
      </c>
      <c r="F37" s="33"/>
    </row>
    <row r="38" spans="1:6" s="6" customFormat="1" ht="21" customHeight="1" x14ac:dyDescent="0.25">
      <c r="A38" s="35"/>
      <c r="B38" s="32" t="s">
        <v>316</v>
      </c>
      <c r="C38" s="75">
        <f>SUM(C31:C37)</f>
        <v>270270500</v>
      </c>
      <c r="D38" s="35" t="s">
        <v>202</v>
      </c>
      <c r="F38" s="33"/>
    </row>
    <row r="39" spans="1:6" s="6" customFormat="1" ht="21" customHeight="1" x14ac:dyDescent="0.25">
      <c r="A39" s="35" t="s">
        <v>98</v>
      </c>
      <c r="B39" s="31" t="s">
        <v>294</v>
      </c>
      <c r="C39" s="74"/>
      <c r="D39" s="35" t="s">
        <v>202</v>
      </c>
      <c r="F39" s="33"/>
    </row>
    <row r="40" spans="1:6" s="6" customFormat="1" ht="21" customHeight="1" x14ac:dyDescent="0.25">
      <c r="A40" s="35">
        <v>1</v>
      </c>
      <c r="B40" s="70" t="s">
        <v>387</v>
      </c>
      <c r="C40" s="74">
        <f>'CoP-MoF'!C15</f>
        <v>89000000</v>
      </c>
      <c r="D40" s="35" t="s">
        <v>202</v>
      </c>
      <c r="F40" s="33"/>
    </row>
    <row r="41" spans="1:6" s="6" customFormat="1" ht="21" customHeight="1" x14ac:dyDescent="0.25">
      <c r="A41" s="35">
        <v>2</v>
      </c>
      <c r="B41" s="36" t="s">
        <v>296</v>
      </c>
      <c r="C41" s="74">
        <f>'CoP-MoF'!C18</f>
        <v>200000000</v>
      </c>
      <c r="D41" s="35" t="s">
        <v>202</v>
      </c>
      <c r="F41" s="33"/>
    </row>
    <row r="42" spans="1:6" s="6" customFormat="1" ht="21" customHeight="1" x14ac:dyDescent="0.25">
      <c r="A42" s="35"/>
      <c r="B42" s="36" t="s">
        <v>115</v>
      </c>
      <c r="C42" s="74">
        <f>'CoP-MoF'!C19</f>
        <v>0</v>
      </c>
      <c r="D42" s="35" t="s">
        <v>202</v>
      </c>
      <c r="F42" s="33"/>
    </row>
    <row r="43" spans="1:6" s="6" customFormat="1" ht="21" customHeight="1" x14ac:dyDescent="0.25">
      <c r="A43" s="35"/>
      <c r="B43" s="32" t="s">
        <v>297</v>
      </c>
      <c r="C43" s="75">
        <f>SUM(C40:C42)-C42</f>
        <v>289000000</v>
      </c>
      <c r="D43" s="35" t="s">
        <v>202</v>
      </c>
      <c r="F43" s="33"/>
    </row>
    <row r="44" spans="1:6" ht="21" customHeight="1" x14ac:dyDescent="0.25">
      <c r="A44" s="34" t="s">
        <v>102</v>
      </c>
      <c r="B44" s="419" t="s">
        <v>338</v>
      </c>
      <c r="C44" s="422"/>
      <c r="D44" s="422"/>
    </row>
    <row r="45" spans="1:6" s="6" customFormat="1" ht="21" customHeight="1" x14ac:dyDescent="0.25">
      <c r="A45" s="35">
        <v>1</v>
      </c>
      <c r="B45" s="44" t="s">
        <v>299</v>
      </c>
      <c r="C45" s="74">
        <f>C38</f>
        <v>270270500</v>
      </c>
      <c r="D45" s="35" t="s">
        <v>202</v>
      </c>
      <c r="F45" s="33"/>
    </row>
    <row r="46" spans="1:6" s="6" customFormat="1" ht="21" customHeight="1" x14ac:dyDescent="0.25">
      <c r="A46" s="35">
        <v>2</v>
      </c>
      <c r="B46" s="36" t="s">
        <v>300</v>
      </c>
      <c r="C46" s="74">
        <f>C42</f>
        <v>0</v>
      </c>
      <c r="D46" s="35" t="s">
        <v>202</v>
      </c>
      <c r="F46" s="33"/>
    </row>
    <row r="47" spans="1:6" s="6" customFormat="1" ht="21" customHeight="1" x14ac:dyDescent="0.25">
      <c r="A47" s="35">
        <v>3</v>
      </c>
      <c r="B47" s="36" t="s">
        <v>302</v>
      </c>
      <c r="C47" s="74">
        <f>C45-C46</f>
        <v>270270500</v>
      </c>
      <c r="D47" s="35" t="s">
        <v>202</v>
      </c>
      <c r="F47" s="33"/>
    </row>
    <row r="48" spans="1:6" s="6" customFormat="1" ht="21" customHeight="1" x14ac:dyDescent="0.25">
      <c r="A48" s="35"/>
      <c r="B48" s="32" t="s">
        <v>303</v>
      </c>
      <c r="C48" s="74"/>
      <c r="D48" s="35" t="s">
        <v>202</v>
      </c>
      <c r="F48" s="33"/>
    </row>
    <row r="49" spans="1:6" s="6" customFormat="1" ht="21" customHeight="1" x14ac:dyDescent="0.25">
      <c r="A49" s="35">
        <v>1</v>
      </c>
      <c r="B49" s="36" t="s">
        <v>51</v>
      </c>
      <c r="C49" s="74">
        <f>Assump!F4</f>
        <v>122500000</v>
      </c>
      <c r="D49" s="35" t="s">
        <v>202</v>
      </c>
      <c r="F49" s="33"/>
    </row>
    <row r="50" spans="1:6" s="6" customFormat="1" ht="21" customHeight="1" x14ac:dyDescent="0.25">
      <c r="A50" s="35">
        <v>3</v>
      </c>
      <c r="B50" s="36" t="s">
        <v>305</v>
      </c>
      <c r="C50" s="74">
        <f>Assump!F5</f>
        <v>21000000</v>
      </c>
      <c r="D50" s="35" t="s">
        <v>202</v>
      </c>
      <c r="F50" s="33"/>
    </row>
    <row r="51" spans="1:6" s="6" customFormat="1" ht="21" customHeight="1" x14ac:dyDescent="0.25">
      <c r="A51" s="35">
        <v>4</v>
      </c>
      <c r="B51" s="36" t="s">
        <v>306</v>
      </c>
      <c r="C51" s="74">
        <f>Assump!F6</f>
        <v>3149999.9999999991</v>
      </c>
      <c r="D51" s="35" t="s">
        <v>202</v>
      </c>
      <c r="F51" s="33"/>
    </row>
    <row r="52" spans="1:6" s="6" customFormat="1" ht="21" customHeight="1" x14ac:dyDescent="0.25">
      <c r="A52" s="35">
        <v>6</v>
      </c>
      <c r="B52" s="36" t="s">
        <v>75</v>
      </c>
      <c r="C52" s="74">
        <f>Assump!F7</f>
        <v>146650000</v>
      </c>
      <c r="D52" s="35" t="s">
        <v>202</v>
      </c>
      <c r="F52" s="33"/>
    </row>
    <row r="53" spans="1:6" s="6" customFormat="1" ht="21" customHeight="1" x14ac:dyDescent="0.25">
      <c r="A53" s="35">
        <v>7</v>
      </c>
      <c r="B53" s="36" t="s">
        <v>56</v>
      </c>
      <c r="C53" s="74">
        <f>Assump!F22</f>
        <v>51233000</v>
      </c>
      <c r="D53" s="35" t="s">
        <v>202</v>
      </c>
      <c r="F53" s="33"/>
    </row>
    <row r="54" spans="1:6" s="6" customFormat="1" ht="21" customHeight="1" x14ac:dyDescent="0.25">
      <c r="A54" s="35">
        <v>8</v>
      </c>
      <c r="B54" s="36" t="s">
        <v>59</v>
      </c>
      <c r="C54" s="74">
        <f>Assump!F35</f>
        <v>23373354.665600002</v>
      </c>
      <c r="D54" s="35" t="s">
        <v>202</v>
      </c>
      <c r="F54" s="33"/>
    </row>
    <row r="55" spans="1:6" s="6" customFormat="1" ht="21" customHeight="1" x14ac:dyDescent="0.25">
      <c r="A55" s="35">
        <v>9</v>
      </c>
      <c r="B55" s="36" t="s">
        <v>61</v>
      </c>
      <c r="C55" s="74">
        <f>C52-(C53+C54)</f>
        <v>72043645.334399998</v>
      </c>
      <c r="D55" s="35" t="s">
        <v>202</v>
      </c>
      <c r="F55" s="33"/>
    </row>
  </sheetData>
  <customSheetViews>
    <customSheetView guid="{22475485-DA09-46DB-978D-BB94CE1E5597}" topLeftCell="A35">
      <selection activeCell="B40" sqref="B40"/>
      <pageMargins left="0.7" right="0.7" top="0.75" bottom="0.75" header="0.3" footer="0.3"/>
      <pageSetup paperSize="9" orientation="portrait" verticalDpi="0" copies="0" r:id="rId1"/>
    </customSheetView>
  </customSheetViews>
  <mergeCells count="7">
    <mergeCell ref="B44:D44"/>
    <mergeCell ref="A1:D1"/>
    <mergeCell ref="B3:D3"/>
    <mergeCell ref="B10:D10"/>
    <mergeCell ref="B19:D19"/>
    <mergeCell ref="A28:E28"/>
    <mergeCell ref="B29:D29"/>
  </mergeCells>
  <pageMargins left="0.7" right="0.7" top="0.75" bottom="0.75" header="0.3" footer="0.3"/>
  <pageSetup paperSize="9" orientation="portrait" verticalDpi="0" copies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L37"/>
  <sheetViews>
    <sheetView topLeftCell="A7" workbookViewId="0">
      <selection activeCell="A22" sqref="A22:L37"/>
    </sheetView>
  </sheetViews>
  <sheetFormatPr defaultColWidth="32.28515625" defaultRowHeight="15" x14ac:dyDescent="0.25"/>
  <cols>
    <col min="1" max="1" width="30" style="217" customWidth="1"/>
    <col min="2" max="12" width="11.7109375" style="217" customWidth="1"/>
    <col min="13" max="116" width="14" style="217" customWidth="1"/>
    <col min="117" max="16384" width="32.28515625" style="217"/>
  </cols>
  <sheetData>
    <row r="3" spans="1:12" x14ac:dyDescent="0.25">
      <c r="A3" s="309" t="s">
        <v>452</v>
      </c>
      <c r="B3" s="83" t="s">
        <v>468</v>
      </c>
      <c r="C3" s="83" t="s">
        <v>635</v>
      </c>
      <c r="D3" s="83"/>
      <c r="E3" s="83" t="s">
        <v>469</v>
      </c>
      <c r="G3" s="83"/>
      <c r="H3" s="83" t="s">
        <v>470</v>
      </c>
    </row>
    <row r="4" spans="1:12" x14ac:dyDescent="0.25">
      <c r="A4" s="262" t="s">
        <v>471</v>
      </c>
      <c r="B4" s="336">
        <f>'CoP-MoF'!C5/A</f>
        <v>755.82416000000001</v>
      </c>
      <c r="C4" s="335">
        <f>('CoP-MoF'!$C$9+'CoP-MoF'!$C$10+'CoP-MoF'!$C$11)/A*B4/$B$8</f>
        <v>53.638963866955912</v>
      </c>
      <c r="D4" s="335"/>
      <c r="E4" s="336">
        <f>B4+C4+D4</f>
        <v>809.46312386695593</v>
      </c>
      <c r="G4" s="84"/>
      <c r="H4" s="84">
        <v>0.1</v>
      </c>
    </row>
    <row r="5" spans="1:12" x14ac:dyDescent="0.25">
      <c r="A5" s="217" t="s">
        <v>472</v>
      </c>
      <c r="B5" s="336">
        <f>'CoP-MoF'!C6/A</f>
        <v>1825.4515552</v>
      </c>
      <c r="C5" s="335">
        <f>('CoP-MoF'!$C$9+'CoP-MoF'!$C$10+'CoP-MoF'!$C$11)/A*B5/$B$8</f>
        <v>129.54776413901783</v>
      </c>
      <c r="D5" s="335"/>
      <c r="E5" s="336">
        <f t="shared" ref="E5:E7" si="0">B5+C5+D5</f>
        <v>1954.9993193390178</v>
      </c>
      <c r="G5" s="84"/>
      <c r="H5" s="84">
        <v>0.15</v>
      </c>
    </row>
    <row r="6" spans="1:12" x14ac:dyDescent="0.25">
      <c r="A6" s="217" t="s">
        <v>484</v>
      </c>
      <c r="B6" s="335">
        <f>'CoP-MoF'!C7/A</f>
        <v>6</v>
      </c>
      <c r="C6" s="335">
        <f>('CoP-MoF'!$C$9+'CoP-MoF'!$C$10+'CoP-MoF'!$C$11)/A*B6/$B$8</f>
        <v>0.42580510154866635</v>
      </c>
      <c r="D6" s="335"/>
      <c r="E6" s="336">
        <f t="shared" si="0"/>
        <v>6.4258051015486668</v>
      </c>
      <c r="G6" s="84"/>
      <c r="H6" s="84">
        <v>0.15</v>
      </c>
    </row>
    <row r="7" spans="1:12" x14ac:dyDescent="0.25">
      <c r="A7" s="217" t="s">
        <v>755</v>
      </c>
      <c r="B7" s="335">
        <f>'CoP-MoF'!C4/A</f>
        <v>100</v>
      </c>
      <c r="C7" s="335">
        <f>('CoP-MoF'!$C$9+'CoP-MoF'!$C$10+'CoP-MoF'!$C$11)/A*B7/$B$8</f>
        <v>7.0967516924777732</v>
      </c>
      <c r="D7" s="335"/>
      <c r="E7" s="336">
        <f t="shared" si="0"/>
        <v>107.09675169247777</v>
      </c>
      <c r="G7" s="84"/>
      <c r="H7" s="84">
        <v>0.15</v>
      </c>
    </row>
    <row r="8" spans="1:12" x14ac:dyDescent="0.25">
      <c r="A8" s="85" t="s">
        <v>469</v>
      </c>
      <c r="B8" s="342">
        <f>SUM(B4:B7)</f>
        <v>2687.2757151999999</v>
      </c>
      <c r="C8" s="343">
        <f>SUM(C4:C7)</f>
        <v>190.70928480000018</v>
      </c>
      <c r="D8" s="343"/>
      <c r="E8" s="342">
        <f>SUM(E4:E7)</f>
        <v>2877.9850000000001</v>
      </c>
    </row>
    <row r="12" spans="1:12" ht="24.75" hidden="1" customHeight="1" x14ac:dyDescent="0.25">
      <c r="A12" s="427" t="s">
        <v>414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</row>
    <row r="13" spans="1:12" s="276" customFormat="1" ht="35.25" hidden="1" customHeight="1" x14ac:dyDescent="0.25">
      <c r="A13" s="155" t="s">
        <v>133</v>
      </c>
      <c r="B13" s="155">
        <v>2025</v>
      </c>
      <c r="C13" s="155">
        <f t="shared" ref="C13:L13" si="1">B13+1</f>
        <v>2026</v>
      </c>
      <c r="D13" s="155">
        <f t="shared" si="1"/>
        <v>2027</v>
      </c>
      <c r="E13" s="155">
        <f t="shared" si="1"/>
        <v>2028</v>
      </c>
      <c r="F13" s="155">
        <f t="shared" si="1"/>
        <v>2029</v>
      </c>
      <c r="G13" s="155">
        <f t="shared" si="1"/>
        <v>2030</v>
      </c>
      <c r="H13" s="155">
        <f t="shared" si="1"/>
        <v>2031</v>
      </c>
      <c r="I13" s="155">
        <f t="shared" si="1"/>
        <v>2032</v>
      </c>
      <c r="J13" s="155">
        <f t="shared" si="1"/>
        <v>2033</v>
      </c>
      <c r="K13" s="155">
        <f t="shared" si="1"/>
        <v>2034</v>
      </c>
      <c r="L13" s="155">
        <f t="shared" si="1"/>
        <v>2035</v>
      </c>
    </row>
    <row r="14" spans="1:12" ht="17.25" hidden="1" customHeight="1" x14ac:dyDescent="0.25">
      <c r="A14" s="284" t="s">
        <v>69</v>
      </c>
      <c r="B14" s="337">
        <f>E4</f>
        <v>809.46312386695593</v>
      </c>
      <c r="C14" s="337">
        <f t="shared" ref="C14:L14" si="2">B14</f>
        <v>809.46312386695593</v>
      </c>
      <c r="D14" s="337">
        <f t="shared" si="2"/>
        <v>809.46312386695593</v>
      </c>
      <c r="E14" s="337">
        <f t="shared" si="2"/>
        <v>809.46312386695593</v>
      </c>
      <c r="F14" s="337">
        <f t="shared" si="2"/>
        <v>809.46312386695593</v>
      </c>
      <c r="G14" s="337">
        <f t="shared" si="2"/>
        <v>809.46312386695593</v>
      </c>
      <c r="H14" s="337">
        <f t="shared" si="2"/>
        <v>809.46312386695593</v>
      </c>
      <c r="I14" s="337">
        <f t="shared" si="2"/>
        <v>809.46312386695593</v>
      </c>
      <c r="J14" s="337">
        <f t="shared" si="2"/>
        <v>809.46312386695593</v>
      </c>
      <c r="K14" s="337">
        <f t="shared" si="2"/>
        <v>809.46312386695593</v>
      </c>
      <c r="L14" s="337">
        <f t="shared" si="2"/>
        <v>809.46312386695593</v>
      </c>
    </row>
    <row r="15" spans="1:12" ht="17.25" hidden="1" customHeight="1" x14ac:dyDescent="0.25">
      <c r="A15" s="284" t="s">
        <v>540</v>
      </c>
      <c r="B15" s="337">
        <f t="shared" ref="B15:J15" si="3">(B14*3.17%)</f>
        <v>25.659981026582503</v>
      </c>
      <c r="C15" s="337">
        <f t="shared" si="3"/>
        <v>25.659981026582503</v>
      </c>
      <c r="D15" s="337">
        <f t="shared" si="3"/>
        <v>25.659981026582503</v>
      </c>
      <c r="E15" s="337">
        <f t="shared" si="3"/>
        <v>25.659981026582503</v>
      </c>
      <c r="F15" s="337">
        <f t="shared" si="3"/>
        <v>25.659981026582503</v>
      </c>
      <c r="G15" s="337">
        <f t="shared" si="3"/>
        <v>25.659981026582503</v>
      </c>
      <c r="H15" s="337">
        <f t="shared" si="3"/>
        <v>25.659981026582503</v>
      </c>
      <c r="I15" s="337">
        <f t="shared" si="3"/>
        <v>25.659981026582503</v>
      </c>
      <c r="J15" s="337">
        <f t="shared" si="3"/>
        <v>25.659981026582503</v>
      </c>
      <c r="K15" s="337">
        <f t="shared" ref="K15:L15" si="4">(K14*3.17%)</f>
        <v>25.659981026582503</v>
      </c>
      <c r="L15" s="337">
        <f t="shared" si="4"/>
        <v>25.659981026582503</v>
      </c>
    </row>
    <row r="16" spans="1:12" ht="17.25" hidden="1" customHeight="1" x14ac:dyDescent="0.25">
      <c r="A16" s="284" t="s">
        <v>71</v>
      </c>
      <c r="B16" s="337">
        <f>E5</f>
        <v>1954.9993193390178</v>
      </c>
      <c r="C16" s="337">
        <f t="shared" ref="C16:L16" si="5">B16</f>
        <v>1954.9993193390178</v>
      </c>
      <c r="D16" s="337">
        <f t="shared" si="5"/>
        <v>1954.9993193390178</v>
      </c>
      <c r="E16" s="337">
        <f t="shared" si="5"/>
        <v>1954.9993193390178</v>
      </c>
      <c r="F16" s="337">
        <f t="shared" si="5"/>
        <v>1954.9993193390178</v>
      </c>
      <c r="G16" s="337">
        <f t="shared" si="5"/>
        <v>1954.9993193390178</v>
      </c>
      <c r="H16" s="337">
        <f t="shared" si="5"/>
        <v>1954.9993193390178</v>
      </c>
      <c r="I16" s="337">
        <f t="shared" si="5"/>
        <v>1954.9993193390178</v>
      </c>
      <c r="J16" s="337">
        <f t="shared" si="5"/>
        <v>1954.9993193390178</v>
      </c>
      <c r="K16" s="337">
        <f t="shared" si="5"/>
        <v>1954.9993193390178</v>
      </c>
      <c r="L16" s="337">
        <f t="shared" si="5"/>
        <v>1954.9993193390178</v>
      </c>
    </row>
    <row r="17" spans="1:12" ht="17.25" hidden="1" customHeight="1" x14ac:dyDescent="0.25">
      <c r="A17" s="284" t="s">
        <v>541</v>
      </c>
      <c r="B17" s="337">
        <f t="shared" ref="B17:J17" si="6">(B16*6.33%)</f>
        <v>123.75145691415982</v>
      </c>
      <c r="C17" s="337">
        <f t="shared" si="6"/>
        <v>123.75145691415982</v>
      </c>
      <c r="D17" s="337">
        <f t="shared" si="6"/>
        <v>123.75145691415982</v>
      </c>
      <c r="E17" s="337">
        <f t="shared" si="6"/>
        <v>123.75145691415982</v>
      </c>
      <c r="F17" s="337">
        <f t="shared" si="6"/>
        <v>123.75145691415982</v>
      </c>
      <c r="G17" s="337">
        <f t="shared" si="6"/>
        <v>123.75145691415982</v>
      </c>
      <c r="H17" s="337">
        <f t="shared" si="6"/>
        <v>123.75145691415982</v>
      </c>
      <c r="I17" s="337">
        <f t="shared" si="6"/>
        <v>123.75145691415982</v>
      </c>
      <c r="J17" s="337">
        <f t="shared" si="6"/>
        <v>123.75145691415982</v>
      </c>
      <c r="K17" s="337">
        <f t="shared" ref="K17:L17" si="7">(K16*6.33%)</f>
        <v>123.75145691415982</v>
      </c>
      <c r="L17" s="337">
        <f t="shared" si="7"/>
        <v>123.75145691415982</v>
      </c>
    </row>
    <row r="18" spans="1:12" ht="17.25" hidden="1" customHeight="1" x14ac:dyDescent="0.25">
      <c r="A18" s="284" t="s">
        <v>485</v>
      </c>
      <c r="B18" s="338">
        <f>E6</f>
        <v>6.4258051015486668</v>
      </c>
      <c r="C18" s="338">
        <f t="shared" ref="C18:L18" si="8">B18</f>
        <v>6.4258051015486668</v>
      </c>
      <c r="D18" s="338">
        <f t="shared" si="8"/>
        <v>6.4258051015486668</v>
      </c>
      <c r="E18" s="338">
        <f t="shared" si="8"/>
        <v>6.4258051015486668</v>
      </c>
      <c r="F18" s="338">
        <f t="shared" si="8"/>
        <v>6.4258051015486668</v>
      </c>
      <c r="G18" s="338">
        <f t="shared" si="8"/>
        <v>6.4258051015486668</v>
      </c>
      <c r="H18" s="338">
        <f t="shared" si="8"/>
        <v>6.4258051015486668</v>
      </c>
      <c r="I18" s="338">
        <f t="shared" si="8"/>
        <v>6.4258051015486668</v>
      </c>
      <c r="J18" s="338">
        <f t="shared" si="8"/>
        <v>6.4258051015486668</v>
      </c>
      <c r="K18" s="338">
        <f t="shared" si="8"/>
        <v>6.4258051015486668</v>
      </c>
      <c r="L18" s="338">
        <f t="shared" si="8"/>
        <v>6.4258051015486668</v>
      </c>
    </row>
    <row r="19" spans="1:12" ht="17.25" hidden="1" customHeight="1" x14ac:dyDescent="0.25">
      <c r="A19" s="284" t="s">
        <v>542</v>
      </c>
      <c r="B19" s="337">
        <f t="shared" ref="B19:J19" si="9">B18*9.5%</f>
        <v>0.6104514846471234</v>
      </c>
      <c r="C19" s="337">
        <f t="shared" si="9"/>
        <v>0.6104514846471234</v>
      </c>
      <c r="D19" s="337">
        <f t="shared" si="9"/>
        <v>0.6104514846471234</v>
      </c>
      <c r="E19" s="337">
        <f t="shared" si="9"/>
        <v>0.6104514846471234</v>
      </c>
      <c r="F19" s="337">
        <f t="shared" si="9"/>
        <v>0.6104514846471234</v>
      </c>
      <c r="G19" s="337">
        <f t="shared" si="9"/>
        <v>0.6104514846471234</v>
      </c>
      <c r="H19" s="337">
        <f t="shared" si="9"/>
        <v>0.6104514846471234</v>
      </c>
      <c r="I19" s="337">
        <f t="shared" si="9"/>
        <v>0.6104514846471234</v>
      </c>
      <c r="J19" s="337">
        <f t="shared" si="9"/>
        <v>0.6104514846471234</v>
      </c>
      <c r="K19" s="337">
        <f t="shared" ref="K19:L19" si="10">K18*9.5%</f>
        <v>0.6104514846471234</v>
      </c>
      <c r="L19" s="337">
        <f t="shared" si="10"/>
        <v>0.6104514846471234</v>
      </c>
    </row>
    <row r="20" spans="1:12" s="309" customFormat="1" ht="17.25" hidden="1" customHeight="1" x14ac:dyDescent="0.25">
      <c r="A20" s="198" t="s">
        <v>483</v>
      </c>
      <c r="B20" s="339">
        <f t="shared" ref="B20:J20" si="11">B15+B17+B19</f>
        <v>150.02188942538945</v>
      </c>
      <c r="C20" s="339">
        <f t="shared" si="11"/>
        <v>150.02188942538945</v>
      </c>
      <c r="D20" s="339">
        <f t="shared" si="11"/>
        <v>150.02188942538945</v>
      </c>
      <c r="E20" s="339">
        <f t="shared" si="11"/>
        <v>150.02188942538945</v>
      </c>
      <c r="F20" s="339">
        <f t="shared" si="11"/>
        <v>150.02188942538945</v>
      </c>
      <c r="G20" s="339">
        <f t="shared" si="11"/>
        <v>150.02188942538945</v>
      </c>
      <c r="H20" s="339">
        <f t="shared" si="11"/>
        <v>150.02188942538945</v>
      </c>
      <c r="I20" s="339">
        <f t="shared" si="11"/>
        <v>150.02188942538945</v>
      </c>
      <c r="J20" s="339">
        <f t="shared" si="11"/>
        <v>150.02188942538945</v>
      </c>
      <c r="K20" s="339">
        <f t="shared" ref="K20:L20" si="12">K15+K17+K19</f>
        <v>150.02188942538945</v>
      </c>
      <c r="L20" s="339">
        <f t="shared" si="12"/>
        <v>150.02188942538945</v>
      </c>
    </row>
    <row r="21" spans="1:12" x14ac:dyDescent="0.25">
      <c r="A21" s="425"/>
      <c r="B21" s="426"/>
      <c r="C21" s="426"/>
      <c r="D21" s="426"/>
      <c r="E21" s="426"/>
      <c r="F21" s="426"/>
      <c r="G21" s="426"/>
      <c r="H21" s="426"/>
      <c r="I21" s="426"/>
      <c r="J21" s="426"/>
      <c r="K21" s="426"/>
    </row>
    <row r="22" spans="1:12" ht="22.5" customHeight="1" x14ac:dyDescent="0.25">
      <c r="A22" s="427" t="s">
        <v>793</v>
      </c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L22" s="428"/>
    </row>
    <row r="23" spans="1:12" s="276" customFormat="1" ht="24" customHeight="1" x14ac:dyDescent="0.25">
      <c r="A23" s="155" t="s">
        <v>794</v>
      </c>
      <c r="B23" s="208">
        <v>2025</v>
      </c>
      <c r="C23" s="208">
        <f t="shared" ref="C23:L23" si="13">B23+1</f>
        <v>2026</v>
      </c>
      <c r="D23" s="208">
        <f t="shared" si="13"/>
        <v>2027</v>
      </c>
      <c r="E23" s="208">
        <f t="shared" si="13"/>
        <v>2028</v>
      </c>
      <c r="F23" s="208">
        <f t="shared" si="13"/>
        <v>2029</v>
      </c>
      <c r="G23" s="208">
        <f t="shared" si="13"/>
        <v>2030</v>
      </c>
      <c r="H23" s="208">
        <f t="shared" si="13"/>
        <v>2031</v>
      </c>
      <c r="I23" s="208">
        <f t="shared" si="13"/>
        <v>2032</v>
      </c>
      <c r="J23" s="208">
        <f t="shared" si="13"/>
        <v>2033</v>
      </c>
      <c r="K23" s="208">
        <f t="shared" si="13"/>
        <v>2034</v>
      </c>
      <c r="L23" s="208">
        <f t="shared" si="13"/>
        <v>2035</v>
      </c>
    </row>
    <row r="24" spans="1:12" s="246" customFormat="1" ht="21" customHeight="1" x14ac:dyDescent="0.25">
      <c r="A24" s="211" t="s">
        <v>69</v>
      </c>
      <c r="B24" s="340">
        <f>E4</f>
        <v>809.46312386695593</v>
      </c>
      <c r="C24" s="340">
        <f t="shared" ref="C24:L24" si="14">(B26)</f>
        <v>728.51681148026034</v>
      </c>
      <c r="D24" s="340">
        <f t="shared" si="14"/>
        <v>655.6651303322343</v>
      </c>
      <c r="E24" s="340">
        <f t="shared" si="14"/>
        <v>590.09861729901081</v>
      </c>
      <c r="F24" s="340">
        <f t="shared" si="14"/>
        <v>531.08875556910971</v>
      </c>
      <c r="G24" s="340">
        <f t="shared" si="14"/>
        <v>477.97988001219875</v>
      </c>
      <c r="H24" s="340">
        <f t="shared" si="14"/>
        <v>430.18189201097886</v>
      </c>
      <c r="I24" s="340">
        <f t="shared" si="14"/>
        <v>387.16370280988099</v>
      </c>
      <c r="J24" s="340">
        <f t="shared" si="14"/>
        <v>348.4473325288929</v>
      </c>
      <c r="K24" s="340">
        <f t="shared" si="14"/>
        <v>313.60259927600362</v>
      </c>
      <c r="L24" s="340">
        <f t="shared" si="14"/>
        <v>282.24233934840328</v>
      </c>
    </row>
    <row r="25" spans="1:12" s="246" customFormat="1" ht="21" customHeight="1" x14ac:dyDescent="0.25">
      <c r="A25" s="211" t="s">
        <v>488</v>
      </c>
      <c r="B25" s="340">
        <f t="shared" ref="B25:J25" si="15">(B24*$H$4)</f>
        <v>80.946312386695595</v>
      </c>
      <c r="C25" s="340">
        <f t="shared" si="15"/>
        <v>72.851681148026032</v>
      </c>
      <c r="D25" s="340">
        <f t="shared" si="15"/>
        <v>65.56651303322343</v>
      </c>
      <c r="E25" s="340">
        <f t="shared" si="15"/>
        <v>59.009861729901083</v>
      </c>
      <c r="F25" s="340">
        <f t="shared" si="15"/>
        <v>53.108875556910974</v>
      </c>
      <c r="G25" s="340">
        <f t="shared" si="15"/>
        <v>47.797988001219878</v>
      </c>
      <c r="H25" s="340">
        <f t="shared" si="15"/>
        <v>43.01818920109789</v>
      </c>
      <c r="I25" s="340">
        <f t="shared" si="15"/>
        <v>38.716370280988102</v>
      </c>
      <c r="J25" s="340">
        <f t="shared" si="15"/>
        <v>34.844733252889291</v>
      </c>
      <c r="K25" s="340">
        <f t="shared" ref="K25" si="16">(K24*$H$4)</f>
        <v>31.360259927600364</v>
      </c>
      <c r="L25" s="340">
        <f t="shared" ref="L25" si="17">(L24*$H$4)</f>
        <v>28.224233934840328</v>
      </c>
    </row>
    <row r="26" spans="1:12" s="246" customFormat="1" ht="21" customHeight="1" x14ac:dyDescent="0.25">
      <c r="A26" s="211" t="s">
        <v>70</v>
      </c>
      <c r="B26" s="340">
        <f t="shared" ref="B26:J26" si="18">(B24-B25)</f>
        <v>728.51681148026034</v>
      </c>
      <c r="C26" s="340">
        <f t="shared" si="18"/>
        <v>655.6651303322343</v>
      </c>
      <c r="D26" s="340">
        <f t="shared" si="18"/>
        <v>590.09861729901081</v>
      </c>
      <c r="E26" s="340">
        <f t="shared" si="18"/>
        <v>531.08875556910971</v>
      </c>
      <c r="F26" s="340">
        <f t="shared" si="18"/>
        <v>477.97988001219875</v>
      </c>
      <c r="G26" s="340">
        <f t="shared" si="18"/>
        <v>430.18189201097886</v>
      </c>
      <c r="H26" s="340">
        <f t="shared" si="18"/>
        <v>387.16370280988099</v>
      </c>
      <c r="I26" s="340">
        <f t="shared" si="18"/>
        <v>348.4473325288929</v>
      </c>
      <c r="J26" s="340">
        <f t="shared" si="18"/>
        <v>313.60259927600362</v>
      </c>
      <c r="K26" s="340">
        <f t="shared" ref="K26" si="19">(K24-K25)</f>
        <v>282.24233934840328</v>
      </c>
      <c r="L26" s="340">
        <f t="shared" ref="L26" si="20">(L24-L25)</f>
        <v>254.01810541356295</v>
      </c>
    </row>
    <row r="27" spans="1:12" s="246" customFormat="1" ht="21" customHeight="1" x14ac:dyDescent="0.25">
      <c r="A27" s="211" t="s">
        <v>71</v>
      </c>
      <c r="B27" s="340">
        <f>E5</f>
        <v>1954.9993193390178</v>
      </c>
      <c r="C27" s="340">
        <f t="shared" ref="C27:L27" si="21">(B29)</f>
        <v>1661.7494214381652</v>
      </c>
      <c r="D27" s="340">
        <f t="shared" si="21"/>
        <v>1412.4870082224404</v>
      </c>
      <c r="E27" s="340">
        <f t="shared" si="21"/>
        <v>1200.6139569890743</v>
      </c>
      <c r="F27" s="340">
        <f t="shared" si="21"/>
        <v>1020.5218634407131</v>
      </c>
      <c r="G27" s="340">
        <f t="shared" si="21"/>
        <v>867.44358392460617</v>
      </c>
      <c r="H27" s="340">
        <f t="shared" si="21"/>
        <v>737.32704633591527</v>
      </c>
      <c r="I27" s="340">
        <f t="shared" si="21"/>
        <v>626.72798938552796</v>
      </c>
      <c r="J27" s="340">
        <f t="shared" si="21"/>
        <v>532.71879097769875</v>
      </c>
      <c r="K27" s="340">
        <f t="shared" si="21"/>
        <v>452.81097233104396</v>
      </c>
      <c r="L27" s="340">
        <f t="shared" si="21"/>
        <v>384.88932648138734</v>
      </c>
    </row>
    <row r="28" spans="1:12" s="246" customFormat="1" ht="21" customHeight="1" x14ac:dyDescent="0.25">
      <c r="A28" s="211" t="s">
        <v>488</v>
      </c>
      <c r="B28" s="340">
        <f t="shared" ref="B28:J28" si="22">(B27*$H$5)</f>
        <v>293.24989790085266</v>
      </c>
      <c r="C28" s="340">
        <f t="shared" si="22"/>
        <v>249.26241321572476</v>
      </c>
      <c r="D28" s="340">
        <f t="shared" si="22"/>
        <v>211.87305123336606</v>
      </c>
      <c r="E28" s="340">
        <f t="shared" si="22"/>
        <v>180.09209354836113</v>
      </c>
      <c r="F28" s="340">
        <f t="shared" si="22"/>
        <v>153.07827951610696</v>
      </c>
      <c r="G28" s="340">
        <f t="shared" si="22"/>
        <v>130.11653758869093</v>
      </c>
      <c r="H28" s="340">
        <f t="shared" si="22"/>
        <v>110.59905695038729</v>
      </c>
      <c r="I28" s="340">
        <f t="shared" si="22"/>
        <v>94.009198407829189</v>
      </c>
      <c r="J28" s="340">
        <f t="shared" si="22"/>
        <v>79.907818646654803</v>
      </c>
      <c r="K28" s="340">
        <f t="shared" ref="K28" si="23">(K27*$H$5)</f>
        <v>67.921645849656585</v>
      </c>
      <c r="L28" s="340">
        <f t="shared" ref="L28" si="24">(L27*$H$5)</f>
        <v>57.7333989722081</v>
      </c>
    </row>
    <row r="29" spans="1:12" s="246" customFormat="1" ht="21" customHeight="1" x14ac:dyDescent="0.25">
      <c r="A29" s="211" t="s">
        <v>246</v>
      </c>
      <c r="B29" s="340">
        <f t="shared" ref="B29:J29" si="25">(B27-B28)</f>
        <v>1661.7494214381652</v>
      </c>
      <c r="C29" s="340">
        <f t="shared" si="25"/>
        <v>1412.4870082224404</v>
      </c>
      <c r="D29" s="340">
        <f t="shared" si="25"/>
        <v>1200.6139569890743</v>
      </c>
      <c r="E29" s="340">
        <f t="shared" si="25"/>
        <v>1020.5218634407131</v>
      </c>
      <c r="F29" s="340">
        <f t="shared" si="25"/>
        <v>867.44358392460617</v>
      </c>
      <c r="G29" s="340">
        <f t="shared" si="25"/>
        <v>737.32704633591527</v>
      </c>
      <c r="H29" s="340">
        <f t="shared" si="25"/>
        <v>626.72798938552796</v>
      </c>
      <c r="I29" s="340">
        <f t="shared" si="25"/>
        <v>532.71879097769875</v>
      </c>
      <c r="J29" s="340">
        <f t="shared" si="25"/>
        <v>452.81097233104396</v>
      </c>
      <c r="K29" s="340">
        <f t="shared" ref="K29" si="26">(K27-K28)</f>
        <v>384.88932648138734</v>
      </c>
      <c r="L29" s="340">
        <f t="shared" ref="L29" si="27">(L27-L28)</f>
        <v>327.15592750917926</v>
      </c>
    </row>
    <row r="30" spans="1:12" s="246" customFormat="1" ht="21" customHeight="1" x14ac:dyDescent="0.25">
      <c r="A30" s="211" t="s">
        <v>485</v>
      </c>
      <c r="B30" s="340">
        <f>E6</f>
        <v>6.4258051015486668</v>
      </c>
      <c r="C30" s="340">
        <f t="shared" ref="C30:L30" si="28">B32</f>
        <v>5.461934336316367</v>
      </c>
      <c r="D30" s="340">
        <f t="shared" si="28"/>
        <v>4.642644185868912</v>
      </c>
      <c r="E30" s="340">
        <f t="shared" si="28"/>
        <v>3.9462475579885754</v>
      </c>
      <c r="F30" s="340">
        <f t="shared" si="28"/>
        <v>3.354310424290289</v>
      </c>
      <c r="G30" s="340">
        <f t="shared" si="28"/>
        <v>2.8511638606467455</v>
      </c>
      <c r="H30" s="340">
        <f t="shared" si="28"/>
        <v>2.4234892815497338</v>
      </c>
      <c r="I30" s="340">
        <f t="shared" si="28"/>
        <v>2.0599658893172736</v>
      </c>
      <c r="J30" s="340">
        <f t="shared" si="28"/>
        <v>1.7509710059196826</v>
      </c>
      <c r="K30" s="340">
        <f t="shared" si="28"/>
        <v>1.4883253550317301</v>
      </c>
      <c r="L30" s="340">
        <f t="shared" si="28"/>
        <v>1.2650765517769706</v>
      </c>
    </row>
    <row r="31" spans="1:12" s="246" customFormat="1" ht="21" customHeight="1" x14ac:dyDescent="0.25">
      <c r="A31" s="211" t="s">
        <v>750</v>
      </c>
      <c r="B31" s="340">
        <f t="shared" ref="B31:L31" si="29">B30*$H$6</f>
        <v>0.96387076523229998</v>
      </c>
      <c r="C31" s="340">
        <f t="shared" si="29"/>
        <v>0.81929015044745501</v>
      </c>
      <c r="D31" s="340">
        <f t="shared" si="29"/>
        <v>0.69639662788033674</v>
      </c>
      <c r="E31" s="340">
        <f t="shared" si="29"/>
        <v>0.59193713369828627</v>
      </c>
      <c r="F31" s="340">
        <f t="shared" si="29"/>
        <v>0.50314656364354338</v>
      </c>
      <c r="G31" s="340">
        <f t="shared" si="29"/>
        <v>0.42767457909701184</v>
      </c>
      <c r="H31" s="340">
        <f t="shared" si="29"/>
        <v>0.36352339223246005</v>
      </c>
      <c r="I31" s="340">
        <f t="shared" si="29"/>
        <v>0.30899488339759101</v>
      </c>
      <c r="J31" s="340">
        <f t="shared" si="29"/>
        <v>0.26264565088795239</v>
      </c>
      <c r="K31" s="340">
        <f t="shared" si="29"/>
        <v>0.22324880325475951</v>
      </c>
      <c r="L31" s="340">
        <f t="shared" si="29"/>
        <v>0.18976148276654559</v>
      </c>
    </row>
    <row r="32" spans="1:12" s="246" customFormat="1" ht="21" customHeight="1" x14ac:dyDescent="0.25">
      <c r="A32" s="211" t="s">
        <v>487</v>
      </c>
      <c r="B32" s="340">
        <f t="shared" ref="B32:L32" si="30">B30-B31</f>
        <v>5.461934336316367</v>
      </c>
      <c r="C32" s="340">
        <f t="shared" si="30"/>
        <v>4.642644185868912</v>
      </c>
      <c r="D32" s="340">
        <f t="shared" si="30"/>
        <v>3.9462475579885754</v>
      </c>
      <c r="E32" s="340">
        <f t="shared" si="30"/>
        <v>3.354310424290289</v>
      </c>
      <c r="F32" s="340">
        <f t="shared" si="30"/>
        <v>2.8511638606467455</v>
      </c>
      <c r="G32" s="340">
        <f t="shared" si="30"/>
        <v>2.4234892815497338</v>
      </c>
      <c r="H32" s="340">
        <f t="shared" si="30"/>
        <v>2.0599658893172736</v>
      </c>
      <c r="I32" s="340">
        <f t="shared" si="30"/>
        <v>1.7509710059196826</v>
      </c>
      <c r="J32" s="340">
        <f t="shared" si="30"/>
        <v>1.4883253550317301</v>
      </c>
      <c r="K32" s="340">
        <f t="shared" si="30"/>
        <v>1.2650765517769706</v>
      </c>
      <c r="L32" s="340">
        <f t="shared" si="30"/>
        <v>1.0753150690104252</v>
      </c>
    </row>
    <row r="33" spans="1:12" s="246" customFormat="1" ht="21" customHeight="1" x14ac:dyDescent="0.25">
      <c r="A33" s="211" t="s">
        <v>752</v>
      </c>
      <c r="B33" s="340">
        <f>E7</f>
        <v>107.09675169247777</v>
      </c>
      <c r="C33" s="340">
        <f>B35</f>
        <v>91.032238938606099</v>
      </c>
      <c r="D33" s="340">
        <f t="shared" ref="D33:L33" si="31">C35</f>
        <v>77.37740309781519</v>
      </c>
      <c r="E33" s="340">
        <f t="shared" si="31"/>
        <v>65.770792633142918</v>
      </c>
      <c r="F33" s="340">
        <f t="shared" si="31"/>
        <v>55.905173738171484</v>
      </c>
      <c r="G33" s="340">
        <f t="shared" si="31"/>
        <v>47.51939767744576</v>
      </c>
      <c r="H33" s="340">
        <f t="shared" si="31"/>
        <v>40.391488025828899</v>
      </c>
      <c r="I33" s="340">
        <f t="shared" si="31"/>
        <v>34.332764821954562</v>
      </c>
      <c r="J33" s="340">
        <f t="shared" si="31"/>
        <v>29.182850098661376</v>
      </c>
      <c r="K33" s="340">
        <f t="shared" si="31"/>
        <v>24.805422583862171</v>
      </c>
      <c r="L33" s="340">
        <f t="shared" si="31"/>
        <v>21.084609196282845</v>
      </c>
    </row>
    <row r="34" spans="1:12" s="246" customFormat="1" ht="21" customHeight="1" x14ac:dyDescent="0.25">
      <c r="A34" s="211" t="s">
        <v>750</v>
      </c>
      <c r="B34" s="340">
        <f>B33*$H$7</f>
        <v>16.064512753871664</v>
      </c>
      <c r="C34" s="340">
        <f t="shared" ref="C34:L34" si="32">C33*$H$7</f>
        <v>13.654835840790915</v>
      </c>
      <c r="D34" s="340">
        <f t="shared" si="32"/>
        <v>11.606610464672277</v>
      </c>
      <c r="E34" s="340">
        <f t="shared" si="32"/>
        <v>9.865618894971437</v>
      </c>
      <c r="F34" s="340">
        <f t="shared" si="32"/>
        <v>8.385776060725723</v>
      </c>
      <c r="G34" s="340">
        <f t="shared" si="32"/>
        <v>7.1279096516168634</v>
      </c>
      <c r="H34" s="340">
        <f t="shared" si="32"/>
        <v>6.0587232038743348</v>
      </c>
      <c r="I34" s="340">
        <f t="shared" si="32"/>
        <v>5.1499147232931843</v>
      </c>
      <c r="J34" s="340">
        <f t="shared" si="32"/>
        <v>4.3774275147992059</v>
      </c>
      <c r="K34" s="340">
        <f t="shared" si="32"/>
        <v>3.7208133875793257</v>
      </c>
      <c r="L34" s="340">
        <f t="shared" si="32"/>
        <v>3.1626913794424265</v>
      </c>
    </row>
    <row r="35" spans="1:12" s="246" customFormat="1" ht="21" customHeight="1" x14ac:dyDescent="0.25">
      <c r="A35" s="211" t="s">
        <v>751</v>
      </c>
      <c r="B35" s="340">
        <f>B33-B34</f>
        <v>91.032238938606099</v>
      </c>
      <c r="C35" s="340">
        <f t="shared" ref="C35:L35" si="33">C33-C34</f>
        <v>77.37740309781519</v>
      </c>
      <c r="D35" s="340">
        <f t="shared" si="33"/>
        <v>65.770792633142918</v>
      </c>
      <c r="E35" s="340">
        <f t="shared" si="33"/>
        <v>55.905173738171484</v>
      </c>
      <c r="F35" s="340">
        <f t="shared" si="33"/>
        <v>47.51939767744576</v>
      </c>
      <c r="G35" s="340">
        <f t="shared" si="33"/>
        <v>40.391488025828899</v>
      </c>
      <c r="H35" s="340">
        <f t="shared" si="33"/>
        <v>34.332764821954562</v>
      </c>
      <c r="I35" s="340">
        <f t="shared" si="33"/>
        <v>29.182850098661376</v>
      </c>
      <c r="J35" s="340">
        <f t="shared" si="33"/>
        <v>24.805422583862171</v>
      </c>
      <c r="K35" s="340">
        <f t="shared" si="33"/>
        <v>21.084609196282845</v>
      </c>
      <c r="L35" s="340">
        <f t="shared" si="33"/>
        <v>17.92191781684042</v>
      </c>
    </row>
    <row r="36" spans="1:12" s="246" customFormat="1" ht="21" customHeight="1" x14ac:dyDescent="0.25">
      <c r="A36" s="211" t="s">
        <v>72</v>
      </c>
      <c r="B36" s="340">
        <f t="shared" ref="B36:L36" si="34">(B26+B29+B32)</f>
        <v>2395.7281672547419</v>
      </c>
      <c r="C36" s="340">
        <f t="shared" si="34"/>
        <v>2072.7947827405437</v>
      </c>
      <c r="D36" s="340">
        <f t="shared" si="34"/>
        <v>1794.6588218460736</v>
      </c>
      <c r="E36" s="340">
        <f t="shared" si="34"/>
        <v>1554.9649294341132</v>
      </c>
      <c r="F36" s="340">
        <f t="shared" si="34"/>
        <v>1348.2746277974516</v>
      </c>
      <c r="G36" s="340">
        <f t="shared" si="34"/>
        <v>1169.932427628444</v>
      </c>
      <c r="H36" s="340">
        <f t="shared" si="34"/>
        <v>1015.9516580847262</v>
      </c>
      <c r="I36" s="340">
        <f t="shared" si="34"/>
        <v>882.91709451251143</v>
      </c>
      <c r="J36" s="340">
        <f t="shared" si="34"/>
        <v>767.90189696207926</v>
      </c>
      <c r="K36" s="340">
        <f t="shared" si="34"/>
        <v>668.39674238156749</v>
      </c>
      <c r="L36" s="340">
        <f t="shared" si="34"/>
        <v>582.24934799175264</v>
      </c>
    </row>
    <row r="37" spans="1:12" s="246" customFormat="1" ht="21" customHeight="1" x14ac:dyDescent="0.25">
      <c r="A37" s="199" t="s">
        <v>486</v>
      </c>
      <c r="B37" s="341">
        <f>B25+B28+B31+B34</f>
        <v>391.22459380665219</v>
      </c>
      <c r="C37" s="341">
        <f t="shared" ref="C37:L37" si="35">C25+C28+C31+C34</f>
        <v>336.58822035498912</v>
      </c>
      <c r="D37" s="341">
        <f t="shared" si="35"/>
        <v>289.74257135914212</v>
      </c>
      <c r="E37" s="341">
        <f t="shared" si="35"/>
        <v>249.55951130693194</v>
      </c>
      <c r="F37" s="341">
        <f t="shared" si="35"/>
        <v>215.07607769738723</v>
      </c>
      <c r="G37" s="341">
        <f t="shared" si="35"/>
        <v>185.47010982062469</v>
      </c>
      <c r="H37" s="341">
        <f t="shared" si="35"/>
        <v>160.03949274759196</v>
      </c>
      <c r="I37" s="341">
        <f t="shared" si="35"/>
        <v>138.18447829550809</v>
      </c>
      <c r="J37" s="341">
        <f t="shared" si="35"/>
        <v>119.39262506523126</v>
      </c>
      <c r="K37" s="341">
        <f t="shared" si="35"/>
        <v>103.22596796809104</v>
      </c>
      <c r="L37" s="341">
        <f t="shared" si="35"/>
        <v>89.310085769257398</v>
      </c>
    </row>
  </sheetData>
  <customSheetViews>
    <customSheetView guid="{22475485-DA09-46DB-978D-BB94CE1E5597}">
      <selection activeCell="D4" sqref="D4"/>
      <pageMargins left="0.7" right="0.7" top="0.75" bottom="0.75" header="0.3" footer="0.3"/>
      <pageSetup paperSize="9" orientation="landscape" verticalDpi="300" r:id="rId1"/>
    </customSheetView>
  </customSheetViews>
  <mergeCells count="3">
    <mergeCell ref="A21:K21"/>
    <mergeCell ref="A12:K12"/>
    <mergeCell ref="A22:L22"/>
  </mergeCells>
  <pageMargins left="0.7" right="0.7" top="0.75" bottom="0.75" header="0.3" footer="0.3"/>
  <pageSetup paperSize="9" orientation="landscape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28"/>
  <sheetViews>
    <sheetView topLeftCell="A3" workbookViewId="0">
      <selection activeCell="H8" sqref="H8"/>
    </sheetView>
  </sheetViews>
  <sheetFormatPr defaultColWidth="32.28515625" defaultRowHeight="15" x14ac:dyDescent="0.25"/>
  <cols>
    <col min="1" max="1" width="43" style="1" customWidth="1"/>
    <col min="2" max="2" width="10.140625" style="16" customWidth="1"/>
    <col min="3" max="3" width="23.42578125" style="1" customWidth="1"/>
    <col min="4" max="4" width="19.42578125" style="16" customWidth="1"/>
    <col min="5" max="5" width="20.85546875" style="1" customWidth="1"/>
    <col min="6" max="13" width="14" style="1" customWidth="1"/>
    <col min="14" max="16384" width="32.28515625" style="1"/>
  </cols>
  <sheetData>
    <row r="1" spans="1:10" s="3" customFormat="1" ht="26.1" customHeight="1" x14ac:dyDescent="0.25">
      <c r="A1" s="360" t="s">
        <v>16</v>
      </c>
      <c r="B1" s="360"/>
      <c r="C1" s="360"/>
      <c r="D1" s="360"/>
      <c r="E1" s="429"/>
    </row>
    <row r="2" spans="1:10" s="2" customFormat="1" ht="21" customHeight="1" x14ac:dyDescent="0.25">
      <c r="A2" s="430" t="s">
        <v>143</v>
      </c>
      <c r="B2" s="431"/>
      <c r="C2" s="431"/>
      <c r="D2" s="431"/>
      <c r="E2" s="431"/>
    </row>
    <row r="3" spans="1:10" s="3" customFormat="1" ht="21" customHeight="1" x14ac:dyDescent="0.25">
      <c r="A3" s="61" t="s">
        <v>144</v>
      </c>
      <c r="B3" s="19"/>
      <c r="C3" s="19" t="s">
        <v>248</v>
      </c>
      <c r="D3" s="19"/>
      <c r="E3" s="19" t="s">
        <v>248</v>
      </c>
    </row>
    <row r="4" spans="1:10" s="66" customFormat="1" ht="21" customHeight="1" x14ac:dyDescent="0.25">
      <c r="A4" s="27" t="s">
        <v>145</v>
      </c>
      <c r="B4" s="19" t="s">
        <v>146</v>
      </c>
      <c r="C4" s="19" t="s">
        <v>147</v>
      </c>
      <c r="D4" s="19" t="s">
        <v>148</v>
      </c>
      <c r="E4" s="19" t="s">
        <v>149</v>
      </c>
    </row>
    <row r="5" spans="1:10" s="3" customFormat="1" ht="21" customHeight="1" x14ac:dyDescent="0.25">
      <c r="A5" s="13" t="s">
        <v>150</v>
      </c>
      <c r="B5" s="9">
        <v>12</v>
      </c>
      <c r="C5" s="47">
        <v>25000</v>
      </c>
      <c r="D5" s="9">
        <v>12</v>
      </c>
      <c r="E5" s="47">
        <f>(C5*B5*D5)</f>
        <v>3600000</v>
      </c>
    </row>
    <row r="6" spans="1:10" s="3" customFormat="1" ht="21" customHeight="1" x14ac:dyDescent="0.25">
      <c r="A6" s="13" t="s">
        <v>151</v>
      </c>
      <c r="B6" s="9">
        <v>4</v>
      </c>
      <c r="C6" s="47">
        <v>20000</v>
      </c>
      <c r="D6" s="9">
        <v>12</v>
      </c>
      <c r="E6" s="47">
        <f>(C6*B6*D6)</f>
        <v>960000</v>
      </c>
    </row>
    <row r="7" spans="1:10" s="3" customFormat="1" ht="21" customHeight="1" x14ac:dyDescent="0.25">
      <c r="A7" s="13" t="s">
        <v>152</v>
      </c>
      <c r="B7" s="9">
        <v>20</v>
      </c>
      <c r="C7" s="47">
        <v>12000</v>
      </c>
      <c r="D7" s="9">
        <v>12</v>
      </c>
      <c r="E7" s="47">
        <f>(C7*B7*D7)</f>
        <v>2880000</v>
      </c>
    </row>
    <row r="8" spans="1:10" s="66" customFormat="1" ht="21" customHeight="1" x14ac:dyDescent="0.25">
      <c r="A8" s="19" t="s">
        <v>73</v>
      </c>
      <c r="B8" s="19">
        <f>SUM(B5:B7)</f>
        <v>36</v>
      </c>
      <c r="C8" s="29"/>
      <c r="D8" s="19">
        <v>12</v>
      </c>
      <c r="E8" s="48">
        <f>SUM(E5:E7)</f>
        <v>7440000</v>
      </c>
      <c r="G8" s="66">
        <f>B8+B17+B24</f>
        <v>92</v>
      </c>
      <c r="H8" s="354">
        <f>G8/5</f>
        <v>18.399999999999999</v>
      </c>
    </row>
    <row r="9" spans="1:10" s="66" customFormat="1" ht="21" customHeight="1" x14ac:dyDescent="0.25">
      <c r="A9" s="27" t="s">
        <v>153</v>
      </c>
      <c r="B9" s="19"/>
      <c r="C9" s="28"/>
      <c r="D9" s="19"/>
      <c r="E9" s="47"/>
    </row>
    <row r="10" spans="1:10" s="66" customFormat="1" ht="21" customHeight="1" x14ac:dyDescent="0.25">
      <c r="A10" s="27" t="s">
        <v>145</v>
      </c>
      <c r="B10" s="19" t="s">
        <v>146</v>
      </c>
      <c r="C10" s="19" t="s">
        <v>147</v>
      </c>
      <c r="D10" s="19" t="s">
        <v>148</v>
      </c>
      <c r="E10" s="19" t="s">
        <v>149</v>
      </c>
      <c r="G10" s="66">
        <v>33</v>
      </c>
      <c r="H10" s="66">
        <v>390</v>
      </c>
      <c r="I10" s="66">
        <v>585</v>
      </c>
      <c r="J10" s="66">
        <f>H10+I10</f>
        <v>975</v>
      </c>
    </row>
    <row r="11" spans="1:10" s="3" customFormat="1" ht="21" customHeight="1" x14ac:dyDescent="0.25">
      <c r="A11" s="13" t="s">
        <v>154</v>
      </c>
      <c r="B11" s="9">
        <v>4</v>
      </c>
      <c r="C11" s="47">
        <v>45000</v>
      </c>
      <c r="D11" s="9">
        <v>12</v>
      </c>
      <c r="E11" s="47">
        <f>(C11*B11*D11)</f>
        <v>2160000</v>
      </c>
      <c r="H11" s="353">
        <f>H10/G10</f>
        <v>11.818181818181818</v>
      </c>
      <c r="J11" s="353">
        <f>J10/G10</f>
        <v>29.545454545454547</v>
      </c>
    </row>
    <row r="12" spans="1:10" s="3" customFormat="1" ht="21" customHeight="1" x14ac:dyDescent="0.25">
      <c r="A12" s="13" t="s">
        <v>155</v>
      </c>
      <c r="B12" s="9">
        <v>2</v>
      </c>
      <c r="C12" s="47">
        <v>35000</v>
      </c>
      <c r="D12" s="9">
        <v>12</v>
      </c>
      <c r="E12" s="47">
        <f>(C12*B12*D12)</f>
        <v>840000</v>
      </c>
      <c r="H12" s="353">
        <f>H11*5</f>
        <v>59.090909090909093</v>
      </c>
      <c r="J12" s="353">
        <f>J11*5</f>
        <v>147.72727272727275</v>
      </c>
    </row>
    <row r="13" spans="1:10" s="3" customFormat="1" ht="21" customHeight="1" x14ac:dyDescent="0.25">
      <c r="A13" s="13" t="s">
        <v>156</v>
      </c>
      <c r="B13" s="9">
        <v>2</v>
      </c>
      <c r="C13" s="47">
        <v>22000</v>
      </c>
      <c r="D13" s="9">
        <v>12</v>
      </c>
      <c r="E13" s="47">
        <f>(C13*B13*D13)</f>
        <v>528000</v>
      </c>
    </row>
    <row r="14" spans="1:10" s="3" customFormat="1" ht="21" customHeight="1" x14ac:dyDescent="0.25">
      <c r="A14" s="13" t="s">
        <v>157</v>
      </c>
      <c r="B14" s="9">
        <v>2</v>
      </c>
      <c r="C14" s="47">
        <v>20000</v>
      </c>
      <c r="D14" s="9">
        <v>12</v>
      </c>
      <c r="E14" s="47">
        <f>(C14*B14*D14)</f>
        <v>480000</v>
      </c>
    </row>
    <row r="15" spans="1:10" s="3" customFormat="1" ht="21" customHeight="1" x14ac:dyDescent="0.25">
      <c r="A15" s="13" t="s">
        <v>158</v>
      </c>
      <c r="B15" s="9">
        <v>2</v>
      </c>
      <c r="C15" s="47">
        <v>18500</v>
      </c>
      <c r="D15" s="9">
        <v>12</v>
      </c>
      <c r="E15" s="47">
        <f>(C15*B15*D15)</f>
        <v>444000</v>
      </c>
    </row>
    <row r="16" spans="1:10" s="66" customFormat="1" ht="21" customHeight="1" x14ac:dyDescent="0.25">
      <c r="A16" s="19" t="s">
        <v>73</v>
      </c>
      <c r="B16" s="19">
        <f>SUM(B11:B15)</f>
        <v>12</v>
      </c>
      <c r="C16" s="29"/>
      <c r="D16" s="19"/>
      <c r="E16" s="48">
        <f>SUM(E11:E15)</f>
        <v>4452000</v>
      </c>
    </row>
    <row r="17" spans="1:13" s="66" customFormat="1" ht="21" customHeight="1" x14ac:dyDescent="0.25">
      <c r="A17" s="19" t="s">
        <v>159</v>
      </c>
      <c r="B17" s="19">
        <f>B16+B8</f>
        <v>48</v>
      </c>
      <c r="C17" s="27"/>
      <c r="D17" s="19"/>
      <c r="E17" s="48">
        <f>(E8+E16)</f>
        <v>11892000</v>
      </c>
      <c r="F17" s="67"/>
      <c r="G17" s="67"/>
      <c r="H17" s="67"/>
      <c r="I17" s="67"/>
      <c r="J17" s="67"/>
      <c r="K17" s="67"/>
      <c r="L17" s="67"/>
      <c r="M17" s="67"/>
    </row>
    <row r="18" spans="1:13" s="3" customFormat="1" ht="21" customHeight="1" x14ac:dyDescent="0.25">
      <c r="A18" s="432" t="s">
        <v>160</v>
      </c>
      <c r="B18" s="433"/>
      <c r="C18" s="433"/>
      <c r="D18" s="433"/>
      <c r="E18" s="433"/>
    </row>
    <row r="19" spans="1:13" s="3" customFormat="1" ht="21" customHeight="1" x14ac:dyDescent="0.25">
      <c r="A19" s="13" t="s">
        <v>161</v>
      </c>
      <c r="B19" s="9">
        <v>1</v>
      </c>
      <c r="C19" s="47">
        <v>80000</v>
      </c>
      <c r="D19" s="9">
        <v>12</v>
      </c>
      <c r="E19" s="47">
        <f>(C19*B19*D19)</f>
        <v>960000</v>
      </c>
    </row>
    <row r="20" spans="1:13" s="3" customFormat="1" ht="21" customHeight="1" x14ac:dyDescent="0.25">
      <c r="A20" s="13" t="s">
        <v>162</v>
      </c>
      <c r="B20" s="9">
        <v>1</v>
      </c>
      <c r="C20" s="47">
        <v>50000</v>
      </c>
      <c r="D20" s="9">
        <v>12</v>
      </c>
      <c r="E20" s="47">
        <f>(C20*B20*D20)</f>
        <v>600000</v>
      </c>
    </row>
    <row r="21" spans="1:13" s="3" customFormat="1" ht="21" customHeight="1" x14ac:dyDescent="0.25">
      <c r="A21" s="13" t="s">
        <v>163</v>
      </c>
      <c r="B21" s="9">
        <v>2</v>
      </c>
      <c r="C21" s="47">
        <v>35000</v>
      </c>
      <c r="D21" s="9">
        <v>12</v>
      </c>
      <c r="E21" s="47">
        <f>(C21*B21*D21)</f>
        <v>840000</v>
      </c>
    </row>
    <row r="22" spans="1:13" s="3" customFormat="1" ht="21" customHeight="1" x14ac:dyDescent="0.25">
      <c r="A22" s="13" t="s">
        <v>164</v>
      </c>
      <c r="B22" s="9">
        <v>2</v>
      </c>
      <c r="C22" s="47">
        <v>25000</v>
      </c>
      <c r="D22" s="9">
        <v>12</v>
      </c>
      <c r="E22" s="47">
        <f>(C22*B22*D22)</f>
        <v>600000</v>
      </c>
    </row>
    <row r="23" spans="1:13" s="3" customFormat="1" ht="21" customHeight="1" x14ac:dyDescent="0.25">
      <c r="A23" s="13" t="s">
        <v>518</v>
      </c>
      <c r="B23" s="9">
        <v>2</v>
      </c>
      <c r="C23" s="47">
        <v>10000</v>
      </c>
      <c r="D23" s="9">
        <v>12</v>
      </c>
      <c r="E23" s="47">
        <f>(C23*B23*D23)</f>
        <v>240000</v>
      </c>
    </row>
    <row r="24" spans="1:13" s="66" customFormat="1" ht="21" customHeight="1" x14ac:dyDescent="0.25">
      <c r="A24" s="19" t="s">
        <v>165</v>
      </c>
      <c r="B24" s="19">
        <f>SUM(B19:B23)</f>
        <v>8</v>
      </c>
      <c r="C24" s="27"/>
      <c r="D24" s="19"/>
      <c r="E24" s="48">
        <f>SUM(E19:E23)</f>
        <v>3240000</v>
      </c>
      <c r="F24" s="67"/>
      <c r="G24" s="67"/>
      <c r="H24" s="67"/>
      <c r="I24" s="67"/>
      <c r="J24" s="67"/>
      <c r="K24" s="67"/>
      <c r="L24" s="67"/>
      <c r="M24" s="67"/>
    </row>
    <row r="25" spans="1:13" ht="17.100000000000001" customHeight="1" x14ac:dyDescent="0.25"/>
    <row r="26" spans="1:13" ht="17.100000000000001" customHeight="1" x14ac:dyDescent="0.25"/>
    <row r="27" spans="1:13" ht="17.100000000000001" customHeight="1" x14ac:dyDescent="0.25"/>
    <row r="28" spans="1:13" ht="17.100000000000001" customHeight="1" x14ac:dyDescent="0.25"/>
  </sheetData>
  <customSheetViews>
    <customSheetView guid="{22475485-DA09-46DB-978D-BB94CE1E5597}" topLeftCell="A19">
      <selection activeCell="C23" sqref="C23"/>
      <pageMargins left="0.7" right="0.7" top="0.75" bottom="0.75" header="0.3" footer="0.3"/>
      <pageSetup paperSize="9" orientation="landscape" verticalDpi="300" r:id="rId1"/>
    </customSheetView>
  </customSheetViews>
  <mergeCells count="3">
    <mergeCell ref="A1:E1"/>
    <mergeCell ref="A2:E2"/>
    <mergeCell ref="A18:E18"/>
  </mergeCells>
  <pageMargins left="0.7" right="0.7" top="0.75" bottom="0.75" header="0.3" footer="0.3"/>
  <pageSetup paperSize="9" orientation="landscape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17"/>
  <sheetViews>
    <sheetView workbookViewId="0"/>
  </sheetViews>
  <sheetFormatPr defaultColWidth="8.85546875" defaultRowHeight="15" x14ac:dyDescent="0.25"/>
  <cols>
    <col min="1" max="1" width="32" customWidth="1"/>
    <col min="2" max="2" width="11.85546875" style="14" customWidth="1"/>
    <col min="3" max="3" width="17" style="14" customWidth="1"/>
  </cols>
  <sheetData>
    <row r="1" spans="1:5" s="46" customFormat="1" ht="22.35" customHeight="1" x14ac:dyDescent="0.25">
      <c r="A1" s="46" t="s">
        <v>389</v>
      </c>
      <c r="B1" s="46" t="s">
        <v>401</v>
      </c>
      <c r="C1" s="46" t="s">
        <v>390</v>
      </c>
    </row>
    <row r="2" spans="1:5" s="59" customFormat="1" ht="22.35" customHeight="1" x14ac:dyDescent="0.25">
      <c r="A2" s="46" t="s">
        <v>391</v>
      </c>
      <c r="B2" s="60">
        <v>34</v>
      </c>
      <c r="C2" s="60">
        <v>8</v>
      </c>
      <c r="E2" s="59">
        <f>B2*C2</f>
        <v>272</v>
      </c>
    </row>
    <row r="3" spans="1:5" s="59" customFormat="1" ht="22.35" customHeight="1" x14ac:dyDescent="0.25">
      <c r="A3" s="46" t="s">
        <v>392</v>
      </c>
      <c r="B3" s="60">
        <v>7.5</v>
      </c>
      <c r="C3" s="60">
        <v>8</v>
      </c>
      <c r="E3" s="59">
        <f t="shared" ref="E3:E11" si="0">B3*C3</f>
        <v>60</v>
      </c>
    </row>
    <row r="4" spans="1:5" s="59" customFormat="1" ht="22.35" customHeight="1" x14ac:dyDescent="0.25">
      <c r="A4" s="46" t="s">
        <v>393</v>
      </c>
      <c r="B4" s="60">
        <v>22.5</v>
      </c>
      <c r="C4" s="60">
        <v>8</v>
      </c>
      <c r="D4" s="59">
        <f>SUM(B2:B4)</f>
        <v>64</v>
      </c>
      <c r="E4" s="59">
        <f t="shared" si="0"/>
        <v>180</v>
      </c>
    </row>
    <row r="5" spans="1:5" s="59" customFormat="1" ht="22.35" customHeight="1" x14ac:dyDescent="0.25">
      <c r="A5" s="46" t="s">
        <v>394</v>
      </c>
      <c r="B5" s="60">
        <v>34</v>
      </c>
      <c r="C5" s="60">
        <v>10</v>
      </c>
      <c r="E5" s="59">
        <f t="shared" si="0"/>
        <v>340</v>
      </c>
    </row>
    <row r="6" spans="1:5" s="59" customFormat="1" ht="22.35" customHeight="1" x14ac:dyDescent="0.25">
      <c r="A6" s="46" t="s">
        <v>395</v>
      </c>
      <c r="B6" s="60">
        <v>30</v>
      </c>
      <c r="C6" s="60">
        <v>10</v>
      </c>
      <c r="D6" s="59">
        <f>SUM(B5:B6)</f>
        <v>64</v>
      </c>
      <c r="E6" s="59">
        <f t="shared" si="0"/>
        <v>300</v>
      </c>
    </row>
    <row r="7" spans="1:5" s="59" customFormat="1" ht="22.35" customHeight="1" x14ac:dyDescent="0.25">
      <c r="A7" s="46" t="s">
        <v>396</v>
      </c>
      <c r="B7" s="60">
        <v>3</v>
      </c>
      <c r="C7" s="60">
        <v>24</v>
      </c>
      <c r="E7" s="59">
        <f t="shared" si="0"/>
        <v>72</v>
      </c>
    </row>
    <row r="8" spans="1:5" s="59" customFormat="1" ht="22.35" customHeight="1" x14ac:dyDescent="0.25">
      <c r="A8" s="46" t="s">
        <v>397</v>
      </c>
      <c r="B8" s="60">
        <v>6</v>
      </c>
      <c r="C8" s="60">
        <v>16</v>
      </c>
      <c r="E8" s="59">
        <f t="shared" si="0"/>
        <v>96</v>
      </c>
    </row>
    <row r="9" spans="1:5" s="59" customFormat="1" ht="22.35" customHeight="1" x14ac:dyDescent="0.25">
      <c r="A9" s="46" t="s">
        <v>402</v>
      </c>
      <c r="B9" s="60">
        <v>23</v>
      </c>
      <c r="C9" s="60">
        <v>20</v>
      </c>
      <c r="E9" s="59">
        <f t="shared" si="0"/>
        <v>460</v>
      </c>
    </row>
    <row r="10" spans="1:5" s="59" customFormat="1" ht="22.35" customHeight="1" x14ac:dyDescent="0.25">
      <c r="A10" s="46" t="s">
        <v>398</v>
      </c>
      <c r="B10" s="60">
        <v>75</v>
      </c>
      <c r="C10" s="60">
        <v>11</v>
      </c>
      <c r="E10" s="59">
        <f t="shared" si="0"/>
        <v>825</v>
      </c>
    </row>
    <row r="11" spans="1:5" s="59" customFormat="1" ht="22.35" customHeight="1" x14ac:dyDescent="0.25">
      <c r="A11" s="46" t="s">
        <v>399</v>
      </c>
      <c r="B11" s="60">
        <v>90</v>
      </c>
      <c r="C11" s="60">
        <v>8</v>
      </c>
      <c r="E11" s="59">
        <f t="shared" si="0"/>
        <v>720</v>
      </c>
    </row>
    <row r="12" spans="1:5" s="59" customFormat="1" ht="22.35" customHeight="1" x14ac:dyDescent="0.25">
      <c r="A12" s="46" t="s">
        <v>400</v>
      </c>
      <c r="B12" s="60"/>
      <c r="C12" s="60">
        <v>10</v>
      </c>
    </row>
    <row r="13" spans="1:5" s="59" customFormat="1" ht="22.35" customHeight="1" x14ac:dyDescent="0.25">
      <c r="A13" s="46"/>
      <c r="B13" s="60">
        <f>SUM(B2:B11)</f>
        <v>325</v>
      </c>
      <c r="C13" s="60">
        <f>SUM(C2:C11)</f>
        <v>123</v>
      </c>
      <c r="E13" s="60">
        <f>SUM(E2:E11)</f>
        <v>3325</v>
      </c>
    </row>
    <row r="14" spans="1:5" ht="22.35" customHeight="1" x14ac:dyDescent="0.25"/>
    <row r="15" spans="1:5" ht="22.35" customHeight="1" x14ac:dyDescent="0.25"/>
    <row r="16" spans="1:5" ht="22.35" customHeight="1" x14ac:dyDescent="0.25"/>
    <row r="17" ht="22.35" customHeight="1" x14ac:dyDescent="0.25"/>
  </sheetData>
  <customSheetViews>
    <customSheetView guid="{22475485-DA09-46DB-978D-BB94CE1E5597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N42"/>
  <sheetViews>
    <sheetView showGridLines="0" topLeftCell="A7" workbookViewId="0">
      <selection activeCell="D39" sqref="D39"/>
    </sheetView>
  </sheetViews>
  <sheetFormatPr defaultColWidth="8.85546875" defaultRowHeight="15" x14ac:dyDescent="0.25"/>
  <cols>
    <col min="1" max="1" width="4" customWidth="1"/>
    <col min="2" max="2" width="37.85546875" customWidth="1"/>
    <col min="3" max="3" width="19.42578125" bestFit="1" customWidth="1"/>
    <col min="4" max="14" width="11.7109375" customWidth="1"/>
  </cols>
  <sheetData>
    <row r="1" spans="2:14" x14ac:dyDescent="0.25">
      <c r="C1" s="333">
        <v>45382</v>
      </c>
      <c r="D1" s="333">
        <f>DATE(YEAR(C1)+1,MONTH(C1),DAY(C1))</f>
        <v>45747</v>
      </c>
      <c r="E1" s="333">
        <f t="shared" ref="E1:N1" si="0">DATE(YEAR(D1)+1,MONTH(D1),DAY(D1))</f>
        <v>46112</v>
      </c>
      <c r="F1" s="333">
        <f t="shared" si="0"/>
        <v>46477</v>
      </c>
      <c r="G1" s="333">
        <f t="shared" si="0"/>
        <v>46843</v>
      </c>
      <c r="H1" s="333">
        <f t="shared" si="0"/>
        <v>47208</v>
      </c>
      <c r="I1" s="333">
        <f t="shared" si="0"/>
        <v>47573</v>
      </c>
      <c r="J1" s="333">
        <f t="shared" si="0"/>
        <v>47938</v>
      </c>
      <c r="K1" s="333">
        <f t="shared" si="0"/>
        <v>48304</v>
      </c>
      <c r="L1" s="333">
        <f t="shared" si="0"/>
        <v>48669</v>
      </c>
      <c r="M1" s="333">
        <f t="shared" si="0"/>
        <v>49034</v>
      </c>
      <c r="N1" s="333">
        <f t="shared" si="0"/>
        <v>49399</v>
      </c>
    </row>
    <row r="2" spans="2:14" ht="18.75" customHeight="1" x14ac:dyDescent="0.25">
      <c r="B2" s="310" t="s">
        <v>452</v>
      </c>
      <c r="C2" s="311">
        <v>2024</v>
      </c>
      <c r="D2" s="311">
        <f t="shared" ref="D2:N2" si="1">C2+1</f>
        <v>2025</v>
      </c>
      <c r="E2" s="311">
        <f t="shared" si="1"/>
        <v>2026</v>
      </c>
      <c r="F2" s="311">
        <f t="shared" si="1"/>
        <v>2027</v>
      </c>
      <c r="G2" s="311">
        <f t="shared" si="1"/>
        <v>2028</v>
      </c>
      <c r="H2" s="311">
        <f t="shared" si="1"/>
        <v>2029</v>
      </c>
      <c r="I2" s="311">
        <f t="shared" si="1"/>
        <v>2030</v>
      </c>
      <c r="J2" s="311">
        <f t="shared" si="1"/>
        <v>2031</v>
      </c>
      <c r="K2" s="311">
        <f t="shared" si="1"/>
        <v>2032</v>
      </c>
      <c r="L2" s="311">
        <f t="shared" si="1"/>
        <v>2033</v>
      </c>
      <c r="M2" s="311">
        <f t="shared" si="1"/>
        <v>2034</v>
      </c>
      <c r="N2" s="311">
        <f t="shared" si="1"/>
        <v>2035</v>
      </c>
    </row>
    <row r="3" spans="2:14" ht="9.75" customHeight="1" x14ac:dyDescent="0.25"/>
    <row r="4" spans="2:14" ht="18" customHeight="1" x14ac:dyDescent="0.25">
      <c r="B4" s="309" t="s">
        <v>759</v>
      </c>
      <c r="C4" s="312">
        <f>'P &amp; L'!B45</f>
        <v>0</v>
      </c>
      <c r="D4" s="312">
        <f>'P &amp; L'!C45</f>
        <v>63.500645200147801</v>
      </c>
      <c r="E4" s="312">
        <f>'P &amp; L'!D45</f>
        <v>417.49205565621088</v>
      </c>
      <c r="F4" s="312">
        <f>'P &amp; L'!E45</f>
        <v>502.18686845261794</v>
      </c>
      <c r="G4" s="312">
        <f>'P &amp; L'!F45</f>
        <v>582.11155049541594</v>
      </c>
      <c r="H4" s="312">
        <f>'P &amp; L'!G45</f>
        <v>658.32368719507826</v>
      </c>
      <c r="I4" s="312">
        <f>'P &amp; L'!H45</f>
        <v>734.09779331646439</v>
      </c>
      <c r="J4" s="312">
        <f>'P &amp; L'!I45</f>
        <v>805.53430554635133</v>
      </c>
      <c r="K4" s="312">
        <f>'P &amp; L'!J45</f>
        <v>875.69550991313258</v>
      </c>
      <c r="L4" s="312">
        <f>'P &amp; L'!K45</f>
        <v>945.20886255384141</v>
      </c>
      <c r="M4" s="312">
        <f>'P &amp; L'!L45</f>
        <v>1014.6330940319353</v>
      </c>
      <c r="N4" s="312">
        <f>'P &amp; L'!M45</f>
        <v>1084.4144293307704</v>
      </c>
    </row>
    <row r="5" spans="2:14" ht="18" customHeight="1" x14ac:dyDescent="0.25">
      <c r="B5" s="309" t="s">
        <v>767</v>
      </c>
      <c r="C5" s="313">
        <v>0.33929999999999999</v>
      </c>
      <c r="D5" s="313">
        <v>0.33929999999999999</v>
      </c>
      <c r="E5" s="313">
        <v>0.33929999999999999</v>
      </c>
      <c r="F5" s="313">
        <v>0.33929999999999999</v>
      </c>
      <c r="G5" s="313">
        <v>0.33929999999999999</v>
      </c>
      <c r="H5" s="313">
        <v>0.33929999999999999</v>
      </c>
      <c r="I5" s="313">
        <v>0.33929999999999999</v>
      </c>
      <c r="J5" s="313">
        <v>0.33929999999999999</v>
      </c>
      <c r="K5" s="313">
        <v>0.33929999999999999</v>
      </c>
      <c r="L5" s="313">
        <v>0.33929999999999999</v>
      </c>
      <c r="M5" s="313">
        <v>0.33929999999999999</v>
      </c>
      <c r="N5" s="313">
        <v>0.33929999999999999</v>
      </c>
    </row>
    <row r="6" spans="2:14" ht="18" customHeight="1" x14ac:dyDescent="0.25">
      <c r="B6" s="309" t="s">
        <v>768</v>
      </c>
      <c r="C6" s="313">
        <f>1-C5</f>
        <v>0.66070000000000007</v>
      </c>
      <c r="D6" s="313">
        <f t="shared" ref="D6:N6" si="2">1-D5</f>
        <v>0.66070000000000007</v>
      </c>
      <c r="E6" s="313">
        <f t="shared" si="2"/>
        <v>0.66070000000000007</v>
      </c>
      <c r="F6" s="313">
        <f t="shared" si="2"/>
        <v>0.66070000000000007</v>
      </c>
      <c r="G6" s="313">
        <f t="shared" si="2"/>
        <v>0.66070000000000007</v>
      </c>
      <c r="H6" s="313">
        <f t="shared" si="2"/>
        <v>0.66070000000000007</v>
      </c>
      <c r="I6" s="313">
        <f t="shared" si="2"/>
        <v>0.66070000000000007</v>
      </c>
      <c r="J6" s="313">
        <f t="shared" si="2"/>
        <v>0.66070000000000007</v>
      </c>
      <c r="K6" s="313">
        <f t="shared" si="2"/>
        <v>0.66070000000000007</v>
      </c>
      <c r="L6" s="313">
        <f t="shared" si="2"/>
        <v>0.66070000000000007</v>
      </c>
      <c r="M6" s="313">
        <f t="shared" si="2"/>
        <v>0.66070000000000007</v>
      </c>
      <c r="N6" s="313">
        <f t="shared" si="2"/>
        <v>0.66070000000000007</v>
      </c>
    </row>
    <row r="7" spans="2:14" ht="18" customHeight="1" x14ac:dyDescent="0.25">
      <c r="B7" s="309" t="s">
        <v>769</v>
      </c>
      <c r="C7" s="312">
        <f>C4*C6</f>
        <v>0</v>
      </c>
      <c r="D7" s="312">
        <f t="shared" ref="D7:N7" si="3">D4*D6</f>
        <v>41.954876283737654</v>
      </c>
      <c r="E7" s="312">
        <f t="shared" si="3"/>
        <v>275.83700117205854</v>
      </c>
      <c r="F7" s="312">
        <f t="shared" si="3"/>
        <v>331.79486398664471</v>
      </c>
      <c r="G7" s="312">
        <f t="shared" si="3"/>
        <v>384.60110141232133</v>
      </c>
      <c r="H7" s="312">
        <f t="shared" si="3"/>
        <v>434.95446012978823</v>
      </c>
      <c r="I7" s="312">
        <f t="shared" si="3"/>
        <v>485.0184120441881</v>
      </c>
      <c r="J7" s="312">
        <f t="shared" si="3"/>
        <v>532.21651567447441</v>
      </c>
      <c r="K7" s="312">
        <f t="shared" si="3"/>
        <v>578.57202339960679</v>
      </c>
      <c r="L7" s="312">
        <f t="shared" si="3"/>
        <v>624.49949548932307</v>
      </c>
      <c r="M7" s="312">
        <f t="shared" si="3"/>
        <v>670.36808522689978</v>
      </c>
      <c r="N7" s="312">
        <f t="shared" si="3"/>
        <v>716.4726134588401</v>
      </c>
    </row>
    <row r="8" spans="2:14" ht="18" customHeight="1" x14ac:dyDescent="0.25">
      <c r="B8" s="309" t="s">
        <v>770</v>
      </c>
      <c r="C8" s="312">
        <f>'P &amp; L'!B25</f>
        <v>0</v>
      </c>
      <c r="D8" s="312">
        <f>'P &amp; L'!C25</f>
        <v>391.22459380665219</v>
      </c>
      <c r="E8" s="312">
        <f>'P &amp; L'!D25</f>
        <v>336.58822035498912</v>
      </c>
      <c r="F8" s="312">
        <f>'P &amp; L'!E25</f>
        <v>289.74257135914212</v>
      </c>
      <c r="G8" s="312">
        <f>'P &amp; L'!F25</f>
        <v>249.55951130693194</v>
      </c>
      <c r="H8" s="312">
        <f>'P &amp; L'!G25</f>
        <v>215.07607769738723</v>
      </c>
      <c r="I8" s="312">
        <f>'P &amp; L'!H25</f>
        <v>185.47010982062469</v>
      </c>
      <c r="J8" s="312">
        <f>'P &amp; L'!I25</f>
        <v>160.03949274759196</v>
      </c>
      <c r="K8" s="312">
        <f>'P &amp; L'!J25</f>
        <v>138.18447829550809</v>
      </c>
      <c r="L8" s="312">
        <f>'P &amp; L'!K25</f>
        <v>119.39262506523126</v>
      </c>
      <c r="M8" s="312">
        <f>'P &amp; L'!L25</f>
        <v>103.22596796809104</v>
      </c>
      <c r="N8" s="312">
        <f>'P &amp; L'!M25</f>
        <v>89.310085769257398</v>
      </c>
    </row>
    <row r="9" spans="2:14" ht="18" customHeight="1" x14ac:dyDescent="0.25">
      <c r="B9" s="309" t="s">
        <v>771</v>
      </c>
      <c r="C9" s="312">
        <f>WC!B40</f>
        <v>0</v>
      </c>
      <c r="D9" s="312">
        <f>WC!C40</f>
        <v>48.099012500000001</v>
      </c>
      <c r="E9" s="312">
        <f>WC!D40</f>
        <v>35.65230220588235</v>
      </c>
      <c r="F9" s="312">
        <f>WC!E40</f>
        <v>4.5375657352941232</v>
      </c>
      <c r="G9" s="312">
        <f>WC!F40</f>
        <v>4.7644440220588109</v>
      </c>
      <c r="H9" s="312">
        <f>WC!G40</f>
        <v>5.0026662231617962</v>
      </c>
      <c r="I9" s="312">
        <f>WC!H40</f>
        <v>5.2527995343198768</v>
      </c>
      <c r="J9" s="312">
        <f>WC!I40</f>
        <v>5.5154395110358507</v>
      </c>
      <c r="K9" s="312">
        <f>WC!J40</f>
        <v>5.7912114865876134</v>
      </c>
      <c r="L9" s="312">
        <f>WC!K40</f>
        <v>6.0807720609170275</v>
      </c>
      <c r="M9" s="312">
        <f>WC!L40</f>
        <v>6.3848106639628668</v>
      </c>
      <c r="N9" s="312">
        <f>WC!M40</f>
        <v>6.7040511971610499</v>
      </c>
    </row>
    <row r="10" spans="2:14" ht="18" customHeight="1" x14ac:dyDescent="0.25">
      <c r="B10" s="309" t="s">
        <v>772</v>
      </c>
      <c r="C10" s="312">
        <f>'Cash Flow'!B15</f>
        <v>2877.9850000000001</v>
      </c>
      <c r="D10" s="312">
        <f>'Cash Flow'!C15</f>
        <v>0</v>
      </c>
      <c r="E10" s="312">
        <f>'Cash Flow'!D15</f>
        <v>0</v>
      </c>
      <c r="F10" s="312">
        <f>'Cash Flow'!E15</f>
        <v>0</v>
      </c>
      <c r="G10" s="312">
        <f>'Cash Flow'!F15</f>
        <v>0</v>
      </c>
      <c r="H10" s="312">
        <f>'Cash Flow'!G15</f>
        <v>0</v>
      </c>
      <c r="I10" s="312">
        <f>'Cash Flow'!H15</f>
        <v>0</v>
      </c>
      <c r="J10" s="312">
        <f>'Cash Flow'!I15</f>
        <v>0</v>
      </c>
      <c r="K10" s="312">
        <f>'Cash Flow'!J15</f>
        <v>0</v>
      </c>
      <c r="L10" s="312">
        <f>'Cash Flow'!K15</f>
        <v>0</v>
      </c>
      <c r="M10" s="312">
        <f>'Cash Flow'!L15</f>
        <v>0</v>
      </c>
      <c r="N10" s="312">
        <f>'Cash Flow'!M15</f>
        <v>0</v>
      </c>
    </row>
    <row r="11" spans="2:14" ht="18" customHeight="1" x14ac:dyDescent="0.25">
      <c r="B11" s="318" t="s">
        <v>773</v>
      </c>
      <c r="C11" s="317">
        <f>C7+C8-C9-C10</f>
        <v>-2877.9850000000001</v>
      </c>
      <c r="D11" s="317">
        <f t="shared" ref="D11:N11" si="4">D7+D8-D9-D10</f>
        <v>385.08045759038981</v>
      </c>
      <c r="E11" s="317">
        <f t="shared" si="4"/>
        <v>576.7729193211652</v>
      </c>
      <c r="F11" s="317">
        <f t="shared" si="4"/>
        <v>616.99986961049274</v>
      </c>
      <c r="G11" s="317">
        <f t="shared" si="4"/>
        <v>629.39616869719453</v>
      </c>
      <c r="H11" s="317">
        <f t="shared" si="4"/>
        <v>645.02787160401374</v>
      </c>
      <c r="I11" s="317">
        <f t="shared" si="4"/>
        <v>665.23572233049299</v>
      </c>
      <c r="J11" s="317">
        <f t="shared" si="4"/>
        <v>686.74056891103044</v>
      </c>
      <c r="K11" s="317">
        <f t="shared" si="4"/>
        <v>710.96529020852722</v>
      </c>
      <c r="L11" s="317">
        <f t="shared" si="4"/>
        <v>737.8113484936373</v>
      </c>
      <c r="M11" s="317">
        <f t="shared" si="4"/>
        <v>767.20924253102794</v>
      </c>
      <c r="N11" s="317">
        <f t="shared" si="4"/>
        <v>799.07864803093639</v>
      </c>
    </row>
    <row r="13" spans="2:14" hidden="1" x14ac:dyDescent="0.25">
      <c r="B13" s="319" t="s">
        <v>774</v>
      </c>
      <c r="C13" s="320">
        <f>SUM(D11:H11)</f>
        <v>2853.277286823256</v>
      </c>
      <c r="D13" s="320">
        <f>-C11-C13</f>
        <v>24.707713176744164</v>
      </c>
      <c r="E13" s="320">
        <f>D13/I11</f>
        <v>3.71412904439146E-2</v>
      </c>
    </row>
    <row r="14" spans="2:14" x14ac:dyDescent="0.25">
      <c r="B14" s="319" t="s">
        <v>775</v>
      </c>
      <c r="C14" s="321">
        <v>5</v>
      </c>
      <c r="D14" s="320">
        <f>E13</f>
        <v>3.71412904439146E-2</v>
      </c>
      <c r="E14" s="322">
        <f>C14+D14</f>
        <v>5.0371412904439143</v>
      </c>
    </row>
    <row r="16" spans="2:14" hidden="1" x14ac:dyDescent="0.25">
      <c r="B16" s="325" t="s">
        <v>781</v>
      </c>
      <c r="C16" s="326">
        <f>'CoP-MoF'!C18</f>
        <v>200000000</v>
      </c>
      <c r="D16" s="325"/>
      <c r="E16" s="325"/>
    </row>
    <row r="17" spans="2:14" hidden="1" x14ac:dyDescent="0.25">
      <c r="B17" s="325" t="s">
        <v>721</v>
      </c>
      <c r="C17" s="326">
        <f>'CoP-MoF'!C17</f>
        <v>89000000</v>
      </c>
      <c r="D17" s="325"/>
      <c r="E17" s="325"/>
    </row>
    <row r="18" spans="2:14" hidden="1" x14ac:dyDescent="0.25">
      <c r="B18" s="325" t="s">
        <v>782</v>
      </c>
      <c r="C18" s="326">
        <f>SUM(C16:C17)</f>
        <v>289000000</v>
      </c>
      <c r="D18" s="325"/>
      <c r="E18" s="325"/>
    </row>
    <row r="19" spans="2:14" hidden="1" x14ac:dyDescent="0.25">
      <c r="B19" s="325" t="s">
        <v>776</v>
      </c>
      <c r="C19" s="327">
        <f>C16/C18</f>
        <v>0.69204152249134943</v>
      </c>
      <c r="D19" s="325"/>
      <c r="E19" s="325"/>
    </row>
    <row r="20" spans="2:14" hidden="1" x14ac:dyDescent="0.25">
      <c r="B20" s="325" t="s">
        <v>777</v>
      </c>
      <c r="C20" s="327">
        <f>C17/C18</f>
        <v>0.30795847750865052</v>
      </c>
      <c r="D20" s="325"/>
      <c r="E20" s="325"/>
    </row>
    <row r="21" spans="2:14" hidden="1" x14ac:dyDescent="0.25">
      <c r="B21" s="325" t="s">
        <v>778</v>
      </c>
      <c r="C21" s="328">
        <f>10.5%*(1-33.93%)</f>
        <v>6.9373500000000005E-2</v>
      </c>
      <c r="D21" s="325"/>
      <c r="E21" s="325"/>
    </row>
    <row r="22" spans="2:14" hidden="1" x14ac:dyDescent="0.25">
      <c r="B22" s="325" t="s">
        <v>779</v>
      </c>
      <c r="C22" s="329">
        <v>0.15</v>
      </c>
      <c r="D22" s="330" t="s">
        <v>780</v>
      </c>
      <c r="E22" s="325"/>
    </row>
    <row r="23" spans="2:14" hidden="1" x14ac:dyDescent="0.25">
      <c r="B23" s="325"/>
      <c r="C23" s="325"/>
      <c r="D23" s="325"/>
      <c r="E23" s="325"/>
    </row>
    <row r="24" spans="2:14" x14ac:dyDescent="0.25">
      <c r="B24" s="325" t="s">
        <v>783</v>
      </c>
      <c r="C24" s="327">
        <f>C19*C21+C20*C22</f>
        <v>9.4203114186851206E-2</v>
      </c>
      <c r="D24" s="325"/>
      <c r="E24" s="325"/>
    </row>
    <row r="25" spans="2:14" x14ac:dyDescent="0.25">
      <c r="B25" s="325" t="s">
        <v>784</v>
      </c>
      <c r="C25" s="327">
        <v>0.01</v>
      </c>
      <c r="D25" s="325"/>
      <c r="E25" s="325"/>
    </row>
    <row r="26" spans="2:14" x14ac:dyDescent="0.25">
      <c r="B26" s="323" t="s">
        <v>785</v>
      </c>
      <c r="C26" s="324">
        <f>C24+C25</f>
        <v>0.1042031141868512</v>
      </c>
      <c r="D26" s="323"/>
      <c r="E26" s="323"/>
    </row>
    <row r="28" spans="2:14" x14ac:dyDescent="0.25">
      <c r="B28" s="325" t="s">
        <v>786</v>
      </c>
      <c r="C28" s="325"/>
      <c r="D28" s="325">
        <f>9/12</f>
        <v>0.75</v>
      </c>
      <c r="E28" s="325">
        <f>D28+1</f>
        <v>1.75</v>
      </c>
      <c r="F28" s="325">
        <f t="shared" ref="F28:N28" si="5">E28+1</f>
        <v>2.75</v>
      </c>
      <c r="G28" s="325">
        <f t="shared" si="5"/>
        <v>3.75</v>
      </c>
      <c r="H28" s="325">
        <f t="shared" si="5"/>
        <v>4.75</v>
      </c>
      <c r="I28" s="325">
        <f t="shared" si="5"/>
        <v>5.75</v>
      </c>
      <c r="J28" s="325">
        <f t="shared" si="5"/>
        <v>6.75</v>
      </c>
      <c r="K28" s="325">
        <f t="shared" si="5"/>
        <v>7.75</v>
      </c>
      <c r="L28" s="325">
        <f t="shared" si="5"/>
        <v>8.75</v>
      </c>
      <c r="M28" s="325">
        <f t="shared" si="5"/>
        <v>9.75</v>
      </c>
      <c r="N28" s="325">
        <f t="shared" si="5"/>
        <v>10.75</v>
      </c>
    </row>
    <row r="30" spans="2:14" x14ac:dyDescent="0.25">
      <c r="B30" s="325" t="s">
        <v>787</v>
      </c>
      <c r="C30" s="325"/>
      <c r="D30" s="331">
        <f>1/(1+$C$26)^D28</f>
        <v>0.92835327591890349</v>
      </c>
      <c r="E30" s="331">
        <f t="shared" ref="E30:N30" si="6">1/(1+$C$26)^E28</f>
        <v>0.84074502597518408</v>
      </c>
      <c r="F30" s="331">
        <f t="shared" si="6"/>
        <v>0.76140432423460358</v>
      </c>
      <c r="G30" s="331">
        <f t="shared" si="6"/>
        <v>0.68955096616921885</v>
      </c>
      <c r="H30" s="331">
        <f t="shared" si="6"/>
        <v>0.62447837477529011</v>
      </c>
      <c r="I30" s="331">
        <f t="shared" si="6"/>
        <v>0.56554665237940738</v>
      </c>
      <c r="J30" s="331">
        <f t="shared" si="6"/>
        <v>0.51217628814231608</v>
      </c>
      <c r="K30" s="331">
        <f t="shared" si="6"/>
        <v>0.46384245938256485</v>
      </c>
      <c r="L30" s="331">
        <f t="shared" si="6"/>
        <v>0.42006987068148605</v>
      </c>
      <c r="M30" s="331">
        <f t="shared" si="6"/>
        <v>0.38042808001934564</v>
      </c>
      <c r="N30" s="331">
        <f t="shared" si="6"/>
        <v>0.34452726598176425</v>
      </c>
    </row>
    <row r="32" spans="2:14" x14ac:dyDescent="0.25">
      <c r="B32" s="325" t="s">
        <v>788</v>
      </c>
      <c r="C32" s="325"/>
      <c r="D32" s="331">
        <f t="shared" ref="D32:N32" si="7">D11*D30</f>
        <v>357.49070429638874</v>
      </c>
      <c r="E32" s="331">
        <f t="shared" si="7"/>
        <v>484.91896303645581</v>
      </c>
      <c r="F32" s="331">
        <f t="shared" si="7"/>
        <v>469.78636877361572</v>
      </c>
      <c r="G32" s="331">
        <f t="shared" si="7"/>
        <v>434.00073622835515</v>
      </c>
      <c r="H32" s="331">
        <f t="shared" si="7"/>
        <v>402.805956944039</v>
      </c>
      <c r="I32" s="331">
        <f t="shared" si="7"/>
        <v>376.2218358072073</v>
      </c>
      <c r="J32" s="331">
        <f t="shared" si="7"/>
        <v>351.732235501594</v>
      </c>
      <c r="K32" s="331">
        <f t="shared" si="7"/>
        <v>329.77588874596222</v>
      </c>
      <c r="L32" s="331">
        <f t="shared" si="7"/>
        <v>309.93231774905507</v>
      </c>
      <c r="M32" s="331">
        <f t="shared" si="7"/>
        <v>291.86793910917544</v>
      </c>
      <c r="N32" s="331">
        <f t="shared" si="7"/>
        <v>275.30438191050303</v>
      </c>
    </row>
    <row r="34" spans="2:14" x14ac:dyDescent="0.25">
      <c r="B34" s="325" t="s">
        <v>789</v>
      </c>
      <c r="C34" s="325"/>
      <c r="D34" s="331">
        <f>SUM(D32:N32)</f>
        <v>4083.8373281023514</v>
      </c>
    </row>
    <row r="36" spans="2:14" x14ac:dyDescent="0.25">
      <c r="B36" s="325" t="s">
        <v>790</v>
      </c>
      <c r="C36" s="325"/>
      <c r="D36" s="331">
        <f>C11</f>
        <v>-2877.9850000000001</v>
      </c>
    </row>
    <row r="37" spans="2:14" ht="20.25" hidden="1" customHeight="1" x14ac:dyDescent="0.25"/>
    <row r="39" spans="2:14" x14ac:dyDescent="0.25">
      <c r="B39" s="325" t="s">
        <v>791</v>
      </c>
      <c r="C39" s="325"/>
      <c r="D39" s="331">
        <f>D34+D36</f>
        <v>1205.8523281023513</v>
      </c>
    </row>
    <row r="40" spans="2:14" hidden="1" x14ac:dyDescent="0.25">
      <c r="C40" s="332">
        <f>D36</f>
        <v>-2877.9850000000001</v>
      </c>
      <c r="D40" s="332">
        <f>D32</f>
        <v>357.49070429638874</v>
      </c>
      <c r="E40" s="332">
        <f t="shared" ref="E40:N40" si="8">E32</f>
        <v>484.91896303645581</v>
      </c>
      <c r="F40" s="332">
        <f t="shared" si="8"/>
        <v>469.78636877361572</v>
      </c>
      <c r="G40" s="332">
        <f t="shared" si="8"/>
        <v>434.00073622835515</v>
      </c>
      <c r="H40" s="332">
        <f t="shared" si="8"/>
        <v>402.805956944039</v>
      </c>
      <c r="I40" s="332">
        <f t="shared" si="8"/>
        <v>376.2218358072073</v>
      </c>
      <c r="J40" s="332">
        <f t="shared" si="8"/>
        <v>351.732235501594</v>
      </c>
      <c r="K40" s="332">
        <f t="shared" si="8"/>
        <v>329.77588874596222</v>
      </c>
      <c r="L40" s="332">
        <f t="shared" si="8"/>
        <v>309.93231774905507</v>
      </c>
      <c r="M40" s="332">
        <f t="shared" si="8"/>
        <v>291.86793910917544</v>
      </c>
      <c r="N40" s="332">
        <f t="shared" si="8"/>
        <v>275.30438191050303</v>
      </c>
    </row>
    <row r="42" spans="2:14" x14ac:dyDescent="0.25">
      <c r="B42" s="325" t="s">
        <v>335</v>
      </c>
      <c r="C42" s="325"/>
      <c r="D42" s="329">
        <f>XIRR(C11:N11,C1:N1)</f>
        <v>0.17474263310432434</v>
      </c>
    </row>
  </sheetData>
  <customSheetViews>
    <customSheetView guid="{22475485-DA09-46DB-978D-BB94CE1E5597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Det CoP_MOF</vt:lpstr>
      <vt:lpstr>Sheet2</vt:lpstr>
      <vt:lpstr>CoP-MoF</vt:lpstr>
      <vt:lpstr>Det Assump</vt:lpstr>
      <vt:lpstr>Assump</vt:lpstr>
      <vt:lpstr>P &amp; L</vt:lpstr>
      <vt:lpstr>BS</vt:lpstr>
      <vt:lpstr>Cash Flow</vt:lpstr>
      <vt:lpstr>DSCR</vt:lpstr>
      <vt:lpstr>Loan Assumptions</vt:lpstr>
      <vt:lpstr>TL Schd</vt:lpstr>
      <vt:lpstr>Ratio</vt:lpstr>
      <vt:lpstr>WC</vt:lpstr>
      <vt:lpstr>PBP-IRR</vt:lpstr>
      <vt:lpstr>NPV</vt:lpstr>
      <vt:lpstr>Tax</vt:lpstr>
      <vt:lpstr>P E</vt:lpstr>
      <vt:lpstr>PE</vt:lpstr>
      <vt:lpstr>Depr</vt:lpstr>
      <vt:lpstr>sal &amp; wages</vt:lpstr>
      <vt:lpstr>Sheet1</vt:lpstr>
      <vt:lpstr>NPV IRR</vt:lpstr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P Mishra</dc:creator>
  <cp:lastModifiedBy>Gaurav Kumar</cp:lastModifiedBy>
  <cp:lastPrinted>2022-05-12T11:22:57Z</cp:lastPrinted>
  <dcterms:created xsi:type="dcterms:W3CDTF">2015-03-21T00:42:44Z</dcterms:created>
  <dcterms:modified xsi:type="dcterms:W3CDTF">2023-08-03T08:22:54Z</dcterms:modified>
</cp:coreProperties>
</file>