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mc:AlternateContent xmlns:mc="http://schemas.openxmlformats.org/markup-compatibility/2006">
    <mc:Choice Requires="x15">
      <x15ac:absPath xmlns:x15ac="http://schemas.microsoft.com/office/spreadsheetml/2010/11/ac" url="Y:\Files For Review\Rajani Gupta Ma'am\AUGUST MONTH 2023\VIS(2023-24)-PL211-182-257_RRL Steel Limited\"/>
    </mc:Choice>
  </mc:AlternateContent>
  <xr:revisionPtr revIDLastSave="0" documentId="13_ncr:1_{2DAF5760-CD32-4226-85A7-99521E09D4D8}"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Y46" i="1"/>
  <c r="Z46" i="1" s="1"/>
  <c r="T46" i="1"/>
  <c r="V46" i="1" s="1"/>
  <c r="F24" i="1" l="1"/>
  <c r="H23" i="1"/>
  <c r="H22" i="1"/>
  <c r="H21" i="1"/>
  <c r="H20" i="1"/>
  <c r="H19" i="1"/>
  <c r="H18" i="1"/>
  <c r="H17" i="1"/>
  <c r="H16" i="1"/>
  <c r="H15" i="1"/>
  <c r="H14" i="1"/>
  <c r="H13" i="1"/>
  <c r="H12" i="1"/>
  <c r="H11" i="1"/>
  <c r="H10" i="1"/>
  <c r="H9" i="1"/>
  <c r="H8" i="1"/>
  <c r="K17" i="1"/>
  <c r="N17" i="1"/>
  <c r="K18" i="1"/>
  <c r="N18" i="1"/>
  <c r="F17" i="1"/>
  <c r="G17" i="1" s="1"/>
  <c r="P17" i="1" s="1"/>
  <c r="F18" i="1"/>
  <c r="G18" i="1" s="1"/>
  <c r="P18" i="1" s="1"/>
  <c r="W15" i="1"/>
  <c r="F25" i="1"/>
  <c r="F23" i="1"/>
  <c r="F22" i="1"/>
  <c r="F21" i="1"/>
  <c r="F20" i="1"/>
  <c r="F19" i="1"/>
  <c r="F16" i="1"/>
  <c r="F15" i="1"/>
  <c r="F14" i="1"/>
  <c r="F12" i="1"/>
  <c r="F13" i="1"/>
  <c r="F11" i="1"/>
  <c r="F10" i="1"/>
  <c r="F9" i="1"/>
  <c r="F8" i="1"/>
  <c r="F7" i="1"/>
  <c r="F6" i="1"/>
  <c r="F5" i="1"/>
  <c r="Q17" i="1" l="1"/>
  <c r="R17" i="1" s="1"/>
  <c r="T17" i="1" s="1"/>
  <c r="F26" i="1"/>
  <c r="Q18" i="1"/>
  <c r="R18" i="1" s="1"/>
  <c r="T18" i="1" s="1"/>
  <c r="J15" i="2"/>
  <c r="J16" i="2" s="1"/>
  <c r="J13" i="2"/>
  <c r="M7" i="2"/>
  <c r="J8" i="2" s="1"/>
  <c r="J9" i="2" s="1"/>
  <c r="D4" i="2"/>
  <c r="E5" i="2"/>
  <c r="D5" i="2" s="1"/>
  <c r="N9" i="1" l="1"/>
  <c r="N10" i="1"/>
  <c r="N11" i="1"/>
  <c r="N12" i="1"/>
  <c r="N13" i="1"/>
  <c r="N14" i="1"/>
  <c r="N15" i="1"/>
  <c r="N16" i="1"/>
  <c r="N19" i="1"/>
  <c r="N20" i="1"/>
  <c r="N21" i="1"/>
  <c r="N22" i="1"/>
  <c r="N23" i="1"/>
  <c r="N24" i="1"/>
  <c r="N25" i="1"/>
  <c r="G23" i="1"/>
  <c r="P23" i="1" s="1"/>
  <c r="P25" i="1"/>
  <c r="P24" i="1" l="1"/>
  <c r="G22" i="1"/>
  <c r="P22" i="1" s="1"/>
  <c r="G21" i="1"/>
  <c r="P21" i="1" s="1"/>
  <c r="G20" i="1"/>
  <c r="P20" i="1" s="1"/>
  <c r="G19" i="1"/>
  <c r="P19" i="1" s="1"/>
  <c r="G16" i="1"/>
  <c r="P16" i="1" s="1"/>
  <c r="G15" i="1"/>
  <c r="P15" i="1" s="1"/>
  <c r="G14" i="1"/>
  <c r="P14" i="1" s="1"/>
  <c r="G13" i="1"/>
  <c r="P13" i="1" s="1"/>
  <c r="G11" i="1"/>
  <c r="P11" i="1" s="1"/>
  <c r="G12" i="1"/>
  <c r="P12" i="1" s="1"/>
  <c r="G8" i="1"/>
  <c r="G9" i="1"/>
  <c r="P9" i="1" s="1"/>
  <c r="K9" i="1"/>
  <c r="K10" i="1"/>
  <c r="K11" i="1"/>
  <c r="K12" i="1"/>
  <c r="K13" i="1"/>
  <c r="K14" i="1"/>
  <c r="K15" i="1"/>
  <c r="K16" i="1"/>
  <c r="K19" i="1"/>
  <c r="K20" i="1"/>
  <c r="K21" i="1"/>
  <c r="K22" i="1"/>
  <c r="K23" i="1"/>
  <c r="Q23" i="1" s="1"/>
  <c r="R23" i="1" s="1"/>
  <c r="T23" i="1" s="1"/>
  <c r="K24" i="1"/>
  <c r="K25" i="1"/>
  <c r="Q25" i="1" s="1"/>
  <c r="R25" i="1" s="1"/>
  <c r="T25" i="1" s="1"/>
  <c r="Q24" i="1" l="1"/>
  <c r="R24" i="1" s="1"/>
  <c r="T24" i="1" s="1"/>
  <c r="Q14" i="1"/>
  <c r="R14" i="1" s="1"/>
  <c r="T14" i="1" s="1"/>
  <c r="Q20" i="1"/>
  <c r="R20" i="1" s="1"/>
  <c r="T20" i="1" s="1"/>
  <c r="Q16" i="1"/>
  <c r="R16" i="1" s="1"/>
  <c r="T16" i="1" s="1"/>
  <c r="Q22" i="1"/>
  <c r="R22" i="1" s="1"/>
  <c r="T22" i="1" s="1"/>
  <c r="Q11" i="1"/>
  <c r="R11" i="1" s="1"/>
  <c r="T11" i="1" s="1"/>
  <c r="Q9" i="1"/>
  <c r="R9" i="1" s="1"/>
  <c r="T9" i="1" s="1"/>
  <c r="Q12" i="1"/>
  <c r="R12" i="1" s="1"/>
  <c r="T12" i="1" s="1"/>
  <c r="Q13" i="1"/>
  <c r="R13" i="1" s="1"/>
  <c r="T13" i="1" s="1"/>
  <c r="Q15" i="1"/>
  <c r="R15" i="1" s="1"/>
  <c r="T15" i="1" s="1"/>
  <c r="Q19" i="1"/>
  <c r="R19" i="1" s="1"/>
  <c r="T19" i="1" s="1"/>
  <c r="Q21" i="1"/>
  <c r="R21" i="1" s="1"/>
  <c r="T21" i="1" s="1"/>
  <c r="N8" i="1"/>
  <c r="K6" i="1"/>
  <c r="K7" i="1"/>
  <c r="K8" i="1"/>
  <c r="P8" i="1"/>
  <c r="G7" i="1"/>
  <c r="P7" i="1" s="1"/>
  <c r="N7" i="1"/>
  <c r="Q8" i="1" l="1"/>
  <c r="R8" i="1" s="1"/>
  <c r="T8" i="1" s="1"/>
  <c r="Q7" i="1"/>
  <c r="R7" i="1" s="1"/>
  <c r="T7" i="1" s="1"/>
  <c r="G5" i="1"/>
  <c r="G6" i="1" l="1"/>
  <c r="N6" i="1"/>
  <c r="N5" i="1"/>
  <c r="K5" i="1"/>
  <c r="P6" i="1" l="1"/>
  <c r="P5" i="1"/>
  <c r="Q6" i="1" l="1"/>
  <c r="R6" i="1" s="1"/>
  <c r="T6" i="1" s="1"/>
  <c r="Q5" i="1"/>
  <c r="R5" i="1" l="1"/>
  <c r="T5" i="1" l="1"/>
  <c r="G10" i="1" l="1"/>
  <c r="G26" i="1" s="1"/>
  <c r="P10" i="1" l="1"/>
  <c r="P26" i="1" s="1"/>
  <c r="Q10" i="1" l="1"/>
  <c r="R10" i="1" l="1"/>
  <c r="Q26" i="1"/>
  <c r="T10" i="1" l="1"/>
  <c r="T26" i="1" s="1"/>
  <c r="R26" i="1"/>
  <c r="E39" i="1" l="1"/>
  <c r="E40" i="1" l="1"/>
  <c r="E41" i="1" s="1"/>
  <c r="E43" i="1" l="1"/>
  <c r="E42" i="1"/>
</calcChain>
</file>

<file path=xl/sharedStrings.xml><?xml version="1.0" encoding="utf-8"?>
<sst xmlns="http://schemas.openxmlformats.org/spreadsheetml/2006/main" count="107" uniqueCount="81">
  <si>
    <t>SR. No.</t>
  </si>
  <si>
    <t>Floor</t>
  </si>
  <si>
    <t>Type of Structure</t>
  </si>
  <si>
    <r>
      <t xml:space="preserve">Area 
</t>
    </r>
    <r>
      <rPr>
        <b/>
        <i/>
        <sz val="10"/>
        <rFont val="Calibri"/>
        <family val="2"/>
        <scheme val="minor"/>
      </rPr>
      <t>(in sq.ft)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</si>
  <si>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</si>
  <si>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</si>
  <si>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</si>
  <si>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</si>
  <si>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</si>
  <si>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</si>
  <si>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</si>
  <si>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</si>
  <si>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</si>
  <si>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</si>
  <si>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</si>
  <si>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</si>
  <si>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TOTAL</t>
  </si>
  <si>
    <t>Remarks:</t>
  </si>
  <si>
    <r>
      <t>Area</t>
    </r>
    <r>
      <rPr>
        <b/>
        <sz val="10"/>
        <rFont val="Calibri"/>
        <family val="2"/>
        <scheme val="minor"/>
      </rPr>
      <t xml:space="preserve"> (in sq. mtr.)</t>
    </r>
  </si>
  <si>
    <t>LAND</t>
  </si>
  <si>
    <t>BUILDING</t>
  </si>
  <si>
    <t>TOTAL FMV</t>
  </si>
  <si>
    <t>ROUND OFF</t>
  </si>
  <si>
    <t>RV</t>
  </si>
  <si>
    <t>DV</t>
  </si>
  <si>
    <t>circle rate</t>
  </si>
  <si>
    <t>land</t>
  </si>
  <si>
    <t>building</t>
  </si>
  <si>
    <t>Ground Floor</t>
  </si>
  <si>
    <t>2. All the area details has been taken as per the existing covered area mentioned in the site plan.</t>
  </si>
  <si>
    <t>Total</t>
  </si>
  <si>
    <t>P.D.</t>
  </si>
  <si>
    <t xml:space="preserve">Buildung Name </t>
  </si>
  <si>
    <t xml:space="preserve">Ground Floor </t>
  </si>
  <si>
    <t xml:space="preserve">RCC framed structure </t>
  </si>
  <si>
    <t>Tin shed over steel structure</t>
  </si>
  <si>
    <t>Ground</t>
  </si>
  <si>
    <t xml:space="preserve">GI shed over steel structure </t>
  </si>
  <si>
    <t xml:space="preserve">Raw Material Storage </t>
  </si>
  <si>
    <t>Extra Services (~5% of construction cost)</t>
  </si>
  <si>
    <t>sq yds</t>
  </si>
  <si>
    <t>sq.mtr</t>
  </si>
  <si>
    <r>
      <t xml:space="preserve">Height </t>
    </r>
    <r>
      <rPr>
        <b/>
        <i/>
        <sz val="10"/>
        <rFont val="Calibri"/>
        <family val="2"/>
        <scheme val="minor"/>
      </rPr>
      <t xml:space="preserve">(in ft.) per floor </t>
    </r>
  </si>
  <si>
    <t>BUILDING VALUATION OF M/S. RRL STEEL LIMITED |G.T.ROAD, SALKIA, HOWARH</t>
  </si>
  <si>
    <t>1. All the details pertaing to the building area statement such as area, floor, etc has been taken from the site survey measurement since no building area details have been provide to us.</t>
  </si>
  <si>
    <t>Labour Quarter-1</t>
  </si>
  <si>
    <t>Labour Quarter-2</t>
  </si>
  <si>
    <t xml:space="preserve">Labour Toilet Shed </t>
  </si>
  <si>
    <t>Asbestos roofing sheet mounted on brick wall</t>
  </si>
  <si>
    <t xml:space="preserve">DG shed </t>
  </si>
  <si>
    <t xml:space="preserve">Maintance Shed </t>
  </si>
  <si>
    <t xml:space="preserve">Machine Shop, Sample room &amp; bike stand </t>
  </si>
  <si>
    <t xml:space="preserve">Store 1,2,3 shed </t>
  </si>
  <si>
    <t xml:space="preserve">Store 4 shed </t>
  </si>
  <si>
    <t xml:space="preserve">Sand Store Shed </t>
  </si>
  <si>
    <t>Material shed (lean to on main shed)</t>
  </si>
  <si>
    <t>Main shed (Moulding, Melting &amp; Furnace)</t>
  </si>
  <si>
    <t>Fettling shed (adjacent to main shed)</t>
  </si>
  <si>
    <t xml:space="preserve">Fettling &amp; heat treatment lean to shed </t>
  </si>
  <si>
    <t>Vehicle parking shed</t>
  </si>
  <si>
    <t>Fettling office</t>
  </si>
  <si>
    <t>Fettling office(Terrace)</t>
  </si>
  <si>
    <t xml:space="preserve">Office building </t>
  </si>
  <si>
    <t>Staff Quarter (On terrace)</t>
  </si>
  <si>
    <t>Water Tank</t>
  </si>
  <si>
    <t xml:space="preserve">Moulding office </t>
  </si>
  <si>
    <t xml:space="preserve">Ground +2 Floors </t>
  </si>
  <si>
    <t>Ground +1Floor</t>
  </si>
  <si>
    <t>Tin shed mounted on brick wall</t>
  </si>
  <si>
    <t xml:space="preserve">Asbestos roofing sheet over steel structure </t>
  </si>
  <si>
    <t>Asbestos sheet roofing mounted on brick wall</t>
  </si>
  <si>
    <t xml:space="preserve">Tin shed structure </t>
  </si>
  <si>
    <t>RCC Structure</t>
  </si>
  <si>
    <t>Asbestos shed mounted on brick wall</t>
  </si>
  <si>
    <t xml:space="preserve">Boundary wall &amp; gate </t>
  </si>
  <si>
    <t>3. All the structure that has been taken in the area statemnet belonging to M/s. RRL Steel Limited</t>
  </si>
  <si>
    <t>4. Age of the building has been adopted as per the information gathered during site survey.</t>
  </si>
  <si>
    <t>5. The valuation is done by considering the depreciated replacement cost approach.</t>
  </si>
  <si>
    <t>6. The condition of the builidngs are found to be average to poor.</t>
  </si>
  <si>
    <t>7.Office building &amp; staff quarter (on terrace) situated on R.S. &amp; L.R. Daag no. 83 are excluded from builidng valuation.</t>
  </si>
  <si>
    <t>Ground Floors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</si>
</sst>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4009]\ * #,##0_ ;_ [$₹-4009]\ * \-#,##0_ ;_ [$₹-4009]\ * &quot;-&quot;??_ ;_ @_ "/>
    <numFmt numFmtId="167"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i/>
      <sz val="11"/>
      <color theme="1"/>
      <name val="Calibri"/>
      <family val="2"/>
      <scheme val="minor"/>
    </font>
    <font>
      <b/>
      <sz val="10"/>
      <name val="Calibri"/>
      <family val="2"/>
      <scheme val="minor"/>
    </font>
  </fonts>
  <fills count="6">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4"/>
        <bgColor indexed="64"/>
      </patternFill>
    </fill>
    <fill>
      <patternFill patternType="solid">
        <fgColor rgb="FFFFFF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4" fillId="3" borderId="4" xfId="0" applyFont="1"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wrapText="1"/>
    </xf>
    <xf numFmtId="0" fontId="2" fillId="4" borderId="4" xfId="0" applyFont="1" applyFill="1" applyBorder="1"/>
    <xf numFmtId="166" fontId="0" fillId="5" borderId="4" xfId="0" applyNumberFormat="1" applyFill="1" applyBorder="1"/>
    <xf numFmtId="0" fontId="2" fillId="4" borderId="4" xfId="0" applyFont="1" applyFill="1" applyBorder="1" applyAlignment="1">
      <alignment wrapText="1"/>
    </xf>
    <xf numFmtId="166" fontId="2" fillId="5" borderId="4" xfId="0" applyNumberFormat="1" applyFont="1" applyFill="1" applyBorder="1"/>
    <xf numFmtId="165" fontId="2" fillId="5" borderId="4" xfId="1" applyNumberFormat="1" applyFont="1" applyFill="1" applyBorder="1"/>
    <xf numFmtId="167" fontId="0" fillId="0" borderId="0" xfId="3" applyNumberFormat="1" applyFont="1"/>
    <xf numFmtId="43" fontId="0" fillId="0" borderId="0" xfId="0" applyNumberFormat="1"/>
    <xf numFmtId="1" fontId="0" fillId="0" borderId="0" xfId="0" applyNumberFormat="1"/>
    <xf numFmtId="43" fontId="0" fillId="0" borderId="0" xfId="3" applyFont="1"/>
    <xf numFmtId="0" fontId="2" fillId="4" borderId="0" xfId="0" applyFont="1" applyFill="1"/>
    <xf numFmtId="9" fontId="0" fillId="0" borderId="0" xfId="2" applyFont="1"/>
    <xf numFmtId="9" fontId="0" fillId="5" borderId="4" xfId="2" applyFont="1" applyFill="1" applyBorder="1"/>
    <xf numFmtId="167" fontId="2" fillId="3" borderId="4" xfId="3" applyNumberFormat="1" applyFont="1" applyFill="1" applyBorder="1" applyAlignment="1">
      <alignment horizontal="center" vertical="center"/>
    </xf>
    <xf numFmtId="165" fontId="2" fillId="3" borderId="4" xfId="1" applyNumberFormat="1" applyFont="1" applyFill="1" applyBorder="1" applyAlignment="1">
      <alignment horizontal="center" vertical="center"/>
    </xf>
    <xf numFmtId="167" fontId="0" fillId="0" borderId="0" xfId="0" applyNumberFormat="1"/>
    <xf numFmtId="0" fontId="0" fillId="0" borderId="4" xfId="0" applyBorder="1" applyAlignment="1">
      <alignment horizontal="center" vertical="center" wrapText="1"/>
    </xf>
    <xf numFmtId="1" fontId="0" fillId="0" borderId="4" xfId="0" applyNumberFormat="1" applyBorder="1" applyAlignment="1">
      <alignment horizontal="center" vertical="center"/>
    </xf>
    <xf numFmtId="9" fontId="0" fillId="0" borderId="4" xfId="0" applyNumberFormat="1" applyBorder="1" applyAlignment="1">
      <alignment horizontal="center" vertical="center"/>
    </xf>
    <xf numFmtId="164" fontId="0" fillId="0" borderId="4" xfId="0" applyNumberFormat="1" applyBorder="1" applyAlignment="1">
      <alignment horizontal="center" vertical="center"/>
    </xf>
    <xf numFmtId="165" fontId="0" fillId="0" borderId="4" xfId="1" applyNumberFormat="1" applyFont="1" applyFill="1" applyBorder="1" applyAlignment="1">
      <alignment horizontal="center" vertical="center"/>
    </xf>
    <xf numFmtId="9" fontId="0" fillId="0" borderId="4" xfId="2" applyFont="1" applyFill="1" applyBorder="1" applyAlignment="1">
      <alignment horizontal="center" vertical="center"/>
    </xf>
    <xf numFmtId="2" fontId="0" fillId="0" borderId="4" xfId="0" applyNumberFormat="1" applyBorder="1" applyAlignment="1">
      <alignment horizontal="center" vertical="center" wrapText="1"/>
    </xf>
    <xf numFmtId="0" fontId="0" fillId="5" borderId="4" xfId="0" applyFill="1" applyBorder="1" applyAlignment="1">
      <alignment horizontal="center" vertical="center" wrapText="1"/>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4" xfId="0" applyFont="1" applyFill="1" applyBorder="1" applyAlignment="1">
      <alignment horizontal="center" vertical="center"/>
    </xf>
    <xf numFmtId="0" fontId="6" fillId="0" borderId="4"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 fontId="0" fillId="0" borderId="4" xfId="0" applyNumberFormat="1" applyFill="1" applyBorder="1" applyAlignment="1">
      <alignment horizontal="center" vertical="center"/>
    </xf>
    <xf numFmtId="9" fontId="0" fillId="0" borderId="4" xfId="0" applyNumberFormat="1" applyFill="1" applyBorder="1" applyAlignment="1">
      <alignment horizontal="center" vertical="center"/>
    </xf>
    <xf numFmtId="164" fontId="0" fillId="0" borderId="4" xfId="0" applyNumberFormat="1" applyFill="1" applyBorder="1" applyAlignment="1">
      <alignment horizontal="center" vertical="center"/>
    </xf>
    <xf numFmtId="0" fontId="0" fillId="0" borderId="0" xfId="0" applyFill="1"/>
    <xf numFmtId="167" fontId="0" fillId="0" borderId="0" xfId="3" applyNumberFormat="1" applyFont="1" applyFill="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Z53"/>
  <sheetViews>
    <sheetView tabSelected="1" topLeftCell="A32" zoomScale="85" zoomScaleNormal="85" workbookViewId="0">
      <selection activeCell="V6" sqref="V6"/>
    </sheetView>
  </sheetViews>
  <sheetFormatPr defaultRowHeight="15" x14ac:dyDescent="0.25"/>
  <cols>
    <col min="1" max="1" width="7.42578125" customWidth="1"/>
    <col min="2" max="2" width="6.5703125" customWidth="1"/>
    <col min="3" max="3" width="18.28515625" style="3" customWidth="1"/>
    <col min="4" max="4" width="17.42578125" customWidth="1"/>
    <col min="5" max="5" width="17.28515625" style="3" customWidth="1"/>
    <col min="6" max="6" width="10.5703125" style="3" customWidth="1"/>
    <col min="7" max="7" width="7.42578125" customWidth="1"/>
    <col min="8" max="8" width="9.5703125" customWidth="1"/>
    <col min="9" max="9" width="11.5703125" customWidth="1"/>
    <col min="10" max="10" width="12.140625" customWidth="1"/>
    <col min="11" max="11" width="10.5703125" hidden="1" customWidth="1"/>
    <col min="12" max="12" width="12.140625" hidden="1" customWidth="1"/>
    <col min="13" max="13" width="11.140625" hidden="1" customWidth="1"/>
    <col min="14" max="14" width="12.140625" hidden="1" customWidth="1"/>
    <col min="15" max="15" width="10.5703125" customWidth="1"/>
    <col min="16" max="16" width="15.140625" customWidth="1"/>
    <col min="17" max="17" width="19.5703125" hidden="1" customWidth="1"/>
    <col min="18" max="18" width="21.28515625" hidden="1" customWidth="1"/>
    <col min="19" max="19" width="12.7109375" hidden="1" customWidth="1"/>
    <col min="20" max="20" width="13.85546875" customWidth="1"/>
    <col min="21" max="21" width="9.140625" customWidth="1"/>
    <col min="22" max="22" width="14.28515625" style="9" bestFit="1" customWidth="1"/>
  </cols>
  <sheetData>
    <row r="3" spans="2:23" ht="26.25" customHeight="1" x14ac:dyDescent="0.25">
      <c r="B3" s="31" t="s">
        <v>43</v>
      </c>
      <c r="C3" s="32"/>
      <c r="D3" s="32"/>
      <c r="E3" s="32"/>
      <c r="F3" s="32"/>
      <c r="G3" s="32"/>
      <c r="H3" s="32"/>
      <c r="I3" s="32"/>
      <c r="J3" s="32"/>
      <c r="K3" s="32"/>
      <c r="L3" s="32"/>
      <c r="M3" s="32"/>
      <c r="N3" s="32"/>
      <c r="O3" s="32"/>
      <c r="P3" s="32"/>
      <c r="Q3" s="32"/>
      <c r="R3" s="32"/>
      <c r="S3" s="32"/>
      <c r="T3" s="33"/>
    </row>
    <row r="4" spans="2:23" ht="60" x14ac:dyDescent="0.25">
      <c r="B4" s="1" t="s">
        <v>0</v>
      </c>
      <c r="C4" s="1" t="s">
        <v>32</v>
      </c>
      <c r="D4" s="1" t="s">
        <v>1</v>
      </c>
      <c r="E4" s="1" t="s">
        <v>2</v>
      </c>
      <c r="F4" s="1" t="s">
        <v>18</v>
      </c>
      <c r="G4" s="1" t="s">
        <v>3</v>
      </c>
      <c r="H4" s="1" t="s">
        <v>42</v>
      </c>
      <c r="I4" s="1" t="s">
        <v>4</v>
      </c>
      <c r="J4" s="1" t="s">
        <v>5</v>
      </c>
      <c r="K4" s="1" t="s">
        <v>6</v>
      </c>
      <c r="L4" s="1" t="s">
        <v>7</v>
      </c>
      <c r="M4" s="1" t="s">
        <v>8</v>
      </c>
      <c r="N4" s="1" t="s">
        <v>9</v>
      </c>
      <c r="O4" s="1" t="s">
        <v>10</v>
      </c>
      <c r="P4" s="1" t="s">
        <v>11</v>
      </c>
      <c r="Q4" s="1" t="s">
        <v>12</v>
      </c>
      <c r="R4" s="1" t="s">
        <v>13</v>
      </c>
      <c r="S4" s="1" t="s">
        <v>14</v>
      </c>
      <c r="T4" s="1" t="s">
        <v>15</v>
      </c>
    </row>
    <row r="5" spans="2:23" ht="50.25" customHeight="1" x14ac:dyDescent="0.25">
      <c r="B5" s="2">
        <v>1</v>
      </c>
      <c r="C5" s="19" t="s">
        <v>45</v>
      </c>
      <c r="D5" s="2" t="s">
        <v>28</v>
      </c>
      <c r="E5" s="19" t="s">
        <v>48</v>
      </c>
      <c r="F5" s="19">
        <f>(7*5.2)+(3.2*2.5)</f>
        <v>44.4</v>
      </c>
      <c r="G5" s="20">
        <f>10.764*F5</f>
        <v>477.92159999999996</v>
      </c>
      <c r="H5" s="20">
        <v>10</v>
      </c>
      <c r="I5" s="2">
        <v>2002</v>
      </c>
      <c r="J5" s="2">
        <v>2023</v>
      </c>
      <c r="K5" s="2">
        <f>J5-I5</f>
        <v>21</v>
      </c>
      <c r="L5" s="2">
        <v>35</v>
      </c>
      <c r="M5" s="21">
        <v>0.1</v>
      </c>
      <c r="N5" s="22">
        <f>(1-M5)/L5</f>
        <v>2.5714285714285714E-2</v>
      </c>
      <c r="O5" s="23">
        <v>1000</v>
      </c>
      <c r="P5" s="23">
        <f>O5*G5</f>
        <v>477921.6</v>
      </c>
      <c r="Q5" s="23">
        <f t="shared" ref="Q5:Q25" si="0">P5*N5*K5</f>
        <v>258077.66399999999</v>
      </c>
      <c r="R5" s="23">
        <f t="shared" ref="R5:R25" si="1">MAX(P5-Q5,0)</f>
        <v>219843.93599999999</v>
      </c>
      <c r="S5" s="24">
        <v>0</v>
      </c>
      <c r="T5" s="23">
        <f t="shared" ref="T5:T25" si="2">IF(R5&gt;M5*P5,R5*(1-S5),P5*M5)</f>
        <v>219843.93599999999</v>
      </c>
    </row>
    <row r="6" spans="2:23" ht="51" customHeight="1" x14ac:dyDescent="0.25">
      <c r="B6" s="2">
        <v>2</v>
      </c>
      <c r="C6" s="19" t="s">
        <v>46</v>
      </c>
      <c r="D6" s="2" t="s">
        <v>28</v>
      </c>
      <c r="E6" s="19" t="s">
        <v>48</v>
      </c>
      <c r="F6" s="25">
        <f>(5.993*5.335)</f>
        <v>31.972655000000003</v>
      </c>
      <c r="G6" s="20">
        <f t="shared" ref="G6:G23" si="3">10.764*F6</f>
        <v>344.15365842</v>
      </c>
      <c r="H6" s="20">
        <v>10</v>
      </c>
      <c r="I6" s="2">
        <v>2002</v>
      </c>
      <c r="J6" s="2">
        <v>2023</v>
      </c>
      <c r="K6" s="2">
        <f t="shared" ref="K6:K25" si="4">J6-I6</f>
        <v>21</v>
      </c>
      <c r="L6" s="2">
        <v>35</v>
      </c>
      <c r="M6" s="21">
        <v>0.1</v>
      </c>
      <c r="N6" s="22">
        <f>(1-M6)/L6</f>
        <v>2.5714285714285714E-2</v>
      </c>
      <c r="O6" s="23">
        <v>1000</v>
      </c>
      <c r="P6" s="23">
        <f>O6*G6</f>
        <v>344153.65841999999</v>
      </c>
      <c r="Q6" s="23">
        <f t="shared" si="0"/>
        <v>185842.97554679998</v>
      </c>
      <c r="R6" s="23">
        <f t="shared" si="1"/>
        <v>158310.68287320001</v>
      </c>
      <c r="S6" s="24">
        <v>0</v>
      </c>
      <c r="T6" s="23">
        <f t="shared" si="2"/>
        <v>158310.68287320001</v>
      </c>
    </row>
    <row r="7" spans="2:23" ht="54" customHeight="1" x14ac:dyDescent="0.25">
      <c r="B7" s="2">
        <v>3</v>
      </c>
      <c r="C7" s="19" t="s">
        <v>47</v>
      </c>
      <c r="D7" s="2" t="s">
        <v>28</v>
      </c>
      <c r="E7" s="19" t="s">
        <v>48</v>
      </c>
      <c r="F7" s="25">
        <f>2.398*1.7</f>
        <v>4.0766</v>
      </c>
      <c r="G7" s="20">
        <f t="shared" si="3"/>
        <v>43.880522399999997</v>
      </c>
      <c r="H7" s="20">
        <v>10</v>
      </c>
      <c r="I7" s="2">
        <v>2002</v>
      </c>
      <c r="J7" s="2">
        <v>2023</v>
      </c>
      <c r="K7" s="2">
        <f t="shared" si="4"/>
        <v>21</v>
      </c>
      <c r="L7" s="2">
        <v>35</v>
      </c>
      <c r="M7" s="21">
        <v>0.1</v>
      </c>
      <c r="N7" s="22">
        <f t="shared" ref="N7:N25" si="5">(1-M7)/L7</f>
        <v>2.5714285714285714E-2</v>
      </c>
      <c r="O7" s="23">
        <v>800</v>
      </c>
      <c r="P7" s="23">
        <f t="shared" ref="P7:P25" si="6">O7*G7</f>
        <v>35104.41792</v>
      </c>
      <c r="Q7" s="23">
        <f t="shared" si="0"/>
        <v>18956.385676800001</v>
      </c>
      <c r="R7" s="23">
        <f t="shared" si="1"/>
        <v>16148.032243199999</v>
      </c>
      <c r="S7" s="24">
        <v>0</v>
      </c>
      <c r="T7" s="23">
        <f t="shared" si="2"/>
        <v>16148.032243199999</v>
      </c>
    </row>
    <row r="8" spans="2:23" ht="46.5" customHeight="1" x14ac:dyDescent="0.25">
      <c r="B8" s="2">
        <v>4</v>
      </c>
      <c r="C8" s="19" t="s">
        <v>49</v>
      </c>
      <c r="D8" s="2" t="s">
        <v>28</v>
      </c>
      <c r="E8" s="19" t="s">
        <v>48</v>
      </c>
      <c r="F8" s="25">
        <f>6.37*4.2</f>
        <v>26.754000000000001</v>
      </c>
      <c r="G8" s="20">
        <f t="shared" si="3"/>
        <v>287.98005599999999</v>
      </c>
      <c r="H8" s="20">
        <f>3.5*3.28</f>
        <v>11.479999999999999</v>
      </c>
      <c r="I8" s="2">
        <v>1990</v>
      </c>
      <c r="J8" s="2">
        <v>2023</v>
      </c>
      <c r="K8" s="2">
        <f t="shared" si="4"/>
        <v>33</v>
      </c>
      <c r="L8" s="2">
        <v>35</v>
      </c>
      <c r="M8" s="21">
        <v>0.1</v>
      </c>
      <c r="N8" s="22">
        <f t="shared" si="5"/>
        <v>2.5714285714285714E-2</v>
      </c>
      <c r="O8" s="23">
        <v>800</v>
      </c>
      <c r="P8" s="23">
        <f t="shared" si="6"/>
        <v>230384.0448</v>
      </c>
      <c r="Q8" s="23">
        <f t="shared" si="0"/>
        <v>195497.31801599998</v>
      </c>
      <c r="R8" s="23">
        <f t="shared" si="1"/>
        <v>34886.726784000028</v>
      </c>
      <c r="S8" s="24">
        <v>0</v>
      </c>
      <c r="T8" s="23">
        <f t="shared" si="2"/>
        <v>34886.726784000028</v>
      </c>
    </row>
    <row r="9" spans="2:23" ht="45.75" customHeight="1" x14ac:dyDescent="0.25">
      <c r="B9" s="2">
        <v>5</v>
      </c>
      <c r="C9" s="19" t="s">
        <v>50</v>
      </c>
      <c r="D9" s="2" t="s">
        <v>33</v>
      </c>
      <c r="E9" s="19" t="s">
        <v>48</v>
      </c>
      <c r="F9" s="25">
        <f>6.021*5.409</f>
        <v>32.567588999999998</v>
      </c>
      <c r="G9" s="20">
        <f t="shared" si="3"/>
        <v>350.55752799599998</v>
      </c>
      <c r="H9" s="20">
        <f>3.7*3.28</f>
        <v>12.135999999999999</v>
      </c>
      <c r="I9" s="2">
        <v>2003</v>
      </c>
      <c r="J9" s="2">
        <v>2023</v>
      </c>
      <c r="K9" s="2">
        <f t="shared" si="4"/>
        <v>20</v>
      </c>
      <c r="L9" s="2">
        <v>35</v>
      </c>
      <c r="M9" s="21">
        <v>0.1</v>
      </c>
      <c r="N9" s="22">
        <f t="shared" si="5"/>
        <v>2.5714285714285714E-2</v>
      </c>
      <c r="O9" s="23">
        <v>800</v>
      </c>
      <c r="P9" s="23">
        <f t="shared" si="6"/>
        <v>280446.02239679999</v>
      </c>
      <c r="Q9" s="23">
        <f t="shared" si="0"/>
        <v>144229.3829469257</v>
      </c>
      <c r="R9" s="23">
        <f t="shared" si="1"/>
        <v>136216.63944987429</v>
      </c>
      <c r="S9" s="24">
        <v>0</v>
      </c>
      <c r="T9" s="23">
        <f t="shared" si="2"/>
        <v>136216.63944987429</v>
      </c>
    </row>
    <row r="10" spans="2:23" ht="43.5" customHeight="1" x14ac:dyDescent="0.25">
      <c r="B10" s="2">
        <v>6</v>
      </c>
      <c r="C10" s="19" t="s">
        <v>51</v>
      </c>
      <c r="D10" s="2" t="s">
        <v>33</v>
      </c>
      <c r="E10" s="19" t="s">
        <v>48</v>
      </c>
      <c r="F10" s="25">
        <f>14.363*6.216</f>
        <v>89.280407999999994</v>
      </c>
      <c r="G10" s="20">
        <f t="shared" si="3"/>
        <v>961.01431171199988</v>
      </c>
      <c r="H10" s="20">
        <f>2.6*3.28</f>
        <v>8.5280000000000005</v>
      </c>
      <c r="I10" s="2">
        <v>2003</v>
      </c>
      <c r="J10" s="2">
        <v>2023</v>
      </c>
      <c r="K10" s="2">
        <f t="shared" si="4"/>
        <v>20</v>
      </c>
      <c r="L10" s="2">
        <v>35</v>
      </c>
      <c r="M10" s="21">
        <v>0.1</v>
      </c>
      <c r="N10" s="22">
        <f t="shared" si="5"/>
        <v>2.5714285714285714E-2</v>
      </c>
      <c r="O10" s="23">
        <v>800</v>
      </c>
      <c r="P10" s="23">
        <f t="shared" si="6"/>
        <v>768811.44936959993</v>
      </c>
      <c r="Q10" s="23">
        <f t="shared" si="0"/>
        <v>395388.74539007992</v>
      </c>
      <c r="R10" s="23">
        <f t="shared" si="1"/>
        <v>373422.70397952001</v>
      </c>
      <c r="S10" s="24">
        <v>0</v>
      </c>
      <c r="T10" s="23">
        <f t="shared" si="2"/>
        <v>373422.70397952001</v>
      </c>
    </row>
    <row r="11" spans="2:23" ht="48" customHeight="1" x14ac:dyDescent="0.25">
      <c r="B11" s="2">
        <v>7</v>
      </c>
      <c r="C11" s="19" t="s">
        <v>52</v>
      </c>
      <c r="D11" s="2" t="s">
        <v>33</v>
      </c>
      <c r="E11" s="19" t="s">
        <v>68</v>
      </c>
      <c r="F11" s="25">
        <f>13*4.976</f>
        <v>64.688000000000002</v>
      </c>
      <c r="G11" s="20">
        <f t="shared" si="3"/>
        <v>696.30163199999993</v>
      </c>
      <c r="H11" s="20">
        <f>3*3.28</f>
        <v>9.84</v>
      </c>
      <c r="I11" s="2">
        <v>2003</v>
      </c>
      <c r="J11" s="2">
        <v>2023</v>
      </c>
      <c r="K11" s="2">
        <f t="shared" si="4"/>
        <v>20</v>
      </c>
      <c r="L11" s="2">
        <v>35</v>
      </c>
      <c r="M11" s="21">
        <v>0.1</v>
      </c>
      <c r="N11" s="22">
        <f t="shared" si="5"/>
        <v>2.5714285714285714E-2</v>
      </c>
      <c r="O11" s="23">
        <v>1000</v>
      </c>
      <c r="P11" s="23">
        <f t="shared" si="6"/>
        <v>696301.63199999998</v>
      </c>
      <c r="Q11" s="23">
        <f t="shared" si="0"/>
        <v>358097.98217142851</v>
      </c>
      <c r="R11" s="23">
        <f t="shared" si="1"/>
        <v>338203.64982857148</v>
      </c>
      <c r="S11" s="24">
        <v>0</v>
      </c>
      <c r="T11" s="23">
        <f t="shared" si="2"/>
        <v>338203.64982857148</v>
      </c>
    </row>
    <row r="12" spans="2:23" ht="48" customHeight="1" x14ac:dyDescent="0.25">
      <c r="B12" s="2">
        <v>8</v>
      </c>
      <c r="C12" s="19" t="s">
        <v>53</v>
      </c>
      <c r="D12" s="2" t="s">
        <v>28</v>
      </c>
      <c r="E12" s="19" t="s">
        <v>48</v>
      </c>
      <c r="F12" s="19">
        <f>12*5</f>
        <v>60</v>
      </c>
      <c r="G12" s="20">
        <f t="shared" si="3"/>
        <v>645.83999999999992</v>
      </c>
      <c r="H12" s="20">
        <f>3.6*3.28</f>
        <v>11.808</v>
      </c>
      <c r="I12" s="2">
        <v>1995</v>
      </c>
      <c r="J12" s="2">
        <v>2023</v>
      </c>
      <c r="K12" s="2">
        <f t="shared" si="4"/>
        <v>28</v>
      </c>
      <c r="L12" s="2">
        <v>35</v>
      </c>
      <c r="M12" s="21">
        <v>0.1</v>
      </c>
      <c r="N12" s="22">
        <f t="shared" si="5"/>
        <v>2.5714285714285714E-2</v>
      </c>
      <c r="O12" s="23">
        <v>800</v>
      </c>
      <c r="P12" s="23">
        <f t="shared" si="6"/>
        <v>516671.99999999994</v>
      </c>
      <c r="Q12" s="23">
        <f t="shared" si="0"/>
        <v>372003.83999999997</v>
      </c>
      <c r="R12" s="23">
        <f t="shared" si="1"/>
        <v>144668.15999999997</v>
      </c>
      <c r="S12" s="24">
        <v>0</v>
      </c>
      <c r="T12" s="23">
        <f t="shared" si="2"/>
        <v>144668.15999999997</v>
      </c>
    </row>
    <row r="13" spans="2:23" ht="37.5" customHeight="1" x14ac:dyDescent="0.25">
      <c r="B13" s="2">
        <v>9</v>
      </c>
      <c r="C13" s="19" t="s">
        <v>54</v>
      </c>
      <c r="D13" s="2" t="s">
        <v>28</v>
      </c>
      <c r="E13" s="19" t="s">
        <v>37</v>
      </c>
      <c r="F13" s="25">
        <f>13.815*5.503</f>
        <v>76.023944999999998</v>
      </c>
      <c r="G13" s="20">
        <f t="shared" si="3"/>
        <v>818.32174397999995</v>
      </c>
      <c r="H13" s="20">
        <f>3.6*3.28</f>
        <v>11.808</v>
      </c>
      <c r="I13" s="2">
        <v>2000</v>
      </c>
      <c r="J13" s="2">
        <v>2023</v>
      </c>
      <c r="K13" s="2">
        <f t="shared" si="4"/>
        <v>23</v>
      </c>
      <c r="L13" s="2">
        <v>45</v>
      </c>
      <c r="M13" s="21">
        <v>0.1</v>
      </c>
      <c r="N13" s="22">
        <f t="shared" si="5"/>
        <v>0.02</v>
      </c>
      <c r="O13" s="23">
        <v>800</v>
      </c>
      <c r="P13" s="23">
        <f t="shared" si="6"/>
        <v>654657.39518399991</v>
      </c>
      <c r="Q13" s="23">
        <f t="shared" si="0"/>
        <v>301142.40178463998</v>
      </c>
      <c r="R13" s="23">
        <f t="shared" si="1"/>
        <v>353514.99339935993</v>
      </c>
      <c r="S13" s="24">
        <v>0</v>
      </c>
      <c r="T13" s="23">
        <f t="shared" si="2"/>
        <v>353514.99339935993</v>
      </c>
    </row>
    <row r="14" spans="2:23" ht="45.75" customHeight="1" x14ac:dyDescent="0.25">
      <c r="B14" s="2">
        <v>10</v>
      </c>
      <c r="C14" s="19" t="s">
        <v>55</v>
      </c>
      <c r="D14" s="2" t="s">
        <v>28</v>
      </c>
      <c r="E14" s="19" t="s">
        <v>35</v>
      </c>
      <c r="F14" s="25">
        <f>11*6.382</f>
        <v>70.201999999999998</v>
      </c>
      <c r="G14" s="20">
        <f t="shared" si="3"/>
        <v>755.65432799999996</v>
      </c>
      <c r="H14" s="20">
        <f>5.3*3.28</f>
        <v>17.383999999999997</v>
      </c>
      <c r="I14" s="2">
        <v>1998</v>
      </c>
      <c r="J14" s="2">
        <v>2023</v>
      </c>
      <c r="K14" s="2">
        <f t="shared" si="4"/>
        <v>25</v>
      </c>
      <c r="L14" s="2">
        <v>45</v>
      </c>
      <c r="M14" s="21">
        <v>0.1</v>
      </c>
      <c r="N14" s="22">
        <f t="shared" si="5"/>
        <v>0.02</v>
      </c>
      <c r="O14" s="23">
        <v>800</v>
      </c>
      <c r="P14" s="23">
        <f t="shared" si="6"/>
        <v>604523.46239999996</v>
      </c>
      <c r="Q14" s="23">
        <f t="shared" si="0"/>
        <v>302261.73119999998</v>
      </c>
      <c r="R14" s="23">
        <f t="shared" si="1"/>
        <v>302261.73119999998</v>
      </c>
      <c r="S14" s="24">
        <v>0</v>
      </c>
      <c r="T14" s="23">
        <f t="shared" si="2"/>
        <v>302261.73119999998</v>
      </c>
    </row>
    <row r="15" spans="2:23" ht="50.25" customHeight="1" x14ac:dyDescent="0.25">
      <c r="B15" s="2">
        <v>11</v>
      </c>
      <c r="C15" s="19" t="s">
        <v>56</v>
      </c>
      <c r="D15" s="2" t="s">
        <v>28</v>
      </c>
      <c r="E15" s="19" t="s">
        <v>69</v>
      </c>
      <c r="F15" s="19">
        <f>62*12.18</f>
        <v>755.16</v>
      </c>
      <c r="G15" s="20">
        <f t="shared" si="3"/>
        <v>8128.5422399999989</v>
      </c>
      <c r="H15" s="20">
        <f>9*3.28</f>
        <v>29.52</v>
      </c>
      <c r="I15" s="2">
        <v>1990</v>
      </c>
      <c r="J15" s="2">
        <v>2023</v>
      </c>
      <c r="K15" s="2">
        <f t="shared" si="4"/>
        <v>33</v>
      </c>
      <c r="L15" s="2">
        <v>45</v>
      </c>
      <c r="M15" s="21">
        <v>0.1</v>
      </c>
      <c r="N15" s="22">
        <f t="shared" si="5"/>
        <v>0.02</v>
      </c>
      <c r="O15" s="23">
        <v>1200</v>
      </c>
      <c r="P15" s="23">
        <f t="shared" si="6"/>
        <v>9754250.6879999992</v>
      </c>
      <c r="Q15" s="23">
        <f t="shared" si="0"/>
        <v>6437805.4540799987</v>
      </c>
      <c r="R15" s="23">
        <f t="shared" si="1"/>
        <v>3316445.2339200005</v>
      </c>
      <c r="S15" s="24">
        <v>0</v>
      </c>
      <c r="T15" s="23">
        <f t="shared" si="2"/>
        <v>3316445.2339200005</v>
      </c>
      <c r="W15">
        <f>720/10.764</f>
        <v>66.889632107023417</v>
      </c>
    </row>
    <row r="16" spans="2:23" ht="42" customHeight="1" x14ac:dyDescent="0.25">
      <c r="B16" s="2">
        <v>12</v>
      </c>
      <c r="C16" s="19" t="s">
        <v>57</v>
      </c>
      <c r="D16" s="2" t="s">
        <v>28</v>
      </c>
      <c r="E16" s="19" t="s">
        <v>69</v>
      </c>
      <c r="F16" s="19">
        <f>60*13.882</f>
        <v>832.92</v>
      </c>
      <c r="G16" s="20">
        <f t="shared" si="3"/>
        <v>8965.5508799999989</v>
      </c>
      <c r="H16" s="20">
        <f>9*3.28</f>
        <v>29.52</v>
      </c>
      <c r="I16" s="2">
        <v>1990</v>
      </c>
      <c r="J16" s="2">
        <v>2023</v>
      </c>
      <c r="K16" s="2">
        <f t="shared" si="4"/>
        <v>33</v>
      </c>
      <c r="L16" s="2">
        <v>45</v>
      </c>
      <c r="M16" s="21">
        <v>0.1</v>
      </c>
      <c r="N16" s="22">
        <f t="shared" si="5"/>
        <v>0.02</v>
      </c>
      <c r="O16" s="23">
        <v>1200</v>
      </c>
      <c r="P16" s="23">
        <f t="shared" si="6"/>
        <v>10758661.055999998</v>
      </c>
      <c r="Q16" s="23">
        <f t="shared" si="0"/>
        <v>7100716.296959999</v>
      </c>
      <c r="R16" s="23">
        <f t="shared" si="1"/>
        <v>3657944.759039999</v>
      </c>
      <c r="S16" s="24">
        <v>0</v>
      </c>
      <c r="T16" s="23">
        <f t="shared" si="2"/>
        <v>3657944.759039999</v>
      </c>
    </row>
    <row r="17" spans="2:22" ht="42" customHeight="1" x14ac:dyDescent="0.25">
      <c r="B17" s="2">
        <v>13</v>
      </c>
      <c r="C17" s="19" t="s">
        <v>64</v>
      </c>
      <c r="D17" s="19" t="s">
        <v>66</v>
      </c>
      <c r="E17" s="19" t="s">
        <v>34</v>
      </c>
      <c r="F17" s="19">
        <f>3*3.47*8</f>
        <v>83.28</v>
      </c>
      <c r="G17" s="20">
        <f t="shared" si="3"/>
        <v>896.42591999999991</v>
      </c>
      <c r="H17" s="20">
        <f>40/3</f>
        <v>13.333333333333334</v>
      </c>
      <c r="I17" s="2">
        <v>1990</v>
      </c>
      <c r="J17" s="2">
        <v>2023</v>
      </c>
      <c r="K17" s="2">
        <f t="shared" ref="K17:K18" si="7">J17-I17</f>
        <v>33</v>
      </c>
      <c r="L17" s="2">
        <v>65</v>
      </c>
      <c r="M17" s="21">
        <v>0.1</v>
      </c>
      <c r="N17" s="22">
        <f t="shared" ref="N17:N18" si="8">(1-M17)/L17</f>
        <v>1.3846153846153847E-2</v>
      </c>
      <c r="O17" s="23">
        <v>1200</v>
      </c>
      <c r="P17" s="23">
        <f t="shared" ref="P17:P18" si="9">O17*G17</f>
        <v>1075711.1039999998</v>
      </c>
      <c r="Q17" s="23">
        <f t="shared" ref="Q17:Q18" si="10">P17*N17*K17</f>
        <v>491517.2275199999</v>
      </c>
      <c r="R17" s="23">
        <f t="shared" ref="R17:R18" si="11">MAX(P17-Q17,0)</f>
        <v>584193.87647999986</v>
      </c>
      <c r="S17" s="24">
        <v>0</v>
      </c>
      <c r="T17" s="23">
        <f t="shared" ref="T17:T18" si="12">IF(R17&gt;M17*P17,R17*(1-S17),P17*M17)</f>
        <v>584193.87647999986</v>
      </c>
    </row>
    <row r="18" spans="2:22" ht="54" customHeight="1" x14ac:dyDescent="0.25">
      <c r="B18" s="2">
        <v>14</v>
      </c>
      <c r="C18" s="19" t="s">
        <v>65</v>
      </c>
      <c r="D18" s="2" t="s">
        <v>28</v>
      </c>
      <c r="E18" s="19" t="s">
        <v>70</v>
      </c>
      <c r="F18" s="19">
        <f>3.8*8.2</f>
        <v>31.159999999999997</v>
      </c>
      <c r="G18" s="20">
        <f t="shared" si="3"/>
        <v>335.40623999999997</v>
      </c>
      <c r="H18" s="20">
        <f>2*3.28</f>
        <v>6.56</v>
      </c>
      <c r="I18" s="2">
        <v>1990</v>
      </c>
      <c r="J18" s="2">
        <v>2023</v>
      </c>
      <c r="K18" s="2">
        <f t="shared" si="7"/>
        <v>33</v>
      </c>
      <c r="L18" s="2">
        <v>45</v>
      </c>
      <c r="M18" s="21">
        <v>0.1</v>
      </c>
      <c r="N18" s="22">
        <f t="shared" si="8"/>
        <v>0.02</v>
      </c>
      <c r="O18" s="23">
        <v>1100</v>
      </c>
      <c r="P18" s="23">
        <f t="shared" si="9"/>
        <v>368946.86399999994</v>
      </c>
      <c r="Q18" s="23">
        <f t="shared" si="10"/>
        <v>243504.93023999999</v>
      </c>
      <c r="R18" s="23">
        <f t="shared" si="11"/>
        <v>125441.93375999996</v>
      </c>
      <c r="S18" s="24">
        <v>0</v>
      </c>
      <c r="T18" s="23">
        <f t="shared" si="12"/>
        <v>125441.93375999996</v>
      </c>
    </row>
    <row r="19" spans="2:22" ht="52.5" customHeight="1" x14ac:dyDescent="0.25">
      <c r="B19" s="2">
        <v>15</v>
      </c>
      <c r="C19" s="19" t="s">
        <v>58</v>
      </c>
      <c r="D19" s="2" t="s">
        <v>28</v>
      </c>
      <c r="E19" s="19" t="s">
        <v>69</v>
      </c>
      <c r="F19" s="19">
        <f>50*7.67</f>
        <v>383.5</v>
      </c>
      <c r="G19" s="20">
        <f t="shared" si="3"/>
        <v>4127.9939999999997</v>
      </c>
      <c r="H19" s="20">
        <f>5.5*3.28</f>
        <v>18.04</v>
      </c>
      <c r="I19" s="2">
        <v>2004</v>
      </c>
      <c r="J19" s="2">
        <v>2023</v>
      </c>
      <c r="K19" s="2">
        <f t="shared" si="4"/>
        <v>19</v>
      </c>
      <c r="L19" s="2">
        <v>45</v>
      </c>
      <c r="M19" s="21">
        <v>0.1</v>
      </c>
      <c r="N19" s="22">
        <f t="shared" si="5"/>
        <v>0.02</v>
      </c>
      <c r="O19" s="23">
        <v>1000</v>
      </c>
      <c r="P19" s="23">
        <f t="shared" si="6"/>
        <v>4127993.9999999995</v>
      </c>
      <c r="Q19" s="23">
        <f t="shared" si="0"/>
        <v>1568637.7199999997</v>
      </c>
      <c r="R19" s="23">
        <f t="shared" si="1"/>
        <v>2559356.2799999998</v>
      </c>
      <c r="S19" s="24">
        <v>0</v>
      </c>
      <c r="T19" s="23">
        <f t="shared" si="2"/>
        <v>2559356.2799999998</v>
      </c>
    </row>
    <row r="20" spans="2:22" ht="48" customHeight="1" x14ac:dyDescent="0.25">
      <c r="B20" s="2">
        <v>16</v>
      </c>
      <c r="C20" s="19" t="s">
        <v>38</v>
      </c>
      <c r="D20" s="2" t="s">
        <v>28</v>
      </c>
      <c r="E20" s="19" t="s">
        <v>37</v>
      </c>
      <c r="F20" s="19">
        <f>42*5.5</f>
        <v>231</v>
      </c>
      <c r="G20" s="20">
        <f t="shared" si="3"/>
        <v>2486.4839999999999</v>
      </c>
      <c r="H20" s="20">
        <f>4.2*3.28</f>
        <v>13.776</v>
      </c>
      <c r="I20" s="2">
        <v>1990</v>
      </c>
      <c r="J20" s="2">
        <v>2023</v>
      </c>
      <c r="K20" s="2">
        <f t="shared" si="4"/>
        <v>33</v>
      </c>
      <c r="L20" s="2">
        <v>45</v>
      </c>
      <c r="M20" s="21">
        <v>0.1</v>
      </c>
      <c r="N20" s="22">
        <f t="shared" si="5"/>
        <v>0.02</v>
      </c>
      <c r="O20" s="23">
        <v>800</v>
      </c>
      <c r="P20" s="23">
        <f t="shared" si="6"/>
        <v>1989187.2</v>
      </c>
      <c r="Q20" s="23">
        <f t="shared" si="0"/>
        <v>1312863.5519999999</v>
      </c>
      <c r="R20" s="23">
        <f t="shared" si="1"/>
        <v>676323.64800000004</v>
      </c>
      <c r="S20" s="24">
        <v>0</v>
      </c>
      <c r="T20" s="23">
        <f t="shared" si="2"/>
        <v>676323.64800000004</v>
      </c>
    </row>
    <row r="21" spans="2:22" ht="34.5" customHeight="1" x14ac:dyDescent="0.25">
      <c r="B21" s="2">
        <v>17</v>
      </c>
      <c r="C21" s="19" t="s">
        <v>59</v>
      </c>
      <c r="D21" s="2" t="s">
        <v>36</v>
      </c>
      <c r="E21" s="19" t="s">
        <v>71</v>
      </c>
      <c r="F21" s="19">
        <f>12*8</f>
        <v>96</v>
      </c>
      <c r="G21" s="20">
        <f t="shared" si="3"/>
        <v>1033.3440000000001</v>
      </c>
      <c r="H21" s="20">
        <f>5*3.28</f>
        <v>16.399999999999999</v>
      </c>
      <c r="I21" s="2">
        <v>1990</v>
      </c>
      <c r="J21" s="2">
        <v>2023</v>
      </c>
      <c r="K21" s="2">
        <f t="shared" si="4"/>
        <v>33</v>
      </c>
      <c r="L21" s="2">
        <v>35</v>
      </c>
      <c r="M21" s="21">
        <v>0.1</v>
      </c>
      <c r="N21" s="22">
        <f t="shared" si="5"/>
        <v>2.5714285714285714E-2</v>
      </c>
      <c r="O21" s="23">
        <v>800</v>
      </c>
      <c r="P21" s="23">
        <f t="shared" si="6"/>
        <v>826675.20000000007</v>
      </c>
      <c r="Q21" s="23">
        <f t="shared" si="0"/>
        <v>701492.95542857144</v>
      </c>
      <c r="R21" s="23">
        <f t="shared" si="1"/>
        <v>125182.24457142863</v>
      </c>
      <c r="S21" s="24">
        <v>0</v>
      </c>
      <c r="T21" s="23">
        <f t="shared" si="2"/>
        <v>125182.24457142863</v>
      </c>
    </row>
    <row r="22" spans="2:22" s="41" customFormat="1" ht="35.25" customHeight="1" x14ac:dyDescent="0.25">
      <c r="B22" s="36">
        <v>18</v>
      </c>
      <c r="C22" s="37" t="s">
        <v>60</v>
      </c>
      <c r="D22" s="36" t="s">
        <v>80</v>
      </c>
      <c r="E22" s="37" t="s">
        <v>72</v>
      </c>
      <c r="F22" s="37">
        <f>20*12</f>
        <v>240</v>
      </c>
      <c r="G22" s="38">
        <f t="shared" si="3"/>
        <v>2583.3599999999997</v>
      </c>
      <c r="H22" s="38">
        <f>3*3.28</f>
        <v>9.84</v>
      </c>
      <c r="I22" s="36">
        <v>1990</v>
      </c>
      <c r="J22" s="36">
        <v>2023</v>
      </c>
      <c r="K22" s="36">
        <f t="shared" si="4"/>
        <v>33</v>
      </c>
      <c r="L22" s="36">
        <v>65</v>
      </c>
      <c r="M22" s="39">
        <v>0.1</v>
      </c>
      <c r="N22" s="40">
        <f t="shared" si="5"/>
        <v>1.3846153846153847E-2</v>
      </c>
      <c r="O22" s="23">
        <v>1200</v>
      </c>
      <c r="P22" s="23">
        <f t="shared" si="6"/>
        <v>3100031.9999999995</v>
      </c>
      <c r="Q22" s="23">
        <f t="shared" si="0"/>
        <v>1416476.16</v>
      </c>
      <c r="R22" s="23">
        <f t="shared" si="1"/>
        <v>1683555.8399999996</v>
      </c>
      <c r="S22" s="24">
        <v>0</v>
      </c>
      <c r="T22" s="23">
        <f t="shared" si="2"/>
        <v>1683555.8399999996</v>
      </c>
      <c r="V22" s="42"/>
    </row>
    <row r="23" spans="2:22" ht="47.25" customHeight="1" x14ac:dyDescent="0.25">
      <c r="B23" s="2">
        <v>19</v>
      </c>
      <c r="C23" s="19" t="s">
        <v>61</v>
      </c>
      <c r="D23" s="2" t="s">
        <v>36</v>
      </c>
      <c r="E23" s="19" t="s">
        <v>70</v>
      </c>
      <c r="F23" s="25">
        <f>7.74*6.8</f>
        <v>52.631999999999998</v>
      </c>
      <c r="G23" s="20">
        <f t="shared" si="3"/>
        <v>566.53084799999999</v>
      </c>
      <c r="H23" s="20">
        <f>3*3.28</f>
        <v>9.84</v>
      </c>
      <c r="I23" s="2">
        <v>1990</v>
      </c>
      <c r="J23" s="2">
        <v>2023</v>
      </c>
      <c r="K23" s="2">
        <f t="shared" si="4"/>
        <v>33</v>
      </c>
      <c r="L23" s="2">
        <v>35</v>
      </c>
      <c r="M23" s="21">
        <v>0.1</v>
      </c>
      <c r="N23" s="22">
        <f t="shared" si="5"/>
        <v>2.5714285714285714E-2</v>
      </c>
      <c r="O23" s="23">
        <v>1000</v>
      </c>
      <c r="P23" s="23">
        <f t="shared" si="6"/>
        <v>566530.848</v>
      </c>
      <c r="Q23" s="23">
        <f t="shared" si="0"/>
        <v>480741.89101714286</v>
      </c>
      <c r="R23" s="23">
        <f t="shared" si="1"/>
        <v>85788.95698285714</v>
      </c>
      <c r="S23" s="24">
        <v>0</v>
      </c>
      <c r="T23" s="23">
        <f t="shared" si="2"/>
        <v>85788.95698285714</v>
      </c>
    </row>
    <row r="24" spans="2:22" ht="38.25" hidden="1" customHeight="1" x14ac:dyDescent="0.25">
      <c r="B24" s="2">
        <v>20</v>
      </c>
      <c r="C24" s="26" t="s">
        <v>62</v>
      </c>
      <c r="D24" s="2" t="s">
        <v>67</v>
      </c>
      <c r="E24" s="19" t="s">
        <v>72</v>
      </c>
      <c r="F24" s="19">
        <f>2*(13*5.4+17*9)</f>
        <v>446.4</v>
      </c>
      <c r="G24" s="20">
        <v>0</v>
      </c>
      <c r="H24" s="20">
        <v>10</v>
      </c>
      <c r="I24" s="2">
        <v>1998</v>
      </c>
      <c r="J24" s="2">
        <v>2023</v>
      </c>
      <c r="K24" s="2">
        <f t="shared" si="4"/>
        <v>25</v>
      </c>
      <c r="L24" s="2">
        <v>65</v>
      </c>
      <c r="M24" s="21">
        <v>0.1</v>
      </c>
      <c r="N24" s="22">
        <f t="shared" si="5"/>
        <v>1.3846153846153847E-2</v>
      </c>
      <c r="O24" s="23">
        <v>0</v>
      </c>
      <c r="P24" s="23">
        <f t="shared" si="6"/>
        <v>0</v>
      </c>
      <c r="Q24" s="23">
        <f t="shared" si="0"/>
        <v>0</v>
      </c>
      <c r="R24" s="23">
        <f t="shared" si="1"/>
        <v>0</v>
      </c>
      <c r="S24" s="24">
        <v>0</v>
      </c>
      <c r="T24" s="23">
        <f t="shared" si="2"/>
        <v>0</v>
      </c>
    </row>
    <row r="25" spans="2:22" ht="42.75" hidden="1" customHeight="1" x14ac:dyDescent="0.25">
      <c r="B25" s="2">
        <v>21</v>
      </c>
      <c r="C25" s="19" t="s">
        <v>63</v>
      </c>
      <c r="D25" s="2" t="s">
        <v>36</v>
      </c>
      <c r="E25" s="19" t="s">
        <v>73</v>
      </c>
      <c r="F25" s="19">
        <f>(6.2*6)+(12*3.7)</f>
        <v>81.600000000000009</v>
      </c>
      <c r="G25" s="20">
        <v>0</v>
      </c>
      <c r="H25" s="20">
        <v>10</v>
      </c>
      <c r="I25" s="2">
        <v>2006</v>
      </c>
      <c r="J25" s="2">
        <v>2023</v>
      </c>
      <c r="K25" s="2">
        <f t="shared" si="4"/>
        <v>17</v>
      </c>
      <c r="L25" s="2">
        <v>35</v>
      </c>
      <c r="M25" s="21">
        <v>0.1</v>
      </c>
      <c r="N25" s="22">
        <f t="shared" si="5"/>
        <v>2.5714285714285714E-2</v>
      </c>
      <c r="O25" s="23">
        <v>0</v>
      </c>
      <c r="P25" s="23">
        <f t="shared" si="6"/>
        <v>0</v>
      </c>
      <c r="Q25" s="23">
        <f t="shared" si="0"/>
        <v>0</v>
      </c>
      <c r="R25" s="23">
        <f t="shared" si="1"/>
        <v>0</v>
      </c>
      <c r="S25" s="24">
        <v>0</v>
      </c>
      <c r="T25" s="23">
        <f t="shared" si="2"/>
        <v>0</v>
      </c>
    </row>
    <row r="26" spans="2:22" ht="26.25" customHeight="1" x14ac:dyDescent="0.25">
      <c r="B26" s="29" t="s">
        <v>16</v>
      </c>
      <c r="C26" s="29"/>
      <c r="D26" s="29"/>
      <c r="E26" s="29"/>
      <c r="F26" s="16">
        <f>SUM(F5:F25)</f>
        <v>3733.617197</v>
      </c>
      <c r="G26" s="16">
        <f>SUM(G5:G25)</f>
        <v>34505.263508507996</v>
      </c>
      <c r="H26" s="29"/>
      <c r="I26" s="29"/>
      <c r="J26" s="29"/>
      <c r="K26" s="29"/>
      <c r="L26" s="29"/>
      <c r="M26" s="29"/>
      <c r="N26" s="29"/>
      <c r="O26" s="29"/>
      <c r="P26" s="17">
        <f>SUM(P5:P25)</f>
        <v>37176964.642490387</v>
      </c>
      <c r="Q26" s="17">
        <f>SUM(Q5:Q25)</f>
        <v>22285254.613978386</v>
      </c>
      <c r="R26" s="17">
        <f>SUM(R5:R25)</f>
        <v>14891710.02851201</v>
      </c>
      <c r="S26" s="17"/>
      <c r="T26" s="17">
        <f>SUM(T5:T25)</f>
        <v>14891710.02851201</v>
      </c>
    </row>
    <row r="27" spans="2:22" x14ac:dyDescent="0.25">
      <c r="B27" s="30" t="s">
        <v>17</v>
      </c>
      <c r="C27" s="30"/>
      <c r="D27" s="30"/>
      <c r="E27" s="30"/>
      <c r="F27" s="30"/>
      <c r="G27" s="30"/>
      <c r="H27" s="30"/>
      <c r="I27" s="30"/>
      <c r="J27" s="30"/>
      <c r="K27" s="30"/>
      <c r="L27" s="30"/>
      <c r="M27" s="30"/>
      <c r="N27" s="30"/>
      <c r="O27" s="30"/>
      <c r="P27" s="30"/>
      <c r="Q27" s="30"/>
      <c r="R27" s="30"/>
      <c r="S27" s="30"/>
      <c r="T27" s="30"/>
    </row>
    <row r="28" spans="2:22" ht="26.25" customHeight="1" x14ac:dyDescent="0.25">
      <c r="B28" s="34" t="s">
        <v>44</v>
      </c>
      <c r="C28" s="34"/>
      <c r="D28" s="34"/>
      <c r="E28" s="34"/>
      <c r="F28" s="34"/>
      <c r="G28" s="34"/>
      <c r="H28" s="34"/>
      <c r="I28" s="34"/>
      <c r="J28" s="34"/>
      <c r="K28" s="34"/>
      <c r="L28" s="34"/>
      <c r="M28" s="34"/>
      <c r="N28" s="34"/>
      <c r="O28" s="34"/>
      <c r="P28" s="34"/>
      <c r="Q28" s="34"/>
      <c r="R28" s="34"/>
      <c r="S28" s="34"/>
      <c r="T28" s="34"/>
    </row>
    <row r="29" spans="2:22" x14ac:dyDescent="0.25">
      <c r="B29" s="30" t="s">
        <v>29</v>
      </c>
      <c r="C29" s="30"/>
      <c r="D29" s="30"/>
      <c r="E29" s="30"/>
      <c r="F29" s="30"/>
      <c r="G29" s="30"/>
      <c r="H29" s="30"/>
      <c r="I29" s="30"/>
      <c r="J29" s="30"/>
      <c r="K29" s="30"/>
      <c r="L29" s="30"/>
      <c r="M29" s="30"/>
      <c r="N29" s="30"/>
      <c r="O29" s="30"/>
      <c r="P29" s="30"/>
      <c r="Q29" s="30"/>
      <c r="R29" s="30"/>
      <c r="S29" s="30"/>
      <c r="T29" s="30"/>
    </row>
    <row r="30" spans="2:22" ht="15" customHeight="1" x14ac:dyDescent="0.25">
      <c r="B30" s="30" t="s">
        <v>75</v>
      </c>
      <c r="C30" s="30"/>
      <c r="D30" s="30"/>
      <c r="E30" s="30"/>
      <c r="F30" s="30"/>
      <c r="G30" s="30"/>
      <c r="H30" s="30"/>
      <c r="I30" s="30"/>
      <c r="J30" s="30"/>
      <c r="K30" s="30"/>
      <c r="L30" s="30"/>
      <c r="M30" s="30"/>
      <c r="N30" s="30"/>
      <c r="O30" s="30"/>
      <c r="P30" s="30"/>
      <c r="Q30" s="30"/>
      <c r="R30" s="30"/>
      <c r="S30" s="30"/>
      <c r="T30" s="30"/>
      <c r="V30" s="12"/>
    </row>
    <row r="31" spans="2:22" ht="15.75" customHeight="1" x14ac:dyDescent="0.25">
      <c r="B31" s="34" t="s">
        <v>76</v>
      </c>
      <c r="C31" s="34"/>
      <c r="D31" s="34"/>
      <c r="E31" s="34"/>
      <c r="F31" s="34"/>
      <c r="G31" s="34"/>
      <c r="H31" s="34"/>
      <c r="I31" s="34"/>
      <c r="J31" s="34"/>
      <c r="K31" s="34"/>
      <c r="L31" s="34"/>
      <c r="M31" s="34"/>
      <c r="N31" s="34"/>
      <c r="O31" s="34"/>
      <c r="P31" s="34"/>
      <c r="Q31" s="34"/>
      <c r="R31" s="34"/>
      <c r="S31" s="34"/>
      <c r="T31" s="34"/>
      <c r="V31" s="12"/>
    </row>
    <row r="32" spans="2:22" ht="14.25" customHeight="1" x14ac:dyDescent="0.25">
      <c r="B32" s="30" t="s">
        <v>77</v>
      </c>
      <c r="C32" s="30"/>
      <c r="D32" s="30"/>
      <c r="E32" s="30"/>
      <c r="F32" s="30"/>
      <c r="G32" s="30"/>
      <c r="H32" s="30"/>
      <c r="I32" s="30"/>
      <c r="J32" s="30"/>
      <c r="K32" s="30"/>
      <c r="L32" s="30"/>
      <c r="M32" s="30"/>
      <c r="N32" s="30"/>
      <c r="O32" s="30"/>
      <c r="P32" s="30"/>
      <c r="Q32" s="30"/>
      <c r="R32" s="30"/>
      <c r="S32" s="30"/>
      <c r="T32" s="30"/>
    </row>
    <row r="33" spans="2:26" x14ac:dyDescent="0.25">
      <c r="B33" s="35" t="s">
        <v>78</v>
      </c>
      <c r="C33" s="35"/>
      <c r="D33" s="35"/>
      <c r="E33" s="35"/>
      <c r="F33" s="35"/>
      <c r="G33" s="35"/>
      <c r="H33" s="35"/>
      <c r="I33" s="35"/>
      <c r="J33" s="35"/>
      <c r="K33" s="35"/>
      <c r="L33" s="35"/>
      <c r="M33" s="35"/>
      <c r="N33" s="35"/>
      <c r="O33" s="35"/>
      <c r="P33" s="35"/>
      <c r="Q33" s="35"/>
      <c r="R33" s="35"/>
      <c r="S33" s="35"/>
      <c r="T33" s="35"/>
    </row>
    <row r="34" spans="2:26" x14ac:dyDescent="0.25">
      <c r="B34" s="35" t="s">
        <v>79</v>
      </c>
      <c r="C34" s="35"/>
      <c r="D34" s="35"/>
      <c r="E34" s="35"/>
      <c r="F34" s="35"/>
      <c r="G34" s="35"/>
      <c r="H34" s="35"/>
      <c r="I34" s="35"/>
      <c r="J34" s="35"/>
      <c r="K34" s="35"/>
      <c r="L34" s="35"/>
      <c r="M34" s="35"/>
      <c r="N34" s="35"/>
      <c r="O34" s="35"/>
      <c r="P34" s="35"/>
      <c r="Q34" s="35"/>
      <c r="R34" s="35"/>
      <c r="S34" s="35"/>
      <c r="T34" s="35"/>
    </row>
    <row r="36" spans="2:26" ht="30" x14ac:dyDescent="0.25">
      <c r="D36" s="6" t="s">
        <v>74</v>
      </c>
      <c r="E36" s="5">
        <v>0</v>
      </c>
    </row>
    <row r="37" spans="2:26" ht="13.5" customHeight="1" x14ac:dyDescent="0.25">
      <c r="D37" s="6" t="s">
        <v>39</v>
      </c>
      <c r="E37" s="5">
        <v>0</v>
      </c>
      <c r="G37" s="27" t="s">
        <v>25</v>
      </c>
      <c r="H37" s="28"/>
    </row>
    <row r="38" spans="2:26" x14ac:dyDescent="0.25">
      <c r="D38" s="4" t="s">
        <v>19</v>
      </c>
      <c r="E38" s="5">
        <f>53.5*1800000</f>
        <v>96300000</v>
      </c>
      <c r="G38" s="4" t="s">
        <v>26</v>
      </c>
      <c r="H38" s="5"/>
    </row>
    <row r="39" spans="2:26" x14ac:dyDescent="0.25">
      <c r="D39" s="4" t="s">
        <v>20</v>
      </c>
      <c r="E39" s="5">
        <f>T26</f>
        <v>14891710.02851201</v>
      </c>
      <c r="G39" s="4" t="s">
        <v>27</v>
      </c>
      <c r="H39" s="5"/>
      <c r="K39" s="11"/>
    </row>
    <row r="40" spans="2:26" x14ac:dyDescent="0.25">
      <c r="D40" s="6" t="s">
        <v>21</v>
      </c>
      <c r="E40" s="7">
        <f>SUM(E36:E39)</f>
        <v>111191710.02851202</v>
      </c>
      <c r="G40" s="4" t="s">
        <v>30</v>
      </c>
      <c r="H40" s="5"/>
      <c r="K40" s="11"/>
    </row>
    <row r="41" spans="2:26" x14ac:dyDescent="0.25">
      <c r="D41" s="6" t="s">
        <v>22</v>
      </c>
      <c r="E41" s="7">
        <f>ROUND(E40,-5)</f>
        <v>111200000</v>
      </c>
      <c r="G41" s="13" t="s">
        <v>31</v>
      </c>
      <c r="H41" s="15"/>
      <c r="K41" s="9"/>
      <c r="T41">
        <v>9000</v>
      </c>
      <c r="X41">
        <v>27000</v>
      </c>
      <c r="Y41">
        <v>9000</v>
      </c>
    </row>
    <row r="42" spans="2:26" x14ac:dyDescent="0.25">
      <c r="D42" s="4" t="s">
        <v>23</v>
      </c>
      <c r="E42" s="8">
        <f>0.85*E41</f>
        <v>94520000</v>
      </c>
      <c r="J42" s="14"/>
      <c r="K42" s="10"/>
      <c r="T42">
        <v>8000</v>
      </c>
      <c r="Y42">
        <v>4500</v>
      </c>
    </row>
    <row r="43" spans="2:26" x14ac:dyDescent="0.25">
      <c r="D43" s="4" t="s">
        <v>24</v>
      </c>
      <c r="E43" s="8">
        <f>0.75*E41</f>
        <v>83400000</v>
      </c>
      <c r="T43">
        <v>600</v>
      </c>
      <c r="Y43">
        <v>5000</v>
      </c>
    </row>
    <row r="44" spans="2:26" x14ac:dyDescent="0.25">
      <c r="T44">
        <v>2500</v>
      </c>
      <c r="Y44">
        <v>2500</v>
      </c>
    </row>
    <row r="45" spans="2:26" x14ac:dyDescent="0.25">
      <c r="T45">
        <v>4500</v>
      </c>
      <c r="Y45">
        <v>1500</v>
      </c>
    </row>
    <row r="46" spans="2:26" x14ac:dyDescent="0.25">
      <c r="T46">
        <f>SUM(T41:T45)</f>
        <v>24600</v>
      </c>
      <c r="U46">
        <v>27000</v>
      </c>
      <c r="V46" s="9">
        <f>U46-T46</f>
        <v>2400</v>
      </c>
      <c r="Y46">
        <f>SUM(Y41:Y45)</f>
        <v>22500</v>
      </c>
      <c r="Z46">
        <f>U46-Y46</f>
        <v>4500</v>
      </c>
    </row>
    <row r="48" spans="2:26" x14ac:dyDescent="0.25">
      <c r="P48">
        <v>9899611772</v>
      </c>
    </row>
    <row r="53" spans="4:4" x14ac:dyDescent="0.25">
      <c r="D53" s="9"/>
    </row>
  </sheetData>
  <mergeCells count="12">
    <mergeCell ref="G37:H37"/>
    <mergeCell ref="H26:O26"/>
    <mergeCell ref="B29:T29"/>
    <mergeCell ref="B32:T32"/>
    <mergeCell ref="B3:T3"/>
    <mergeCell ref="B26:E26"/>
    <mergeCell ref="B27:T27"/>
    <mergeCell ref="B28:T28"/>
    <mergeCell ref="B30:T30"/>
    <mergeCell ref="B33:T33"/>
    <mergeCell ref="B31:T31"/>
    <mergeCell ref="B34:T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M16"/>
  <sheetViews>
    <sheetView workbookViewId="0">
      <selection activeCell="G22" sqref="G22"/>
    </sheetView>
  </sheetViews>
  <sheetFormatPr defaultRowHeight="15" x14ac:dyDescent="0.25"/>
  <cols>
    <col min="10" max="10" width="16.28515625" bestFit="1" customWidth="1"/>
  </cols>
  <sheetData>
    <row r="4" spans="3:13" x14ac:dyDescent="0.25">
      <c r="C4">
        <v>2800000</v>
      </c>
      <c r="D4">
        <f>C4/E4</f>
        <v>3703.7037037037039</v>
      </c>
      <c r="E4">
        <v>756</v>
      </c>
      <c r="F4" t="s">
        <v>40</v>
      </c>
    </row>
    <row r="5" spans="3:13" x14ac:dyDescent="0.25">
      <c r="D5">
        <f>C4/E5</f>
        <v>4425.9259259259261</v>
      </c>
      <c r="E5">
        <f>E4/1.195</f>
        <v>632.63598326359829</v>
      </c>
      <c r="F5" t="s">
        <v>41</v>
      </c>
    </row>
    <row r="7" spans="3:13" x14ac:dyDescent="0.25">
      <c r="J7" s="9">
        <v>20000000</v>
      </c>
      <c r="M7">
        <f>8000*1200</f>
        <v>9600000</v>
      </c>
    </row>
    <row r="8" spans="3:13" x14ac:dyDescent="0.25">
      <c r="J8" s="18">
        <f>J7-M7</f>
        <v>10400000</v>
      </c>
    </row>
    <row r="9" spans="3:13" x14ac:dyDescent="0.25">
      <c r="J9" s="10">
        <f>J8/1750</f>
        <v>5942.8571428571431</v>
      </c>
    </row>
    <row r="13" spans="3:13" x14ac:dyDescent="0.25">
      <c r="J13" s="9">
        <f>4000000</f>
        <v>4000000</v>
      </c>
    </row>
    <row r="14" spans="3:13" x14ac:dyDescent="0.25">
      <c r="J14">
        <v>756</v>
      </c>
    </row>
    <row r="15" spans="3:13" x14ac:dyDescent="0.25">
      <c r="J15" s="10">
        <f>J13/J14</f>
        <v>5291.0052910052909</v>
      </c>
    </row>
    <row r="16" spans="3:13" x14ac:dyDescent="0.25">
      <c r="J16" s="10">
        <f>J15*1.195</f>
        <v>6322.7513227513227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Rajani Gupta</cp:lastModifiedBy>
  <dcterms:created xsi:type="dcterms:W3CDTF">2022-11-04T05:05:51Z</dcterms:created>
  <dcterms:modified xsi:type="dcterms:W3CDTF">2023-08-16T08:54:39Z</dcterms:modified>
</cp:coreProperties>
</file>