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In Progress Files\Anirban Roy\Shalimar paints, Nashik\working\"/>
    </mc:Choice>
  </mc:AlternateContent>
  <bookViews>
    <workbookView showVerticalScroll="0" xWindow="0" yWindow="0" windowWidth="24000" windowHeight="9735"/>
  </bookViews>
  <sheets>
    <sheet name="Building" sheetId="4" r:id="rId1"/>
    <sheet name="proposed working" sheetId="8" r:id="rId2"/>
    <sheet name="Differentiation" sheetId="9" r:id="rId3"/>
    <sheet name="Sheet1" sheetId="10" r:id="rId4"/>
    <sheet name="Land " sheetId="3" r:id="rId5"/>
    <sheet name="reference" sheetId="7" r:id="rId6"/>
    <sheet name="MIDC allotment rate" sheetId="6" r:id="rId7"/>
    <sheet name="Deed details" sheetId="5" r:id="rId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6" i="4" l="1"/>
  <c r="Q28" i="4" l="1"/>
  <c r="Q22" i="4"/>
  <c r="P23" i="9"/>
  <c r="E51" i="8" l="1"/>
  <c r="G47" i="8"/>
  <c r="E47" i="8"/>
  <c r="G46" i="8"/>
  <c r="E46" i="8"/>
  <c r="K38" i="8"/>
  <c r="K37" i="8"/>
  <c r="J35" i="8"/>
  <c r="P32" i="8"/>
  <c r="N32" i="8"/>
  <c r="K32" i="8"/>
  <c r="Q29" i="8"/>
  <c r="G29" i="8"/>
  <c r="Q21" i="8"/>
  <c r="M21" i="8"/>
  <c r="I21" i="8"/>
  <c r="T21" i="8" s="1"/>
  <c r="Q20" i="8"/>
  <c r="M20" i="8"/>
  <c r="I20" i="8"/>
  <c r="T20" i="8" s="1"/>
  <c r="Q19" i="8"/>
  <c r="M19" i="8"/>
  <c r="I19" i="8"/>
  <c r="T19" i="8" s="1"/>
  <c r="Q18" i="8"/>
  <c r="M18" i="8"/>
  <c r="I18" i="8"/>
  <c r="T18" i="8" s="1"/>
  <c r="Q17" i="8"/>
  <c r="M17" i="8"/>
  <c r="I17" i="8"/>
  <c r="T17" i="8" s="1"/>
  <c r="Q16" i="8"/>
  <c r="M16" i="8"/>
  <c r="I16" i="8"/>
  <c r="T16" i="8" s="1"/>
  <c r="Q15" i="8"/>
  <c r="M15" i="8"/>
  <c r="I15" i="8"/>
  <c r="T15" i="8" s="1"/>
  <c r="Q14" i="8"/>
  <c r="M14" i="8"/>
  <c r="I14" i="8"/>
  <c r="T14" i="8" s="1"/>
  <c r="Q13" i="8"/>
  <c r="M13" i="8"/>
  <c r="I13" i="8"/>
  <c r="T13" i="8" s="1"/>
  <c r="Q12" i="8"/>
  <c r="M12" i="8"/>
  <c r="I12" i="8"/>
  <c r="T12" i="8" s="1"/>
  <c r="Q11" i="8"/>
  <c r="M11" i="8"/>
  <c r="I11" i="8"/>
  <c r="T11" i="8" s="1"/>
  <c r="Q10" i="8"/>
  <c r="M10" i="8"/>
  <c r="I10" i="8"/>
  <c r="T10" i="8" s="1"/>
  <c r="M9" i="8"/>
  <c r="I9" i="8"/>
  <c r="T9" i="8" s="1"/>
  <c r="Q8" i="8"/>
  <c r="M8" i="8"/>
  <c r="I8" i="8"/>
  <c r="T8" i="8" s="1"/>
  <c r="U8" i="8" s="1"/>
  <c r="T7" i="8"/>
  <c r="Q7" i="8"/>
  <c r="M7" i="8"/>
  <c r="I7" i="8"/>
  <c r="Q6" i="8"/>
  <c r="M6" i="8"/>
  <c r="J6" i="8"/>
  <c r="J22" i="8" s="1"/>
  <c r="G47" i="4"/>
  <c r="G46" i="4"/>
  <c r="Q32" i="8" l="1"/>
  <c r="R32" i="8" s="1"/>
  <c r="U7" i="8"/>
  <c r="V7" i="8" s="1"/>
  <c r="U9" i="8"/>
  <c r="V9" i="8" s="1"/>
  <c r="U12" i="8"/>
  <c r="V12" i="8" s="1"/>
  <c r="U16" i="8"/>
  <c r="V16" i="8" s="1"/>
  <c r="U20" i="8"/>
  <c r="V20" i="8" s="1"/>
  <c r="U11" i="8"/>
  <c r="V11" i="8" s="1"/>
  <c r="U15" i="8"/>
  <c r="V15" i="8" s="1"/>
  <c r="U19" i="8"/>
  <c r="V19" i="8" s="1"/>
  <c r="V10" i="8"/>
  <c r="U10" i="8"/>
  <c r="U14" i="8"/>
  <c r="V14" i="8" s="1"/>
  <c r="U18" i="8"/>
  <c r="V18" i="8" s="1"/>
  <c r="V13" i="8"/>
  <c r="U13" i="8"/>
  <c r="U17" i="8"/>
  <c r="V17" i="8" s="1"/>
  <c r="U21" i="8"/>
  <c r="V21" i="8" s="1"/>
  <c r="V8" i="8"/>
  <c r="I6" i="8"/>
  <c r="K38" i="4"/>
  <c r="K37" i="4"/>
  <c r="I22" i="8" l="1"/>
  <c r="T6" i="8"/>
  <c r="J35" i="4"/>
  <c r="E51" i="4"/>
  <c r="X6" i="4"/>
  <c r="T22" i="8" l="1"/>
  <c r="P34" i="8" s="1"/>
  <c r="U6" i="8"/>
  <c r="U22" i="8" s="1"/>
  <c r="J13" i="3"/>
  <c r="J12" i="3"/>
  <c r="V6" i="8" l="1"/>
  <c r="V22" i="8" s="1"/>
  <c r="R12" i="3"/>
  <c r="R11" i="3"/>
  <c r="Q31" i="3"/>
  <c r="Q12" i="3"/>
  <c r="Q11" i="3"/>
  <c r="Q10" i="3"/>
  <c r="S10" i="3" s="1"/>
  <c r="P13" i="3"/>
  <c r="S11" i="3" l="1"/>
  <c r="Q13" i="3"/>
  <c r="E36" i="8"/>
  <c r="E40" i="8"/>
  <c r="R34" i="8"/>
  <c r="S12" i="3"/>
  <c r="S13" i="3"/>
  <c r="S15" i="3" s="1"/>
  <c r="E47" i="4"/>
  <c r="E46" i="4"/>
  <c r="H9" i="3" l="1"/>
  <c r="H10" i="3" s="1"/>
  <c r="E38" i="3" l="1"/>
  <c r="Q21" i="4"/>
  <c r="Q20" i="4"/>
  <c r="Q19" i="4"/>
  <c r="Q18" i="4"/>
  <c r="Q17" i="4"/>
  <c r="Q16" i="4"/>
  <c r="Q15" i="4"/>
  <c r="Q14" i="4"/>
  <c r="Q13" i="4"/>
  <c r="Q12" i="4"/>
  <c r="Q11" i="4"/>
  <c r="Q10" i="4"/>
  <c r="Q8" i="4"/>
  <c r="Q7" i="4"/>
  <c r="M21" i="4"/>
  <c r="M20" i="4"/>
  <c r="M19" i="4"/>
  <c r="M18" i="4"/>
  <c r="M17" i="4"/>
  <c r="M16" i="4"/>
  <c r="M15" i="4"/>
  <c r="M14" i="4"/>
  <c r="M13" i="4"/>
  <c r="M12" i="4"/>
  <c r="M11" i="4"/>
  <c r="M10" i="4"/>
  <c r="M9" i="4"/>
  <c r="M8" i="4"/>
  <c r="M7" i="4"/>
  <c r="I15" i="4"/>
  <c r="T15" i="4" s="1"/>
  <c r="I21" i="4"/>
  <c r="T21" i="4" s="1"/>
  <c r="I20" i="4"/>
  <c r="T20" i="4" s="1"/>
  <c r="I19" i="4"/>
  <c r="T19" i="4" s="1"/>
  <c r="I18" i="4"/>
  <c r="T18" i="4" s="1"/>
  <c r="I17" i="4"/>
  <c r="T17" i="4" s="1"/>
  <c r="I16" i="4"/>
  <c r="T16" i="4" s="1"/>
  <c r="I14" i="4"/>
  <c r="T14" i="4" s="1"/>
  <c r="I13" i="4"/>
  <c r="T13" i="4" s="1"/>
  <c r="I12" i="4"/>
  <c r="T12" i="4" s="1"/>
  <c r="I11" i="4"/>
  <c r="T11" i="4" s="1"/>
  <c r="I10" i="4"/>
  <c r="T10" i="4" s="1"/>
  <c r="I9" i="4"/>
  <c r="T9" i="4" s="1"/>
  <c r="I8" i="4"/>
  <c r="T8" i="4" s="1"/>
  <c r="U8" i="4" s="1"/>
  <c r="V8" i="4" s="1"/>
  <c r="I7" i="4"/>
  <c r="T7" i="4" s="1"/>
  <c r="U13" i="4" l="1"/>
  <c r="V13" i="4" s="1"/>
  <c r="U9" i="4"/>
  <c r="V9" i="4" s="1"/>
  <c r="U12" i="4"/>
  <c r="V12" i="4" s="1"/>
  <c r="U20" i="4"/>
  <c r="V20" i="4" s="1"/>
  <c r="U16" i="4"/>
  <c r="V16" i="4" s="1"/>
  <c r="U17" i="4"/>
  <c r="V17" i="4" s="1"/>
  <c r="U21" i="4"/>
  <c r="V21" i="4" s="1"/>
  <c r="U7" i="4"/>
  <c r="V7" i="4" s="1"/>
  <c r="U11" i="4"/>
  <c r="V11" i="4" s="1"/>
  <c r="U15" i="4"/>
  <c r="V15" i="4" s="1"/>
  <c r="U19" i="4"/>
  <c r="V19" i="4" s="1"/>
  <c r="U10" i="4"/>
  <c r="V10" i="4" s="1"/>
  <c r="U14" i="4"/>
  <c r="V14" i="4" s="1"/>
  <c r="U18" i="4"/>
  <c r="V18" i="4" s="1"/>
  <c r="G7" i="3" l="1"/>
  <c r="I7" i="3" l="1"/>
  <c r="J7" i="3"/>
  <c r="J6" i="4"/>
  <c r="E42" i="4" l="1"/>
  <c r="E42" i="8"/>
  <c r="E44" i="8" s="1"/>
  <c r="I6" i="4"/>
  <c r="I22" i="4" s="1"/>
  <c r="J22" i="4"/>
  <c r="P32" i="4"/>
  <c r="N32" i="4"/>
  <c r="K32" i="4"/>
  <c r="Q32" i="4" l="1"/>
  <c r="R32" i="4" s="1"/>
  <c r="G29" i="4" l="1"/>
  <c r="Q29" i="4" l="1"/>
  <c r="T6" i="4" l="1"/>
  <c r="Q6" i="4"/>
  <c r="M6" i="4"/>
  <c r="U6" i="4" l="1"/>
  <c r="U22" i="4" s="1"/>
  <c r="T22" i="4"/>
  <c r="P34" i="4" s="1"/>
  <c r="V6" i="4" l="1"/>
  <c r="V22" i="4" s="1"/>
  <c r="E40" i="4" s="1"/>
  <c r="R34" i="4" l="1"/>
  <c r="E44" i="4" l="1"/>
</calcChain>
</file>

<file path=xl/sharedStrings.xml><?xml version="1.0" encoding="utf-8"?>
<sst xmlns="http://schemas.openxmlformats.org/spreadsheetml/2006/main" count="442" uniqueCount="141">
  <si>
    <t>Depreciation</t>
  </si>
  <si>
    <t>S.NO</t>
  </si>
  <si>
    <t>TYPE OF CONSTRUCTION</t>
  </si>
  <si>
    <t>NO. OF FLOORS</t>
  </si>
  <si>
    <t>STRUCTURE CONDITION</t>
  </si>
  <si>
    <r>
      <t xml:space="preserve">TOTAL COVERED AREA
</t>
    </r>
    <r>
      <rPr>
        <b/>
        <i/>
        <sz val="10"/>
        <color indexed="9"/>
        <rFont val="Calibri"/>
        <family val="2"/>
      </rPr>
      <t>( SQ. FT.)</t>
    </r>
  </si>
  <si>
    <t>YEAR OF CONSTRUCTION</t>
  </si>
  <si>
    <t>YEAR OF VALUATION</t>
  </si>
  <si>
    <r>
      <t xml:space="preserve">DEPRECIATED REPLACEMENT RATES ADOPTED </t>
    </r>
    <r>
      <rPr>
        <b/>
        <i/>
        <sz val="10"/>
        <color indexed="9"/>
        <rFont val="Calibri"/>
        <family val="2"/>
      </rPr>
      <t>(per sq. ft</t>
    </r>
    <r>
      <rPr>
        <b/>
        <sz val="10"/>
        <color indexed="9"/>
        <rFont val="Calibri"/>
        <family val="2"/>
      </rPr>
      <t>.)</t>
    </r>
  </si>
  <si>
    <t>SALVAGE VALUE</t>
  </si>
  <si>
    <t>DEPRECIATION RATE</t>
  </si>
  <si>
    <t>TOTAL ECONOMIC LIFE (in Yrs.)</t>
  </si>
  <si>
    <t>TOTAL CONSUMED LIFE (in Yrs.)</t>
  </si>
  <si>
    <t>PLINTH AREA RATE (in Sq.Ft.)</t>
  </si>
  <si>
    <t>GROSS REPLACEMENT VALUE</t>
  </si>
  <si>
    <t>DEPRECIATED REPLACEMENT VALUE</t>
  </si>
  <si>
    <t>S.No.</t>
  </si>
  <si>
    <t>Deed No.</t>
  </si>
  <si>
    <t xml:space="preserve">Date </t>
  </si>
  <si>
    <t>Total Value</t>
  </si>
  <si>
    <t>Land area (in majar)</t>
  </si>
  <si>
    <t>Notes:</t>
  </si>
  <si>
    <t>Average</t>
  </si>
  <si>
    <t>floors</t>
  </si>
  <si>
    <t>Area
(in sq.ft.)</t>
  </si>
  <si>
    <t>Area
(in sq.mt.)</t>
  </si>
  <si>
    <t>Total Plot 
Area</t>
  </si>
  <si>
    <t>FAR as per recent building area</t>
  </si>
  <si>
    <t>FAR given on approved map</t>
  </si>
  <si>
    <t xml:space="preserve">Lease start </t>
  </si>
  <si>
    <t>Lease Period
(in yrs.)</t>
  </si>
  <si>
    <t>Lease end date</t>
  </si>
  <si>
    <t>Lease left
(in Yrs.)</t>
  </si>
  <si>
    <t>Building Blocks</t>
  </si>
  <si>
    <t>As per site survey</t>
  </si>
  <si>
    <t>Lease Period
(in Yrs.)</t>
  </si>
  <si>
    <t>Type of Deed</t>
  </si>
  <si>
    <t>Assignee</t>
  </si>
  <si>
    <t>Assignor</t>
  </si>
  <si>
    <t>Lessee</t>
  </si>
  <si>
    <t>Lessor</t>
  </si>
  <si>
    <t>G+1</t>
  </si>
  <si>
    <r>
      <t xml:space="preserve">TOTAL COVERED AREA
</t>
    </r>
    <r>
      <rPr>
        <b/>
        <i/>
        <sz val="10"/>
        <color indexed="9"/>
        <rFont val="Calibri"/>
        <family val="2"/>
      </rPr>
      <t>( SQ. MT.)</t>
    </r>
  </si>
  <si>
    <t>TOTAL</t>
  </si>
  <si>
    <t>HEIGHT
(IN FT.)</t>
  </si>
  <si>
    <t>11/floor</t>
  </si>
  <si>
    <t>Boundary wall</t>
  </si>
  <si>
    <t>Running
 Length(in mt.)</t>
  </si>
  <si>
    <t>RATE/RUNNING MT.</t>
  </si>
  <si>
    <t>NAME OF THE BUILDING</t>
  </si>
  <si>
    <t>P&amp;M</t>
  </si>
  <si>
    <t>Land</t>
  </si>
  <si>
    <t>Building</t>
  </si>
  <si>
    <t>Others</t>
  </si>
  <si>
    <t>Round up</t>
  </si>
  <si>
    <t>Total(FMV)</t>
  </si>
  <si>
    <t>RV</t>
  </si>
  <si>
    <t>DSV</t>
  </si>
  <si>
    <t>BUILDING/CIVIL STRUCTURE VALUATION |M/S SHALIMAR PAINTS LTD., VILLAGE-GONDE DUMALA, TALUKA-IGATPURI, MUMBAI-AGRA ROAD, NASHIK, MAHARASHTRA-422403</t>
  </si>
  <si>
    <t>R&amp;D Block</t>
  </si>
  <si>
    <t>Administrative 
Office Building</t>
  </si>
  <si>
    <t>Resin Plant</t>
  </si>
  <si>
    <t>G.F</t>
  </si>
  <si>
    <t>Solvent Storage 
Godown</t>
  </si>
  <si>
    <t>Good</t>
  </si>
  <si>
    <t>G.F.</t>
  </si>
  <si>
    <t>Front Gate House</t>
  </si>
  <si>
    <t>Security Cabin</t>
  </si>
  <si>
    <t>Barrel Yard</t>
  </si>
  <si>
    <t>Tank Farm</t>
  </si>
  <si>
    <t>Resin Solvent Tank</t>
  </si>
  <si>
    <t>Drum Shed/R.M. Shed</t>
  </si>
  <si>
    <t>Demolished/GI Shed, Steel Truss and Column, PCC Floor</t>
  </si>
  <si>
    <t>Main Plant</t>
  </si>
  <si>
    <t>Finished Goods</t>
  </si>
  <si>
    <t>Security Cabin cum 
Driver's Rest Room</t>
  </si>
  <si>
    <t>Fire Tank &amp; Pump 
Room</t>
  </si>
  <si>
    <t>GI Shed, 2 Side Brick Wall, 2 side GI Wall and Steel Truss</t>
  </si>
  <si>
    <t>Land Area(in
 Acre)</t>
  </si>
  <si>
    <t>Rate Considered
(per Acre)</t>
  </si>
  <si>
    <t>Rate range
/acre</t>
  </si>
  <si>
    <t>Rs 1.5 - 2.5 Cr</t>
  </si>
  <si>
    <t>Land area (google map)in acre</t>
  </si>
  <si>
    <t>Land area(docs)in sq.mt.</t>
  </si>
  <si>
    <t>Emulsion Tank</t>
  </si>
  <si>
    <t>RCC slab, Concrete Pillars, and brick wall</t>
  </si>
  <si>
    <t>RCC SLAB, Iron Pillars, and brick wall, pre fabricated sheet on 1st floor</t>
  </si>
  <si>
    <t xml:space="preserve">RCC Column, brick wall, GI Sheet, PCC flooring, </t>
  </si>
  <si>
    <t>RCC slab, Concrete Pillars, tiles and brick wall</t>
  </si>
  <si>
    <t xml:space="preserve">GI Sheet, RCC Pillars, GI Sheet wall, </t>
  </si>
  <si>
    <t>Stone/brick wall, PCC Flooring, foundation below tank</t>
  </si>
  <si>
    <t>GI Shed, Iron Truss &amp; Pillar, PCC Flooring</t>
  </si>
  <si>
    <t>RCC Roof, brick wall,
 PCC Flooring</t>
  </si>
  <si>
    <t>Brick Wall, GI Sheet, PCC flooring</t>
  </si>
  <si>
    <t>NIL</t>
  </si>
  <si>
    <t>Demolished</t>
  </si>
  <si>
    <t>Stone rubble masonry</t>
  </si>
  <si>
    <t>Building &amp;
 Boundary wall</t>
  </si>
  <si>
    <t>Total</t>
  </si>
  <si>
    <t>3. The administrative building has been considered as ground floor structure, since, during site survey it was found so. Whereas in approved plan the height of the admin building is shown as G+1</t>
  </si>
  <si>
    <t xml:space="preserve">1. We have considered building area as per the approved plan shared with us. We have not considered the buildings/sheds found demolished during site visit. </t>
  </si>
  <si>
    <t>2. The R&amp;D block is considered in valuatuion. During site survey it was observed that the building is under construction.</t>
  </si>
  <si>
    <t>per sq.mt.</t>
  </si>
  <si>
    <t>per sq.ft.</t>
  </si>
  <si>
    <t>https://www.99acres.com/industrial-land-in-gondedumala-nasik-ffid</t>
  </si>
  <si>
    <t>Insurance value</t>
  </si>
  <si>
    <t>p&amp;m</t>
  </si>
  <si>
    <t>Total(l&amp;b,p&amp;m &amp; misc.)</t>
  </si>
  <si>
    <t xml:space="preserve">Land </t>
  </si>
  <si>
    <t>Part 1</t>
  </si>
  <si>
    <t>Part 3</t>
  </si>
  <si>
    <t>Part 2</t>
  </si>
  <si>
    <t>Area (sq.mt.)</t>
  </si>
  <si>
    <t>Area(acre)</t>
  </si>
  <si>
    <t>Land Rate(per Acre)</t>
  </si>
  <si>
    <t>Land Value(in Rs.)</t>
  </si>
  <si>
    <t>Land Area(in sq.mt.)</t>
  </si>
  <si>
    <t>Land Area(in acre)</t>
  </si>
  <si>
    <t>Reference</t>
  </si>
  <si>
    <t>Asking Price</t>
  </si>
  <si>
    <t>Rs 380000000</t>
  </si>
  <si>
    <t>Building area(in sq.ft.)</t>
  </si>
  <si>
    <t>RATE CONSIDERED BY OTHER VALUER (PER Sq.Ft.)</t>
  </si>
  <si>
    <t>PCC DG Shed</t>
  </si>
  <si>
    <t>DEPRECIATION</t>
  </si>
  <si>
    <t>Description</t>
  </si>
  <si>
    <t>Temple</t>
  </si>
  <si>
    <t>Emulsion tank</t>
  </si>
  <si>
    <t>not included by other valuer</t>
  </si>
  <si>
    <t>included by other valer, but not by us</t>
  </si>
  <si>
    <t xml:space="preserve">RKA </t>
  </si>
  <si>
    <t>Other valuer</t>
  </si>
  <si>
    <t>Brick wall, Tin shed, PCC flooring</t>
  </si>
  <si>
    <t>Plinth area 
Rate Considered</t>
  </si>
  <si>
    <t>Plinth area rate 
considered by 
other valuer</t>
  </si>
  <si>
    <t>Only G.F,as observed during site survey. Client wants us to show it as G+1.</t>
  </si>
  <si>
    <t>During survey , the building was upto G+1, Only pillar and beam work done.  Client wants us to show it as G+2.</t>
  </si>
  <si>
    <t>Demolished structure</t>
  </si>
  <si>
    <t>Huge difference between our rate and other valuer rate</t>
  </si>
  <si>
    <t>Revised rate from our side</t>
  </si>
  <si>
    <t>Other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</si>
</sst>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quot;₹&quot;\ * #,##0.00_ ;_ &quot;₹&quot;\ * \-#,##0.00_ ;_ &quot;₹&quot;\ * &quot;-&quot;??_ ;_ @_ "/>
    <numFmt numFmtId="43" formatCode="_ * #,##0.00_ ;_ * \-#,##0.00_ ;_ * &quot;-&quot;??_ ;_ @_ "/>
    <numFmt numFmtId="164" formatCode="_ &quot;₹&quot;\ * #,##0_ ;_ &quot;₹&quot;\ * \-#,##0_ ;_ &quot;₹&quot;\ * &quot;-&quot;??_ ;_ @_ "/>
    <numFmt numFmtId="165" formatCode="_ * #,##0_ ;_ * \-#,##0_ ;_ * &quot;-&quot;??_ ;_ @_ "/>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color theme="0"/>
      <name val="Calibri"/>
      <family val="2"/>
      <scheme val="minor"/>
    </font>
    <font>
      <b/>
      <sz val="10"/>
      <color theme="0"/>
      <name val="Calibri"/>
      <family val="2"/>
      <scheme val="minor"/>
    </font>
    <font>
      <b/>
      <i/>
      <sz val="10"/>
      <color indexed="9"/>
      <name val="Calibri"/>
      <family val="2"/>
    </font>
    <font>
      <b/>
      <sz val="10"/>
      <color indexed="9"/>
      <name val="Calibri"/>
      <family val="2"/>
    </font>
    <font>
      <b/>
      <sz val="11"/>
      <color theme="0"/>
      <name val="Calibri"/>
      <family val="2"/>
      <scheme val="minor"/>
    </font>
    <font>
      <b/>
      <i/>
      <sz val="11"/>
      <color theme="1"/>
      <name val="Calibri"/>
      <family val="2"/>
      <scheme val="minor"/>
    </font>
    <font>
      <sz val="10"/>
      <color theme="1"/>
      <name val="Arial"/>
      <family val="2"/>
    </font>
  </fonts>
  <fills count="19">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rgb="FF00B0F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05">
    <xf numFmtId="0" fontId="0" fillId="0" borderId="0" xfId="0"/>
    <xf numFmtId="0" fontId="0" fillId="0" borderId="0" xfId="0" applyAlignment="1">
      <alignment wrapText="1"/>
    </xf>
    <xf numFmtId="43" fontId="0" fillId="0" borderId="0" xfId="2"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0" fillId="0" borderId="0" xfId="0" applyNumberFormat="1"/>
    <xf numFmtId="43" fontId="5" fillId="2" borderId="1" xfId="2"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xf>
    <xf numFmtId="9"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1" xfId="0" applyBorder="1"/>
    <xf numFmtId="0" fontId="0" fillId="0" borderId="1" xfId="0" applyBorder="1" applyAlignment="1">
      <alignment wrapText="1"/>
    </xf>
    <xf numFmtId="0" fontId="2" fillId="6" borderId="1" xfId="0" applyFont="1" applyFill="1" applyBorder="1"/>
    <xf numFmtId="0" fontId="2" fillId="6" borderId="1" xfId="0" applyFont="1" applyFill="1" applyBorder="1" applyAlignment="1">
      <alignment wrapText="1"/>
    </xf>
    <xf numFmtId="0" fontId="2" fillId="4" borderId="1" xfId="0" applyFont="1" applyFill="1" applyBorder="1"/>
    <xf numFmtId="14" fontId="0" fillId="0" borderId="0" xfId="0" applyNumberFormat="1"/>
    <xf numFmtId="0" fontId="0" fillId="6" borderId="0" xfId="0" applyFill="1"/>
    <xf numFmtId="0" fontId="0" fillId="6" borderId="0" xfId="0" applyFill="1" applyAlignment="1">
      <alignment wrapText="1"/>
    </xf>
    <xf numFmtId="0" fontId="8" fillId="2"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4" xfId="1" applyNumberFormat="1" applyFont="1" applyFill="1" applyBorder="1" applyAlignment="1">
      <alignment horizontal="center" vertical="center" wrapText="1"/>
    </xf>
    <xf numFmtId="0" fontId="0" fillId="0" borderId="8" xfId="0" applyBorder="1" applyAlignment="1">
      <alignment horizontal="center" vertical="center"/>
    </xf>
    <xf numFmtId="43" fontId="0" fillId="0" borderId="1" xfId="2" applyFont="1" applyBorder="1" applyAlignment="1">
      <alignment horizontal="center" vertical="center"/>
    </xf>
    <xf numFmtId="0" fontId="0" fillId="0" borderId="0" xfId="2" applyNumberFormat="1" applyFont="1"/>
    <xf numFmtId="9" fontId="0" fillId="0" borderId="0" xfId="0" applyNumberFormat="1"/>
    <xf numFmtId="44" fontId="0" fillId="0" borderId="0" xfId="0" applyNumberFormat="1"/>
    <xf numFmtId="165" fontId="0" fillId="0" borderId="0" xfId="2" applyNumberFormat="1" applyFont="1"/>
    <xf numFmtId="164" fontId="0" fillId="0" borderId="1" xfId="0" applyNumberFormat="1" applyBorder="1" applyAlignment="1">
      <alignment horizontal="center" vertical="center"/>
    </xf>
    <xf numFmtId="0" fontId="0" fillId="0" borderId="0" xfId="0" applyAlignment="1">
      <alignment horizontal="center" wrapText="1"/>
    </xf>
    <xf numFmtId="0" fontId="2" fillId="7" borderId="0" xfId="0" applyFont="1" applyFill="1" applyAlignment="1">
      <alignment horizontal="center" vertical="center" wrapText="1"/>
    </xf>
    <xf numFmtId="0" fontId="2" fillId="7" borderId="0" xfId="0" applyFont="1" applyFill="1" applyAlignment="1">
      <alignment horizontal="center" vertical="center"/>
    </xf>
    <xf numFmtId="165" fontId="0" fillId="0" borderId="0" xfId="2"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xf>
    <xf numFmtId="0" fontId="0" fillId="8" borderId="1" xfId="0" applyFill="1" applyBorder="1" applyAlignment="1">
      <alignment horizontal="center" vertical="center" wrapText="1"/>
    </xf>
    <xf numFmtId="0" fontId="0" fillId="8" borderId="0" xfId="0" applyFill="1" applyAlignment="1">
      <alignment horizontal="center" vertical="center"/>
    </xf>
    <xf numFmtId="43" fontId="2" fillId="9" borderId="1" xfId="0" applyNumberFormat="1" applyFont="1" applyFill="1" applyBorder="1" applyAlignment="1">
      <alignment horizontal="center" vertical="center"/>
    </xf>
    <xf numFmtId="0" fontId="2" fillId="9" borderId="3" xfId="0" applyFont="1" applyFill="1" applyBorder="1" applyAlignment="1">
      <alignment horizontal="center" vertical="center"/>
    </xf>
    <xf numFmtId="164" fontId="2" fillId="9" borderId="1" xfId="0" applyNumberFormat="1" applyFont="1" applyFill="1" applyBorder="1" applyAlignment="1">
      <alignment horizontal="center" vertical="center"/>
    </xf>
    <xf numFmtId="3" fontId="10" fillId="0" borderId="0" xfId="0" applyNumberFormat="1" applyFont="1"/>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165" fontId="2" fillId="10" borderId="1" xfId="2" applyNumberFormat="1" applyFont="1" applyFill="1" applyBorder="1" applyAlignment="1">
      <alignment horizontal="center" vertical="center"/>
    </xf>
    <xf numFmtId="165" fontId="0" fillId="0" borderId="1" xfId="2" applyNumberFormat="1" applyFont="1" applyBorder="1" applyAlignment="1">
      <alignment horizontal="center" vertical="center"/>
    </xf>
    <xf numFmtId="165" fontId="2" fillId="9" borderId="1" xfId="2" applyNumberFormat="1" applyFont="1" applyFill="1" applyBorder="1" applyAlignment="1">
      <alignment horizontal="center" vertical="center"/>
    </xf>
    <xf numFmtId="165" fontId="0" fillId="0" borderId="0" xfId="2" applyNumberFormat="1" applyFont="1" applyAlignment="1">
      <alignment horizontal="left" vertical="center"/>
    </xf>
    <xf numFmtId="43" fontId="0" fillId="0" borderId="0" xfId="2" applyFont="1" applyAlignment="1">
      <alignment horizontal="center" vertical="center"/>
    </xf>
    <xf numFmtId="164" fontId="0" fillId="11" borderId="5" xfId="0" applyNumberFormat="1" applyFill="1" applyBorder="1" applyAlignment="1">
      <alignment horizontal="center" vertical="center"/>
    </xf>
    <xf numFmtId="44" fontId="5" fillId="2" borderId="0" xfId="0" applyNumberFormat="1" applyFont="1" applyFill="1" applyAlignment="1">
      <alignment horizontal="center" vertical="center" wrapText="1"/>
    </xf>
    <xf numFmtId="43" fontId="0" fillId="0" borderId="1" xfId="2" applyFont="1" applyFill="1" applyBorder="1" applyAlignment="1">
      <alignment horizontal="center" vertical="center"/>
    </xf>
    <xf numFmtId="164" fontId="0" fillId="12" borderId="5" xfId="0" applyNumberFormat="1" applyFill="1" applyBorder="1" applyAlignment="1">
      <alignment horizontal="center" vertical="center"/>
    </xf>
    <xf numFmtId="0" fontId="5" fillId="13" borderId="1" xfId="0" applyFont="1" applyFill="1" applyBorder="1" applyAlignment="1">
      <alignment horizontal="center" vertical="center"/>
    </xf>
    <xf numFmtId="44" fontId="5" fillId="13" borderId="1" xfId="0" applyNumberFormat="1" applyFont="1" applyFill="1" applyBorder="1" applyAlignment="1">
      <alignment horizontal="center" vertical="center" wrapText="1"/>
    </xf>
    <xf numFmtId="0" fontId="5" fillId="13" borderId="1" xfId="0" applyFont="1" applyFill="1" applyBorder="1" applyAlignment="1">
      <alignment horizontal="center" vertical="center" wrapText="1"/>
    </xf>
    <xf numFmtId="43" fontId="5" fillId="13" borderId="1" xfId="2" applyFont="1" applyFill="1" applyBorder="1" applyAlignment="1">
      <alignment horizontal="center" vertical="center" wrapText="1"/>
    </xf>
    <xf numFmtId="0" fontId="0" fillId="0" borderId="6" xfId="0" applyBorder="1" applyAlignment="1">
      <alignment horizontal="center" vertical="center" wrapText="1"/>
    </xf>
    <xf numFmtId="0" fontId="0" fillId="18" borderId="1" xfId="0" applyFill="1" applyBorder="1" applyAlignment="1">
      <alignment horizontal="center" vertical="center"/>
    </xf>
    <xf numFmtId="0" fontId="0" fillId="18" borderId="0" xfId="0" applyFill="1"/>
    <xf numFmtId="0" fontId="0" fillId="14" borderId="0" xfId="0" applyFill="1"/>
    <xf numFmtId="0" fontId="0" fillId="11" borderId="0" xfId="0" applyFill="1"/>
    <xf numFmtId="0" fontId="2" fillId="3" borderId="1" xfId="0" applyFont="1" applyFill="1" applyBorder="1"/>
    <xf numFmtId="0" fontId="2" fillId="3" borderId="1" xfId="0" applyFont="1" applyFill="1" applyBorder="1" applyAlignment="1">
      <alignment horizontal="center" vertical="center"/>
    </xf>
    <xf numFmtId="0" fontId="0" fillId="15" borderId="1" xfId="0" applyFill="1" applyBorder="1" applyAlignment="1">
      <alignment horizontal="center" vertical="center" wrapText="1"/>
    </xf>
    <xf numFmtId="0" fontId="0" fillId="15" borderId="0" xfId="0" applyFill="1"/>
    <xf numFmtId="0" fontId="0" fillId="9" borderId="0" xfId="0" applyFill="1"/>
    <xf numFmtId="43" fontId="2" fillId="16" borderId="1" xfId="0" applyNumberFormat="1" applyFont="1" applyFill="1" applyBorder="1" applyAlignment="1">
      <alignment horizontal="center" vertical="center"/>
    </xf>
    <xf numFmtId="164" fontId="0" fillId="14" borderId="5" xfId="0" applyNumberFormat="1" applyFill="1" applyBorder="1" applyAlignment="1">
      <alignment horizontal="center" vertical="center"/>
    </xf>
    <xf numFmtId="164" fontId="5" fillId="2" borderId="6" xfId="0" applyNumberFormat="1" applyFont="1" applyFill="1" applyBorder="1" applyAlignment="1">
      <alignment horizontal="center" vertical="center" wrapText="1"/>
    </xf>
    <xf numFmtId="0" fontId="9" fillId="5" borderId="2" xfId="0" applyFont="1" applyFill="1" applyBorder="1" applyAlignment="1">
      <alignment horizontal="center"/>
    </xf>
    <xf numFmtId="0" fontId="9" fillId="5" borderId="3" xfId="0" applyFont="1" applyFill="1" applyBorder="1" applyAlignment="1">
      <alignment horizontal="center"/>
    </xf>
    <xf numFmtId="0" fontId="9" fillId="5" borderId="4" xfId="0" applyFont="1" applyFill="1" applyBorder="1" applyAlignment="1">
      <alignment horizontal="center"/>
    </xf>
    <xf numFmtId="0" fontId="3" fillId="3" borderId="1" xfId="0" applyFont="1" applyFill="1" applyBorder="1" applyAlignment="1">
      <alignment horizontal="center" wrapText="1"/>
    </xf>
    <xf numFmtId="0" fontId="4" fillId="0" borderId="1" xfId="0" applyFont="1" applyBorder="1" applyAlignment="1">
      <alignment horizontal="center"/>
    </xf>
    <xf numFmtId="0" fontId="0" fillId="0" borderId="0" xfId="0" applyAlignment="1">
      <alignment horizont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2" fillId="9" borderId="1" xfId="0" applyFont="1" applyFill="1" applyBorder="1" applyAlignment="1">
      <alignment horizontal="center" vertical="center"/>
    </xf>
    <xf numFmtId="0" fontId="0" fillId="0" borderId="1" xfId="0" applyBorder="1" applyAlignment="1">
      <alignment horizontal="left"/>
    </xf>
    <xf numFmtId="0" fontId="2" fillId="16" borderId="1" xfId="0" applyFont="1" applyFill="1" applyBorder="1" applyAlignment="1">
      <alignment horizontal="center" vertical="center"/>
    </xf>
    <xf numFmtId="0" fontId="2" fillId="4" borderId="12" xfId="0" applyFont="1" applyFill="1" applyBorder="1" applyAlignment="1">
      <alignment horizontal="center"/>
    </xf>
    <xf numFmtId="0" fontId="2" fillId="17" borderId="1" xfId="0" applyFont="1" applyFill="1" applyBorder="1" applyAlignment="1">
      <alignment horizont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164" fontId="0" fillId="0" borderId="5" xfId="0" applyNumberFormat="1" applyFill="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4</xdr:row>
      <xdr:rowOff>123825</xdr:rowOff>
    </xdr:from>
    <xdr:to>
      <xdr:col>16</xdr:col>
      <xdr:colOff>18150</xdr:colOff>
      <xdr:row>17</xdr:row>
      <xdr:rowOff>48841</xdr:rowOff>
    </xdr:to>
    <xdr:pic>
      <xdr:nvPicPr>
        <xdr:cNvPr id="2" name="Picture 1" descr="Screen Clipping">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0" y="885825"/>
          <a:ext cx="7200000" cy="2401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B51"/>
  <sheetViews>
    <sheetView tabSelected="1" topLeftCell="D22" zoomScale="68" zoomScaleNormal="68" workbookViewId="0">
      <selection activeCell="J47" sqref="J47"/>
    </sheetView>
  </sheetViews>
  <sheetFormatPr defaultRowHeight="15" x14ac:dyDescent="0.25"/>
  <cols>
    <col min="3" max="3" width="4.85546875" customWidth="1"/>
    <col min="4" max="4" width="20.85546875" customWidth="1"/>
    <col min="5" max="5" width="22.7109375" customWidth="1"/>
    <col min="6" max="6" width="7.28515625" customWidth="1"/>
    <col min="7" max="7" width="18.7109375" bestFit="1" customWidth="1"/>
    <col min="8" max="8" width="11.7109375" customWidth="1"/>
    <col min="9" max="9" width="16.5703125" style="2" bestFit="1" customWidth="1"/>
    <col min="10" max="10" width="14.5703125" style="2" customWidth="1"/>
    <col min="11" max="11" width="13" customWidth="1"/>
    <col min="12" max="12" width="11.42578125" customWidth="1"/>
    <col min="13" max="13" width="16" customWidth="1"/>
    <col min="14" max="14" width="12.85546875" customWidth="1"/>
    <col min="15" max="15" width="15.42578125" customWidth="1"/>
    <col min="16" max="16" width="14" customWidth="1"/>
    <col min="17" max="17" width="14.7109375" customWidth="1"/>
    <col min="18" max="19" width="13" style="8" customWidth="1"/>
    <col min="20" max="20" width="20.28515625" style="8" bestFit="1" customWidth="1"/>
    <col min="21" max="21" width="18.85546875" bestFit="1" customWidth="1"/>
    <col min="22" max="22" width="20.28515625" bestFit="1" customWidth="1"/>
    <col min="25" max="25" width="10.5703125" bestFit="1" customWidth="1"/>
    <col min="26" max="26" width="12" customWidth="1"/>
    <col min="27" max="27" width="10.28515625" customWidth="1"/>
  </cols>
  <sheetData>
    <row r="3" spans="3:28" ht="28.5" customHeight="1" x14ac:dyDescent="0.25">
      <c r="C3" s="84" t="s">
        <v>58</v>
      </c>
      <c r="D3" s="84"/>
      <c r="E3" s="84"/>
      <c r="F3" s="84"/>
      <c r="G3" s="84"/>
      <c r="H3" s="84"/>
      <c r="I3" s="84"/>
      <c r="J3" s="84"/>
      <c r="K3" s="84"/>
      <c r="L3" s="84"/>
      <c r="M3" s="84"/>
      <c r="N3" s="84"/>
      <c r="O3" s="84"/>
      <c r="P3" s="84"/>
      <c r="Q3" s="84"/>
      <c r="R3" s="84"/>
      <c r="S3" s="84"/>
      <c r="T3" s="84"/>
      <c r="U3" s="84"/>
      <c r="V3" s="84"/>
    </row>
    <row r="4" spans="3:28" x14ac:dyDescent="0.25">
      <c r="C4" s="85"/>
      <c r="D4" s="85"/>
      <c r="E4" s="85"/>
      <c r="F4" s="85"/>
      <c r="G4" s="85"/>
      <c r="H4" s="85"/>
      <c r="I4" s="85"/>
      <c r="J4" s="85"/>
      <c r="K4" s="85"/>
      <c r="L4" s="85"/>
      <c r="M4" s="85"/>
      <c r="N4" s="85"/>
      <c r="O4" s="85"/>
      <c r="P4" s="85"/>
      <c r="Q4" s="85"/>
      <c r="R4" s="85"/>
      <c r="S4" s="85"/>
      <c r="T4" s="85"/>
      <c r="U4" s="85"/>
      <c r="V4" s="85"/>
      <c r="Y4" s="81" t="s">
        <v>34</v>
      </c>
      <c r="Z4" s="82"/>
      <c r="AA4" s="82"/>
      <c r="AB4" s="83"/>
    </row>
    <row r="5" spans="3:28" ht="54.75" customHeight="1" x14ac:dyDescent="0.25">
      <c r="C5" s="3" t="s">
        <v>1</v>
      </c>
      <c r="D5" s="6" t="s">
        <v>49</v>
      </c>
      <c r="E5" s="4" t="s">
        <v>2</v>
      </c>
      <c r="F5" s="4" t="s">
        <v>3</v>
      </c>
      <c r="G5" s="4" t="s">
        <v>44</v>
      </c>
      <c r="H5" s="6" t="s">
        <v>4</v>
      </c>
      <c r="I5" s="9" t="s">
        <v>5</v>
      </c>
      <c r="J5" s="9" t="s">
        <v>42</v>
      </c>
      <c r="K5" s="5" t="s">
        <v>6</v>
      </c>
      <c r="L5" s="6" t="s">
        <v>7</v>
      </c>
      <c r="M5" s="32" t="s">
        <v>12</v>
      </c>
      <c r="N5" s="5" t="s">
        <v>11</v>
      </c>
      <c r="O5" s="6" t="s">
        <v>8</v>
      </c>
      <c r="P5" s="6" t="s">
        <v>9</v>
      </c>
      <c r="Q5" s="6" t="s">
        <v>10</v>
      </c>
      <c r="R5" s="7" t="s">
        <v>13</v>
      </c>
      <c r="S5" s="7" t="s">
        <v>122</v>
      </c>
      <c r="T5" s="7" t="s">
        <v>14</v>
      </c>
      <c r="U5" s="6" t="s">
        <v>0</v>
      </c>
      <c r="V5" s="6" t="s">
        <v>15</v>
      </c>
      <c r="Y5" s="20" t="s">
        <v>33</v>
      </c>
      <c r="Z5" s="19" t="s">
        <v>23</v>
      </c>
      <c r="AA5" s="20" t="s">
        <v>24</v>
      </c>
      <c r="AB5" s="20" t="s">
        <v>25</v>
      </c>
    </row>
    <row r="6" spans="3:28" ht="30" x14ac:dyDescent="0.25">
      <c r="C6" s="11">
        <v>1</v>
      </c>
      <c r="D6" s="11" t="s">
        <v>59</v>
      </c>
      <c r="E6" s="13" t="s">
        <v>85</v>
      </c>
      <c r="F6" s="13" t="s">
        <v>41</v>
      </c>
      <c r="G6" s="13" t="s">
        <v>45</v>
      </c>
      <c r="H6" s="11" t="s">
        <v>64</v>
      </c>
      <c r="I6" s="34">
        <f>10.76*J6</f>
        <v>6856.9175999999998</v>
      </c>
      <c r="J6" s="34">
        <f>318.63*2</f>
        <v>637.26</v>
      </c>
      <c r="K6" s="11">
        <v>1991</v>
      </c>
      <c r="L6" s="11">
        <v>2023</v>
      </c>
      <c r="M6" s="33">
        <f>L6-K6</f>
        <v>32</v>
      </c>
      <c r="N6" s="14">
        <v>70</v>
      </c>
      <c r="O6" s="14"/>
      <c r="P6" s="15">
        <v>0.1</v>
      </c>
      <c r="Q6" s="14">
        <f>(1-P6)/N6</f>
        <v>1.2857142857142857E-2</v>
      </c>
      <c r="R6" s="16">
        <v>1300</v>
      </c>
      <c r="S6" s="60">
        <v>2450</v>
      </c>
      <c r="T6" s="16">
        <f>R6*I6</f>
        <v>8913992.879999999</v>
      </c>
      <c r="U6" s="16">
        <f>T6*Q6*IF(M6&gt;N6,N6,M6)</f>
        <v>3667471.3563428568</v>
      </c>
      <c r="V6" s="16">
        <f>T6-U6</f>
        <v>5246521.5236571422</v>
      </c>
      <c r="X6">
        <f>1286*2</f>
        <v>2572</v>
      </c>
      <c r="Y6" s="17"/>
      <c r="Z6" s="17"/>
      <c r="AA6" s="17"/>
      <c r="AB6" s="17"/>
    </row>
    <row r="7" spans="3:28" ht="30" x14ac:dyDescent="0.25">
      <c r="C7" s="11">
        <v>2</v>
      </c>
      <c r="D7" s="13" t="s">
        <v>60</v>
      </c>
      <c r="E7" s="13" t="s">
        <v>85</v>
      </c>
      <c r="F7" s="13" t="s">
        <v>62</v>
      </c>
      <c r="G7" s="13">
        <v>11</v>
      </c>
      <c r="H7" s="11" t="s">
        <v>64</v>
      </c>
      <c r="I7" s="34">
        <f t="shared" ref="I7:I21" si="0">10.76*J7</f>
        <v>1286.4656</v>
      </c>
      <c r="J7" s="62">
        <v>119.56</v>
      </c>
      <c r="K7" s="11">
        <v>1991</v>
      </c>
      <c r="L7" s="11">
        <v>2023</v>
      </c>
      <c r="M7" s="33">
        <f t="shared" ref="M7:M21" si="1">L7-K7</f>
        <v>32</v>
      </c>
      <c r="N7" s="14">
        <v>70</v>
      </c>
      <c r="O7" s="14"/>
      <c r="P7" s="15">
        <v>0.1</v>
      </c>
      <c r="Q7" s="14">
        <f t="shared" ref="Q7:Q21" si="2">(1-P7)/N7</f>
        <v>1.2857142857142857E-2</v>
      </c>
      <c r="R7" s="16">
        <v>1300</v>
      </c>
      <c r="S7" s="60">
        <v>2450</v>
      </c>
      <c r="T7" s="16">
        <f t="shared" ref="T7:T21" si="3">R7*I7</f>
        <v>1672405.28</v>
      </c>
      <c r="U7" s="16">
        <f t="shared" ref="U7:U21" si="4">T7*Q7*IF(M7&gt;N7,N7,M7)</f>
        <v>688075.31519999995</v>
      </c>
      <c r="V7" s="16">
        <f t="shared" ref="V7:V21" si="5">T7-U7</f>
        <v>984329.96480000007</v>
      </c>
      <c r="Y7" s="17"/>
      <c r="Z7" s="17"/>
      <c r="AA7" s="17"/>
      <c r="AB7" s="17"/>
    </row>
    <row r="8" spans="3:28" ht="60" x14ac:dyDescent="0.25">
      <c r="C8" s="11">
        <v>3</v>
      </c>
      <c r="D8" s="11" t="s">
        <v>61</v>
      </c>
      <c r="E8" s="13" t="s">
        <v>86</v>
      </c>
      <c r="F8" s="13" t="s">
        <v>41</v>
      </c>
      <c r="G8" s="13">
        <v>12</v>
      </c>
      <c r="H8" s="11" t="s">
        <v>22</v>
      </c>
      <c r="I8" s="34">
        <f t="shared" si="0"/>
        <v>13151.840399999999</v>
      </c>
      <c r="J8" s="34">
        <v>1222.29</v>
      </c>
      <c r="K8" s="11">
        <v>1992</v>
      </c>
      <c r="L8" s="11">
        <v>2023</v>
      </c>
      <c r="M8" s="33">
        <f t="shared" si="1"/>
        <v>31</v>
      </c>
      <c r="N8" s="14">
        <v>70</v>
      </c>
      <c r="O8" s="14"/>
      <c r="P8" s="15">
        <v>0.1</v>
      </c>
      <c r="Q8" s="14">
        <f t="shared" si="2"/>
        <v>1.2857142857142857E-2</v>
      </c>
      <c r="R8" s="16">
        <v>1400</v>
      </c>
      <c r="S8" s="60">
        <v>1650</v>
      </c>
      <c r="T8" s="16">
        <f t="shared" si="3"/>
        <v>18412576.559999999</v>
      </c>
      <c r="U8" s="16">
        <f t="shared" si="4"/>
        <v>7338726.9431999996</v>
      </c>
      <c r="V8" s="16">
        <f t="shared" si="5"/>
        <v>11073849.616799999</v>
      </c>
      <c r="Y8" s="17"/>
      <c r="Z8" s="17"/>
      <c r="AA8" s="17"/>
      <c r="AB8" s="17"/>
    </row>
    <row r="9" spans="3:28" ht="45" x14ac:dyDescent="0.25">
      <c r="C9" s="11">
        <v>4</v>
      </c>
      <c r="D9" s="13" t="s">
        <v>63</v>
      </c>
      <c r="E9" s="47" t="s">
        <v>72</v>
      </c>
      <c r="F9" s="13" t="s">
        <v>65</v>
      </c>
      <c r="G9" s="13" t="s">
        <v>94</v>
      </c>
      <c r="H9" s="11" t="s">
        <v>95</v>
      </c>
      <c r="I9" s="34">
        <f t="shared" si="0"/>
        <v>0</v>
      </c>
      <c r="J9" s="34">
        <v>0</v>
      </c>
      <c r="K9" s="11">
        <v>1991</v>
      </c>
      <c r="L9" s="11">
        <v>2023</v>
      </c>
      <c r="M9" s="33">
        <f t="shared" si="1"/>
        <v>32</v>
      </c>
      <c r="N9" s="14">
        <v>0</v>
      </c>
      <c r="O9" s="14"/>
      <c r="P9" s="15">
        <v>0.1</v>
      </c>
      <c r="Q9" s="14">
        <v>0</v>
      </c>
      <c r="R9" s="16">
        <v>0</v>
      </c>
      <c r="S9" s="16">
        <v>850</v>
      </c>
      <c r="T9" s="16">
        <f t="shared" si="3"/>
        <v>0</v>
      </c>
      <c r="U9" s="16">
        <f t="shared" si="4"/>
        <v>0</v>
      </c>
      <c r="V9" s="16">
        <f t="shared" si="5"/>
        <v>0</v>
      </c>
      <c r="Y9" s="17"/>
      <c r="Z9" s="17"/>
      <c r="AA9" s="17"/>
      <c r="AB9" s="17"/>
    </row>
    <row r="10" spans="3:28" ht="30" x14ac:dyDescent="0.25">
      <c r="C10" s="11">
        <v>5</v>
      </c>
      <c r="D10" s="11" t="s">
        <v>123</v>
      </c>
      <c r="E10" s="13" t="s">
        <v>87</v>
      </c>
      <c r="F10" s="13" t="s">
        <v>62</v>
      </c>
      <c r="G10" s="13">
        <v>12</v>
      </c>
      <c r="H10" s="11" t="s">
        <v>22</v>
      </c>
      <c r="I10" s="34">
        <f t="shared" si="0"/>
        <v>4102.4651999999996</v>
      </c>
      <c r="J10" s="34">
        <v>381.27</v>
      </c>
      <c r="K10" s="11">
        <v>1991</v>
      </c>
      <c r="L10" s="11">
        <v>2023</v>
      </c>
      <c r="M10" s="33">
        <f t="shared" si="1"/>
        <v>32</v>
      </c>
      <c r="N10" s="14">
        <v>50</v>
      </c>
      <c r="O10" s="14"/>
      <c r="P10" s="15">
        <v>0.1</v>
      </c>
      <c r="Q10" s="14">
        <f t="shared" si="2"/>
        <v>1.8000000000000002E-2</v>
      </c>
      <c r="R10" s="16">
        <v>1100</v>
      </c>
      <c r="S10" s="16">
        <v>1200</v>
      </c>
      <c r="T10" s="16">
        <f t="shared" si="3"/>
        <v>4512711.72</v>
      </c>
      <c r="U10" s="16">
        <f t="shared" si="4"/>
        <v>2599321.9507200001</v>
      </c>
      <c r="V10" s="16">
        <f t="shared" si="5"/>
        <v>1913389.7692799997</v>
      </c>
      <c r="Y10" s="17"/>
      <c r="Z10" s="17"/>
      <c r="AA10" s="17"/>
      <c r="AB10" s="17"/>
    </row>
    <row r="11" spans="3:28" ht="45" x14ac:dyDescent="0.25">
      <c r="C11" s="11">
        <v>6</v>
      </c>
      <c r="D11" s="11" t="s">
        <v>66</v>
      </c>
      <c r="E11" s="13" t="s">
        <v>88</v>
      </c>
      <c r="F11" s="13" t="s">
        <v>62</v>
      </c>
      <c r="G11" s="13">
        <v>11</v>
      </c>
      <c r="H11" s="11" t="s">
        <v>64</v>
      </c>
      <c r="I11" s="34">
        <f t="shared" si="0"/>
        <v>408.88</v>
      </c>
      <c r="J11" s="34">
        <v>38</v>
      </c>
      <c r="K11" s="11">
        <v>1991</v>
      </c>
      <c r="L11" s="11">
        <v>2023</v>
      </c>
      <c r="M11" s="33">
        <f t="shared" si="1"/>
        <v>32</v>
      </c>
      <c r="N11" s="14">
        <v>70</v>
      </c>
      <c r="O11" s="14"/>
      <c r="P11" s="15">
        <v>0.1</v>
      </c>
      <c r="Q11" s="14">
        <f t="shared" si="2"/>
        <v>1.2857142857142857E-2</v>
      </c>
      <c r="R11" s="16">
        <v>1300</v>
      </c>
      <c r="S11" s="16">
        <v>1450</v>
      </c>
      <c r="T11" s="16">
        <f t="shared" si="3"/>
        <v>531544</v>
      </c>
      <c r="U11" s="16">
        <f t="shared" si="4"/>
        <v>218692.38857142857</v>
      </c>
      <c r="V11" s="16">
        <f t="shared" si="5"/>
        <v>312851.6114285714</v>
      </c>
      <c r="Y11" s="17"/>
      <c r="Z11" s="17"/>
      <c r="AA11" s="17"/>
      <c r="AB11" s="17"/>
    </row>
    <row r="12" spans="3:28" ht="45" x14ac:dyDescent="0.25">
      <c r="C12" s="11">
        <v>7</v>
      </c>
      <c r="D12" s="11" t="s">
        <v>67</v>
      </c>
      <c r="E12" s="13" t="s">
        <v>88</v>
      </c>
      <c r="F12" s="13" t="s">
        <v>62</v>
      </c>
      <c r="G12" s="13">
        <v>11</v>
      </c>
      <c r="H12" s="11" t="s">
        <v>64</v>
      </c>
      <c r="I12" s="34">
        <f t="shared" si="0"/>
        <v>297.19119999999998</v>
      </c>
      <c r="J12" s="34">
        <v>27.62</v>
      </c>
      <c r="K12" s="11">
        <v>1991</v>
      </c>
      <c r="L12" s="11">
        <v>2023</v>
      </c>
      <c r="M12" s="33">
        <f t="shared" si="1"/>
        <v>32</v>
      </c>
      <c r="N12" s="14">
        <v>70</v>
      </c>
      <c r="O12" s="14"/>
      <c r="P12" s="15">
        <v>0.1</v>
      </c>
      <c r="Q12" s="14">
        <f t="shared" si="2"/>
        <v>1.2857142857142857E-2</v>
      </c>
      <c r="R12" s="16">
        <v>1300</v>
      </c>
      <c r="S12" s="16">
        <v>1450</v>
      </c>
      <c r="T12" s="16">
        <f t="shared" si="3"/>
        <v>386348.56</v>
      </c>
      <c r="U12" s="16">
        <f t="shared" si="4"/>
        <v>158954.83611428572</v>
      </c>
      <c r="V12" s="16">
        <f t="shared" si="5"/>
        <v>227393.72388571428</v>
      </c>
      <c r="Y12" s="17"/>
      <c r="Z12" s="17"/>
      <c r="AA12" s="17"/>
      <c r="AB12" s="17"/>
    </row>
    <row r="13" spans="3:28" ht="30" x14ac:dyDescent="0.25">
      <c r="C13" s="11">
        <v>8</v>
      </c>
      <c r="D13" s="11" t="s">
        <v>68</v>
      </c>
      <c r="E13" s="13" t="s">
        <v>89</v>
      </c>
      <c r="F13" s="13" t="s">
        <v>62</v>
      </c>
      <c r="G13" s="13">
        <v>20</v>
      </c>
      <c r="H13" s="11" t="s">
        <v>64</v>
      </c>
      <c r="I13" s="34">
        <f t="shared" si="0"/>
        <v>3608.4736000000003</v>
      </c>
      <c r="J13" s="34">
        <v>335.36</v>
      </c>
      <c r="K13" s="11">
        <v>1991</v>
      </c>
      <c r="L13" s="11">
        <v>2023</v>
      </c>
      <c r="M13" s="33">
        <f t="shared" si="1"/>
        <v>32</v>
      </c>
      <c r="N13" s="14">
        <v>45</v>
      </c>
      <c r="O13" s="14"/>
      <c r="P13" s="15">
        <v>0.1</v>
      </c>
      <c r="Q13" s="14">
        <f t="shared" si="2"/>
        <v>0.02</v>
      </c>
      <c r="R13" s="16">
        <v>1000</v>
      </c>
      <c r="S13" s="63">
        <v>950</v>
      </c>
      <c r="T13" s="16">
        <f t="shared" si="3"/>
        <v>3608473.6000000001</v>
      </c>
      <c r="U13" s="16">
        <f t="shared" si="4"/>
        <v>2309423.1040000003</v>
      </c>
      <c r="V13" s="16">
        <f t="shared" si="5"/>
        <v>1299050.4959999998</v>
      </c>
      <c r="Y13" s="17"/>
      <c r="Z13" s="17"/>
      <c r="AA13" s="17"/>
      <c r="AB13" s="17"/>
    </row>
    <row r="14" spans="3:28" ht="45" x14ac:dyDescent="0.25">
      <c r="C14" s="11">
        <v>9</v>
      </c>
      <c r="D14" s="11" t="s">
        <v>69</v>
      </c>
      <c r="E14" s="13" t="s">
        <v>90</v>
      </c>
      <c r="F14" s="13" t="s">
        <v>62</v>
      </c>
      <c r="G14" s="13" t="s">
        <v>94</v>
      </c>
      <c r="H14" s="11" t="s">
        <v>64</v>
      </c>
      <c r="I14" s="34">
        <f t="shared" si="0"/>
        <v>6344.5263999999997</v>
      </c>
      <c r="J14" s="34">
        <v>589.64</v>
      </c>
      <c r="K14" s="11">
        <v>1991</v>
      </c>
      <c r="L14" s="11">
        <v>2023</v>
      </c>
      <c r="M14" s="33">
        <f t="shared" si="1"/>
        <v>32</v>
      </c>
      <c r="N14" s="14">
        <v>45</v>
      </c>
      <c r="O14" s="14"/>
      <c r="P14" s="15">
        <v>0.1</v>
      </c>
      <c r="Q14" s="14">
        <f t="shared" si="2"/>
        <v>0.02</v>
      </c>
      <c r="R14" s="16">
        <v>1000</v>
      </c>
      <c r="S14" s="16">
        <v>850</v>
      </c>
      <c r="T14" s="16">
        <f t="shared" si="3"/>
        <v>6344526.3999999994</v>
      </c>
      <c r="U14" s="16">
        <f t="shared" si="4"/>
        <v>4060496.8959999997</v>
      </c>
      <c r="V14" s="16">
        <f t="shared" si="5"/>
        <v>2284029.5039999997</v>
      </c>
      <c r="Y14" s="17"/>
      <c r="Z14" s="17"/>
      <c r="AA14" s="17"/>
      <c r="AB14" s="17"/>
    </row>
    <row r="15" spans="3:28" ht="45" x14ac:dyDescent="0.25">
      <c r="C15" s="11"/>
      <c r="D15" s="11" t="s">
        <v>84</v>
      </c>
      <c r="E15" s="13" t="s">
        <v>90</v>
      </c>
      <c r="F15" s="13" t="s">
        <v>94</v>
      </c>
      <c r="G15" s="13" t="s">
        <v>94</v>
      </c>
      <c r="H15" s="11" t="s">
        <v>64</v>
      </c>
      <c r="I15" s="34">
        <f t="shared" si="0"/>
        <v>2423.69</v>
      </c>
      <c r="J15" s="34">
        <v>225.25</v>
      </c>
      <c r="K15" s="11">
        <v>2018</v>
      </c>
      <c r="L15" s="11">
        <v>2023</v>
      </c>
      <c r="M15" s="33">
        <f t="shared" si="1"/>
        <v>5</v>
      </c>
      <c r="N15" s="14">
        <v>70</v>
      </c>
      <c r="O15" s="14"/>
      <c r="P15" s="15">
        <v>0.1</v>
      </c>
      <c r="Q15" s="14">
        <f t="shared" si="2"/>
        <v>1.2857142857142857E-2</v>
      </c>
      <c r="R15" s="16">
        <v>1000</v>
      </c>
      <c r="S15" s="16">
        <v>750</v>
      </c>
      <c r="T15" s="16">
        <f t="shared" si="3"/>
        <v>2423690</v>
      </c>
      <c r="U15" s="16">
        <f t="shared" si="4"/>
        <v>155808.64285714287</v>
      </c>
      <c r="V15" s="16">
        <f t="shared" si="5"/>
        <v>2267881.3571428573</v>
      </c>
      <c r="Y15" s="17"/>
      <c r="Z15" s="17"/>
      <c r="AA15" s="17"/>
      <c r="AB15" s="17"/>
    </row>
    <row r="16" spans="3:28" ht="45" x14ac:dyDescent="0.25">
      <c r="C16" s="11">
        <v>10</v>
      </c>
      <c r="D16" s="11" t="s">
        <v>70</v>
      </c>
      <c r="E16" s="13" t="s">
        <v>90</v>
      </c>
      <c r="F16" s="13" t="s">
        <v>94</v>
      </c>
      <c r="G16" s="13" t="s">
        <v>94</v>
      </c>
      <c r="H16" s="11" t="s">
        <v>64</v>
      </c>
      <c r="I16" s="34">
        <f t="shared" si="0"/>
        <v>5565.5024000000003</v>
      </c>
      <c r="J16" s="34">
        <v>517.24</v>
      </c>
      <c r="K16" s="11">
        <v>1992</v>
      </c>
      <c r="L16" s="11">
        <v>2023</v>
      </c>
      <c r="M16" s="33">
        <f t="shared" si="1"/>
        <v>31</v>
      </c>
      <c r="N16" s="14">
        <v>70</v>
      </c>
      <c r="O16" s="14"/>
      <c r="P16" s="15">
        <v>0.1</v>
      </c>
      <c r="Q16" s="14">
        <f t="shared" si="2"/>
        <v>1.2857142857142857E-2</v>
      </c>
      <c r="R16" s="16">
        <v>1000</v>
      </c>
      <c r="S16" s="16">
        <v>850</v>
      </c>
      <c r="T16" s="16">
        <f t="shared" si="3"/>
        <v>5565502.4000000004</v>
      </c>
      <c r="U16" s="16">
        <f t="shared" si="4"/>
        <v>2218250.242285714</v>
      </c>
      <c r="V16" s="16">
        <f t="shared" si="5"/>
        <v>3347252.1577142864</v>
      </c>
      <c r="Y16" s="17"/>
      <c r="Z16" s="17"/>
      <c r="AA16" s="17"/>
      <c r="AB16" s="17"/>
    </row>
    <row r="17" spans="3:28" ht="45" x14ac:dyDescent="0.25">
      <c r="C17" s="11">
        <v>11</v>
      </c>
      <c r="D17" s="11" t="s">
        <v>71</v>
      </c>
      <c r="E17" s="47" t="s">
        <v>72</v>
      </c>
      <c r="F17" s="13" t="s">
        <v>94</v>
      </c>
      <c r="G17" s="13" t="s">
        <v>94</v>
      </c>
      <c r="H17" s="11" t="s">
        <v>95</v>
      </c>
      <c r="I17" s="34">
        <f t="shared" si="0"/>
        <v>0</v>
      </c>
      <c r="J17" s="34">
        <v>0</v>
      </c>
      <c r="K17" s="11">
        <v>1991</v>
      </c>
      <c r="L17" s="11">
        <v>2023</v>
      </c>
      <c r="M17" s="33">
        <f t="shared" si="1"/>
        <v>32</v>
      </c>
      <c r="N17" s="14">
        <v>70</v>
      </c>
      <c r="O17" s="14"/>
      <c r="P17" s="15">
        <v>0.1</v>
      </c>
      <c r="Q17" s="14">
        <f t="shared" si="2"/>
        <v>1.2857142857142857E-2</v>
      </c>
      <c r="R17" s="16">
        <v>0</v>
      </c>
      <c r="S17" s="16">
        <v>900</v>
      </c>
      <c r="T17" s="16">
        <f t="shared" si="3"/>
        <v>0</v>
      </c>
      <c r="U17" s="16">
        <f t="shared" si="4"/>
        <v>0</v>
      </c>
      <c r="V17" s="16">
        <f t="shared" si="5"/>
        <v>0</v>
      </c>
      <c r="Y17" s="17"/>
      <c r="Z17" s="17"/>
      <c r="AA17" s="17"/>
      <c r="AB17" s="17"/>
    </row>
    <row r="18" spans="3:28" ht="45" x14ac:dyDescent="0.25">
      <c r="C18" s="11">
        <v>12</v>
      </c>
      <c r="D18" s="11" t="s">
        <v>73</v>
      </c>
      <c r="E18" s="13" t="s">
        <v>77</v>
      </c>
      <c r="F18" s="13" t="s">
        <v>41</v>
      </c>
      <c r="G18" s="13">
        <v>50</v>
      </c>
      <c r="H18" s="11" t="s">
        <v>64</v>
      </c>
      <c r="I18" s="34">
        <f t="shared" si="0"/>
        <v>76426.020399999994</v>
      </c>
      <c r="J18" s="62">
        <v>7102.79</v>
      </c>
      <c r="K18" s="11">
        <v>2018</v>
      </c>
      <c r="L18" s="11">
        <v>2023</v>
      </c>
      <c r="M18" s="33">
        <f t="shared" si="1"/>
        <v>5</v>
      </c>
      <c r="N18" s="14">
        <v>50</v>
      </c>
      <c r="O18" s="14"/>
      <c r="P18" s="15">
        <v>0.1</v>
      </c>
      <c r="Q18" s="14">
        <f t="shared" si="2"/>
        <v>1.8000000000000002E-2</v>
      </c>
      <c r="R18" s="16">
        <v>1700</v>
      </c>
      <c r="S18" s="60">
        <v>2450</v>
      </c>
      <c r="T18" s="16">
        <f t="shared" si="3"/>
        <v>129924234.67999999</v>
      </c>
      <c r="U18" s="16">
        <f t="shared" si="4"/>
        <v>11693181.121200003</v>
      </c>
      <c r="V18" s="16">
        <f t="shared" si="5"/>
        <v>118231053.55879998</v>
      </c>
      <c r="Y18" s="17"/>
      <c r="Z18" s="17"/>
      <c r="AA18" s="17"/>
      <c r="AB18" s="17"/>
    </row>
    <row r="19" spans="3:28" ht="30" x14ac:dyDescent="0.25">
      <c r="C19" s="11">
        <v>13</v>
      </c>
      <c r="D19" s="11" t="s">
        <v>74</v>
      </c>
      <c r="E19" s="13" t="s">
        <v>91</v>
      </c>
      <c r="F19" s="13" t="s">
        <v>62</v>
      </c>
      <c r="G19" s="13">
        <v>54</v>
      </c>
      <c r="H19" s="11" t="s">
        <v>64</v>
      </c>
      <c r="I19" s="34">
        <f t="shared" si="0"/>
        <v>19604.72</v>
      </c>
      <c r="J19" s="62">
        <v>1822</v>
      </c>
      <c r="K19" s="11">
        <v>1992</v>
      </c>
      <c r="L19" s="11">
        <v>2023</v>
      </c>
      <c r="M19" s="33">
        <f t="shared" si="1"/>
        <v>31</v>
      </c>
      <c r="N19" s="14">
        <v>45</v>
      </c>
      <c r="O19" s="14"/>
      <c r="P19" s="15">
        <v>0.1</v>
      </c>
      <c r="Q19" s="14">
        <f t="shared" si="2"/>
        <v>0.02</v>
      </c>
      <c r="R19" s="16">
        <v>1000</v>
      </c>
      <c r="S19" s="60"/>
      <c r="T19" s="16">
        <f t="shared" si="3"/>
        <v>19604720</v>
      </c>
      <c r="U19" s="16">
        <f t="shared" si="4"/>
        <v>12154926.4</v>
      </c>
      <c r="V19" s="16">
        <f t="shared" si="5"/>
        <v>7449793.5999999996</v>
      </c>
      <c r="Y19" s="17"/>
      <c r="Z19" s="17"/>
      <c r="AA19" s="17"/>
      <c r="AB19" s="17"/>
    </row>
    <row r="20" spans="3:28" ht="30" x14ac:dyDescent="0.25">
      <c r="C20" s="11">
        <v>14</v>
      </c>
      <c r="D20" s="13" t="s">
        <v>75</v>
      </c>
      <c r="E20" s="13" t="s">
        <v>93</v>
      </c>
      <c r="F20" s="13" t="s">
        <v>62</v>
      </c>
      <c r="G20" s="13">
        <v>11</v>
      </c>
      <c r="H20" s="11" t="s">
        <v>64</v>
      </c>
      <c r="I20" s="34">
        <f t="shared" si="0"/>
        <v>688.64</v>
      </c>
      <c r="J20" s="62">
        <v>64</v>
      </c>
      <c r="K20" s="11">
        <v>2018</v>
      </c>
      <c r="L20" s="11">
        <v>2023</v>
      </c>
      <c r="M20" s="33">
        <f t="shared" si="1"/>
        <v>5</v>
      </c>
      <c r="N20" s="14">
        <v>45</v>
      </c>
      <c r="O20" s="14"/>
      <c r="P20" s="15">
        <v>0.1</v>
      </c>
      <c r="Q20" s="14">
        <f t="shared" si="2"/>
        <v>0.02</v>
      </c>
      <c r="R20" s="16">
        <v>1000</v>
      </c>
      <c r="S20" s="16">
        <v>1400</v>
      </c>
      <c r="T20" s="16">
        <f t="shared" si="3"/>
        <v>688640</v>
      </c>
      <c r="U20" s="16">
        <f t="shared" si="4"/>
        <v>68864</v>
      </c>
      <c r="V20" s="16">
        <f t="shared" si="5"/>
        <v>619776</v>
      </c>
      <c r="Y20" s="17"/>
      <c r="Z20" s="17"/>
      <c r="AA20" s="17"/>
      <c r="AB20" s="17"/>
    </row>
    <row r="21" spans="3:28" ht="30" x14ac:dyDescent="0.25">
      <c r="C21" s="11">
        <v>15</v>
      </c>
      <c r="D21" s="13" t="s">
        <v>76</v>
      </c>
      <c r="E21" s="13" t="s">
        <v>92</v>
      </c>
      <c r="F21" s="11" t="s">
        <v>62</v>
      </c>
      <c r="G21" s="11">
        <v>12</v>
      </c>
      <c r="H21" s="11" t="s">
        <v>64</v>
      </c>
      <c r="I21" s="34">
        <f t="shared" si="0"/>
        <v>9468.7999999999993</v>
      </c>
      <c r="J21" s="34">
        <v>880</v>
      </c>
      <c r="K21" s="11">
        <v>2018</v>
      </c>
      <c r="L21" s="11">
        <v>2023</v>
      </c>
      <c r="M21" s="33">
        <f t="shared" si="1"/>
        <v>5</v>
      </c>
      <c r="N21" s="11">
        <v>70</v>
      </c>
      <c r="O21" s="11"/>
      <c r="P21" s="15">
        <v>0.1</v>
      </c>
      <c r="Q21" s="14">
        <f t="shared" si="2"/>
        <v>1.2857142857142857E-2</v>
      </c>
      <c r="R21" s="39">
        <v>1100</v>
      </c>
      <c r="S21" s="16">
        <v>850</v>
      </c>
      <c r="T21" s="16">
        <f t="shared" si="3"/>
        <v>10415680</v>
      </c>
      <c r="U21" s="16">
        <f t="shared" si="4"/>
        <v>669579.42857142864</v>
      </c>
      <c r="V21" s="16">
        <f t="shared" si="5"/>
        <v>9746100.5714285709</v>
      </c>
      <c r="Y21" s="17"/>
      <c r="Z21" s="17"/>
      <c r="AA21" s="17"/>
      <c r="AB21" s="17"/>
    </row>
    <row r="22" spans="3:28" ht="25.5" customHeight="1" x14ac:dyDescent="0.25">
      <c r="C22" s="96" t="s">
        <v>43</v>
      </c>
      <c r="D22" s="96"/>
      <c r="E22" s="96"/>
      <c r="F22" s="96"/>
      <c r="G22" s="96"/>
      <c r="H22" s="96"/>
      <c r="I22" s="49">
        <f>SUM(I6:I21)</f>
        <v>150234.13279999999</v>
      </c>
      <c r="J22" s="49">
        <f>SUM(J6:J21)</f>
        <v>13962.279999999999</v>
      </c>
      <c r="K22" s="96"/>
      <c r="L22" s="96"/>
      <c r="M22" s="50"/>
      <c r="N22" s="50"/>
      <c r="O22" s="50"/>
      <c r="P22" s="50"/>
      <c r="Q22" s="50">
        <f>SUM(Q6:Q21)</f>
        <v>0.23171428571428565</v>
      </c>
      <c r="R22" s="50"/>
      <c r="S22" s="50"/>
      <c r="T22" s="51">
        <f>SUM(T6:T21)</f>
        <v>213005046.07999998</v>
      </c>
      <c r="U22" s="51">
        <f>SUM(U6:U21)</f>
        <v>48001772.625062853</v>
      </c>
      <c r="V22" s="51">
        <f>SUM(V6:V21)</f>
        <v>165003273.4549371</v>
      </c>
      <c r="Y22" s="18"/>
      <c r="Z22" s="17"/>
      <c r="AA22" s="17"/>
      <c r="AB22" s="17"/>
    </row>
    <row r="23" spans="3:28" x14ac:dyDescent="0.25">
      <c r="C23" s="87" t="s">
        <v>21</v>
      </c>
      <c r="D23" s="88"/>
      <c r="E23" s="88"/>
      <c r="F23" s="88"/>
      <c r="G23" s="88"/>
      <c r="H23" s="88"/>
      <c r="I23" s="88"/>
      <c r="J23" s="88"/>
      <c r="K23" s="88"/>
      <c r="L23" s="88"/>
      <c r="M23" s="88"/>
      <c r="N23" s="88"/>
      <c r="O23" s="88"/>
      <c r="P23" s="88"/>
      <c r="Q23" s="88"/>
      <c r="R23" s="88"/>
      <c r="S23" s="88"/>
      <c r="T23" s="88"/>
      <c r="U23" s="88"/>
      <c r="V23" s="89"/>
      <c r="Y23" s="21"/>
      <c r="Z23" s="21"/>
      <c r="AA23" s="21"/>
      <c r="AB23" s="21"/>
    </row>
    <row r="24" spans="3:28" x14ac:dyDescent="0.25">
      <c r="C24" s="90" t="s">
        <v>100</v>
      </c>
      <c r="D24" s="91"/>
      <c r="E24" s="91"/>
      <c r="F24" s="91"/>
      <c r="G24" s="91"/>
      <c r="H24" s="91"/>
      <c r="I24" s="91"/>
      <c r="J24" s="91"/>
      <c r="K24" s="91"/>
      <c r="L24" s="91"/>
      <c r="M24" s="91"/>
      <c r="N24" s="91"/>
      <c r="O24" s="91"/>
      <c r="P24" s="91"/>
      <c r="Q24" s="91"/>
      <c r="R24" s="91"/>
      <c r="S24" s="91"/>
      <c r="T24" s="91"/>
      <c r="U24" s="91"/>
      <c r="V24" s="92"/>
    </row>
    <row r="25" spans="3:28" ht="17.25" customHeight="1" x14ac:dyDescent="0.25">
      <c r="C25" s="97" t="s">
        <v>101</v>
      </c>
      <c r="D25" s="97"/>
      <c r="E25" s="97"/>
      <c r="F25" s="97"/>
      <c r="G25" s="97"/>
      <c r="H25" s="97"/>
      <c r="I25" s="97"/>
      <c r="J25" s="97"/>
      <c r="K25" s="97"/>
      <c r="L25" s="97"/>
      <c r="M25" s="97"/>
      <c r="N25" s="97"/>
      <c r="O25" s="97"/>
      <c r="P25" s="97"/>
      <c r="Q25" s="97"/>
      <c r="R25" s="97"/>
      <c r="S25" s="97"/>
      <c r="T25" s="97"/>
      <c r="U25" s="97"/>
      <c r="V25" s="97"/>
      <c r="Z25" s="20" t="s">
        <v>25</v>
      </c>
    </row>
    <row r="26" spans="3:28" ht="32.25" customHeight="1" x14ac:dyDescent="0.25">
      <c r="C26" s="93" t="s">
        <v>99</v>
      </c>
      <c r="D26" s="94"/>
      <c r="E26" s="94"/>
      <c r="F26" s="94"/>
      <c r="G26" s="94"/>
      <c r="H26" s="94"/>
      <c r="I26" s="94"/>
      <c r="J26" s="94"/>
      <c r="K26" s="94"/>
      <c r="L26" s="94"/>
      <c r="M26" s="94"/>
      <c r="N26" s="94"/>
      <c r="O26" s="94"/>
      <c r="P26" s="94"/>
      <c r="Q26" s="94"/>
      <c r="R26" s="94"/>
      <c r="S26" s="94"/>
      <c r="T26" s="94"/>
      <c r="U26" s="94"/>
      <c r="V26" s="95"/>
      <c r="Y26" s="1" t="s">
        <v>26</v>
      </c>
    </row>
    <row r="27" spans="3:28" ht="19.5" customHeight="1" x14ac:dyDescent="0.25">
      <c r="C27" s="45"/>
      <c r="D27" s="46"/>
      <c r="E27" s="46"/>
      <c r="F27" s="46"/>
      <c r="G27" s="46"/>
      <c r="H27" s="46"/>
      <c r="I27" s="46"/>
      <c r="J27" s="46"/>
      <c r="K27" s="46"/>
      <c r="L27" s="46"/>
      <c r="M27" s="46"/>
      <c r="N27" s="46"/>
      <c r="O27" s="46"/>
      <c r="P27" s="46"/>
      <c r="Q27" s="46"/>
      <c r="R27" s="46"/>
      <c r="S27" s="46"/>
      <c r="T27" s="46"/>
      <c r="U27" s="46"/>
      <c r="V27" s="46"/>
      <c r="Y27" s="1"/>
    </row>
    <row r="28" spans="3:28" x14ac:dyDescent="0.25">
      <c r="G28" t="s">
        <v>20</v>
      </c>
      <c r="Q28">
        <f>Q22/14</f>
        <v>1.655102040816326E-2</v>
      </c>
    </row>
    <row r="29" spans="3:28" ht="60" x14ac:dyDescent="0.25">
      <c r="E29">
        <v>4650</v>
      </c>
      <c r="G29">
        <f>0.1875+0.0208</f>
        <v>0.20829999999999999</v>
      </c>
      <c r="Q29">
        <f>15500000/720</f>
        <v>21527.777777777777</v>
      </c>
      <c r="T29" s="8">
        <v>2700</v>
      </c>
      <c r="Y29" s="1" t="s">
        <v>27</v>
      </c>
    </row>
    <row r="30" spans="3:28" ht="60" x14ac:dyDescent="0.25">
      <c r="E30" s="4" t="s">
        <v>2</v>
      </c>
      <c r="F30" s="4" t="s">
        <v>47</v>
      </c>
      <c r="G30" s="4" t="s">
        <v>44</v>
      </c>
      <c r="H30" s="6" t="s">
        <v>4</v>
      </c>
      <c r="I30" s="5" t="s">
        <v>6</v>
      </c>
      <c r="J30" s="6" t="s">
        <v>7</v>
      </c>
      <c r="K30" s="32" t="s">
        <v>12</v>
      </c>
      <c r="L30" s="5" t="s">
        <v>11</v>
      </c>
      <c r="M30" s="6" t="s">
        <v>9</v>
      </c>
      <c r="N30" s="6" t="s">
        <v>10</v>
      </c>
      <c r="O30" s="7" t="s">
        <v>48</v>
      </c>
      <c r="P30" s="7" t="s">
        <v>14</v>
      </c>
      <c r="Q30" s="6" t="s">
        <v>0</v>
      </c>
      <c r="R30" s="6" t="s">
        <v>15</v>
      </c>
      <c r="S30" s="61"/>
      <c r="V30" s="6" t="s">
        <v>54</v>
      </c>
      <c r="Y30" s="1" t="s">
        <v>28</v>
      </c>
    </row>
    <row r="32" spans="3:28" x14ac:dyDescent="0.25">
      <c r="D32" t="s">
        <v>46</v>
      </c>
      <c r="E32" t="s">
        <v>96</v>
      </c>
      <c r="F32">
        <v>1780</v>
      </c>
      <c r="G32">
        <v>6</v>
      </c>
      <c r="H32" t="s">
        <v>22</v>
      </c>
      <c r="I32" s="35">
        <v>1991</v>
      </c>
      <c r="J32" s="35">
        <v>2023</v>
      </c>
      <c r="K32">
        <f>J32-I32</f>
        <v>32</v>
      </c>
      <c r="L32">
        <v>50</v>
      </c>
      <c r="M32" s="36">
        <v>0.1</v>
      </c>
      <c r="N32">
        <f>(1-M32)/L32</f>
        <v>1.8000000000000002E-2</v>
      </c>
      <c r="O32">
        <v>3000</v>
      </c>
      <c r="P32" s="37">
        <f>O32*F32</f>
        <v>5340000</v>
      </c>
      <c r="Q32" s="37">
        <f>P32*N32*IF(K32&gt;L32,L32,K32)</f>
        <v>3075840.0000000005</v>
      </c>
      <c r="R32" s="8">
        <f>P32-Q32</f>
        <v>2264159.9999999995</v>
      </c>
      <c r="V32">
        <v>2200000</v>
      </c>
    </row>
    <row r="34" spans="4:19" x14ac:dyDescent="0.25">
      <c r="P34" s="38">
        <f>P32+T22</f>
        <v>218345046.07999998</v>
      </c>
      <c r="R34" s="38">
        <f>R32+V22</f>
        <v>167267433.4549371</v>
      </c>
      <c r="S34" s="38"/>
    </row>
    <row r="35" spans="4:19" x14ac:dyDescent="0.25">
      <c r="F35" s="86"/>
      <c r="G35" s="86"/>
      <c r="H35" s="86"/>
      <c r="J35" s="2">
        <f>52.06*35</f>
        <v>1822.1000000000001</v>
      </c>
    </row>
    <row r="36" spans="4:19" ht="27.75" customHeight="1" x14ac:dyDescent="0.25">
      <c r="D36" s="40" t="s">
        <v>97</v>
      </c>
      <c r="E36" s="8">
        <f>V32+'proposed working'!V22</f>
        <v>174861075.97785139</v>
      </c>
      <c r="M36" s="1"/>
    </row>
    <row r="37" spans="4:19" x14ac:dyDescent="0.25">
      <c r="E37" s="8"/>
      <c r="K37">
        <f>180*59</f>
        <v>10620</v>
      </c>
    </row>
    <row r="38" spans="4:19" x14ac:dyDescent="0.25">
      <c r="E38" s="8"/>
      <c r="K38">
        <f>K37/10.76</f>
        <v>986.98884758364318</v>
      </c>
    </row>
    <row r="40" spans="4:19" x14ac:dyDescent="0.25">
      <c r="D40" t="s">
        <v>105</v>
      </c>
      <c r="E40" s="37">
        <f>0.8*V22</f>
        <v>132002618.76394969</v>
      </c>
    </row>
    <row r="42" spans="4:19" x14ac:dyDescent="0.25">
      <c r="D42" s="1" t="s">
        <v>51</v>
      </c>
      <c r="E42">
        <f>'Land '!J7</f>
        <v>268553891.16500199</v>
      </c>
      <c r="F42" s="1"/>
      <c r="G42" s="1"/>
    </row>
    <row r="43" spans="4:19" x14ac:dyDescent="0.25">
      <c r="D43" t="s">
        <v>106</v>
      </c>
      <c r="E43" s="52">
        <v>270094039</v>
      </c>
    </row>
    <row r="44" spans="4:19" x14ac:dyDescent="0.25">
      <c r="D44" t="s">
        <v>107</v>
      </c>
      <c r="E44" s="37">
        <f>E43+E42+E36</f>
        <v>713509006.14285338</v>
      </c>
    </row>
    <row r="45" spans="4:19" x14ac:dyDescent="0.25">
      <c r="D45" t="s">
        <v>54</v>
      </c>
      <c r="E45">
        <v>635000000</v>
      </c>
      <c r="G45">
        <v>710000000</v>
      </c>
    </row>
    <row r="46" spans="4:19" x14ac:dyDescent="0.25">
      <c r="D46" t="s">
        <v>56</v>
      </c>
      <c r="E46">
        <f>0.85*E45</f>
        <v>539750000</v>
      </c>
      <c r="G46">
        <f>0.85*G45</f>
        <v>603500000</v>
      </c>
    </row>
    <row r="47" spans="4:19" x14ac:dyDescent="0.25">
      <c r="D47" t="s">
        <v>57</v>
      </c>
      <c r="E47">
        <f>0.75*E45</f>
        <v>476250000</v>
      </c>
      <c r="G47">
        <f>0.75*G45</f>
        <v>532500000</v>
      </c>
    </row>
    <row r="51" spans="5:5" x14ac:dyDescent="0.25">
      <c r="E51">
        <f>22000000*0.8</f>
        <v>17600000</v>
      </c>
    </row>
  </sheetData>
  <mergeCells count="10">
    <mergeCell ref="Y4:AB4"/>
    <mergeCell ref="C3:V3"/>
    <mergeCell ref="C4:V4"/>
    <mergeCell ref="F35:H35"/>
    <mergeCell ref="C23:V23"/>
    <mergeCell ref="C24:V24"/>
    <mergeCell ref="C26:V26"/>
    <mergeCell ref="C22:H22"/>
    <mergeCell ref="K22:L22"/>
    <mergeCell ref="C25:V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B51"/>
  <sheetViews>
    <sheetView topLeftCell="A15" zoomScale="69" zoomScaleNormal="69" workbookViewId="0">
      <selection activeCell="V22" sqref="V22"/>
    </sheetView>
  </sheetViews>
  <sheetFormatPr defaultRowHeight="15" x14ac:dyDescent="0.25"/>
  <cols>
    <col min="1" max="2" width="9.140625" customWidth="1"/>
    <col min="3" max="3" width="7.140625" customWidth="1"/>
    <col min="4" max="4" width="20.85546875" customWidth="1"/>
    <col min="5" max="5" width="22.7109375" customWidth="1"/>
    <col min="6" max="6" width="10.28515625" bestFit="1" customWidth="1"/>
    <col min="7" max="7" width="18.7109375" bestFit="1" customWidth="1"/>
    <col min="8" max="8" width="16.140625" bestFit="1" customWidth="1"/>
    <col min="9" max="9" width="16.5703125" style="2" bestFit="1" customWidth="1"/>
    <col min="10" max="10" width="14.5703125" style="2" customWidth="1"/>
    <col min="11" max="11" width="23.28515625" hidden="1" customWidth="1"/>
    <col min="12" max="12" width="15.42578125" hidden="1" customWidth="1"/>
    <col min="13" max="13" width="16" hidden="1" customWidth="1"/>
    <col min="14" max="14" width="17.5703125" hidden="1" customWidth="1"/>
    <col min="15" max="15" width="21.42578125" hidden="1" customWidth="1"/>
    <col min="16" max="16" width="14" hidden="1" customWidth="1"/>
    <col min="17" max="17" width="19.85546875" hidden="1" customWidth="1"/>
    <col min="18" max="18" width="13" style="8" customWidth="1"/>
    <col min="19" max="19" width="20.5703125" style="8" hidden="1" customWidth="1"/>
    <col min="20" max="20" width="19.5703125" style="8" hidden="1" customWidth="1"/>
    <col min="21" max="21" width="19" hidden="1" customWidth="1"/>
    <col min="22" max="22" width="20" bestFit="1" customWidth="1"/>
    <col min="23" max="23" width="15.140625" customWidth="1"/>
    <col min="25" max="25" width="10.5703125" bestFit="1" customWidth="1"/>
    <col min="26" max="26" width="12" customWidth="1"/>
    <col min="27" max="27" width="10.28515625" customWidth="1"/>
  </cols>
  <sheetData>
    <row r="3" spans="3:28" ht="28.5" customHeight="1" x14ac:dyDescent="0.25">
      <c r="C3" s="84" t="s">
        <v>58</v>
      </c>
      <c r="D3" s="84"/>
      <c r="E3" s="84"/>
      <c r="F3" s="84"/>
      <c r="G3" s="84"/>
      <c r="H3" s="84"/>
      <c r="I3" s="84"/>
      <c r="J3" s="84"/>
      <c r="K3" s="84"/>
      <c r="L3" s="84"/>
      <c r="M3" s="84"/>
      <c r="N3" s="84"/>
      <c r="O3" s="84"/>
      <c r="P3" s="84"/>
      <c r="Q3" s="84"/>
      <c r="R3" s="84"/>
      <c r="S3" s="84"/>
      <c r="T3" s="84"/>
      <c r="U3" s="84"/>
      <c r="V3" s="84"/>
    </row>
    <row r="4" spans="3:28" x14ac:dyDescent="0.25">
      <c r="C4" s="85"/>
      <c r="D4" s="85"/>
      <c r="E4" s="85"/>
      <c r="F4" s="85"/>
      <c r="G4" s="85"/>
      <c r="H4" s="85"/>
      <c r="I4" s="85"/>
      <c r="J4" s="85"/>
      <c r="K4" s="85"/>
      <c r="L4" s="85"/>
      <c r="M4" s="85"/>
      <c r="N4" s="85"/>
      <c r="O4" s="85"/>
      <c r="P4" s="85"/>
      <c r="Q4" s="85"/>
      <c r="R4" s="85"/>
      <c r="S4" s="85"/>
      <c r="T4" s="85"/>
      <c r="U4" s="85"/>
      <c r="V4" s="85"/>
      <c r="Y4" s="81" t="s">
        <v>34</v>
      </c>
      <c r="Z4" s="82"/>
      <c r="AA4" s="82"/>
      <c r="AB4" s="83"/>
    </row>
    <row r="5" spans="3:28" ht="54.75" customHeight="1" x14ac:dyDescent="0.25">
      <c r="C5" s="3" t="s">
        <v>1</v>
      </c>
      <c r="D5" s="6" t="s">
        <v>49</v>
      </c>
      <c r="E5" s="4" t="s">
        <v>2</v>
      </c>
      <c r="F5" s="4" t="s">
        <v>3</v>
      </c>
      <c r="G5" s="4" t="s">
        <v>44</v>
      </c>
      <c r="H5" s="6" t="s">
        <v>4</v>
      </c>
      <c r="I5" s="9" t="s">
        <v>5</v>
      </c>
      <c r="J5" s="9" t="s">
        <v>42</v>
      </c>
      <c r="K5" s="5" t="s">
        <v>6</v>
      </c>
      <c r="L5" s="6" t="s">
        <v>7</v>
      </c>
      <c r="M5" s="32" t="s">
        <v>12</v>
      </c>
      <c r="N5" s="5" t="s">
        <v>11</v>
      </c>
      <c r="O5" s="6" t="s">
        <v>8</v>
      </c>
      <c r="P5" s="6" t="s">
        <v>9</v>
      </c>
      <c r="Q5" s="6" t="s">
        <v>10</v>
      </c>
      <c r="R5" s="7" t="s">
        <v>13</v>
      </c>
      <c r="S5" s="7" t="s">
        <v>122</v>
      </c>
      <c r="T5" s="7" t="s">
        <v>14</v>
      </c>
      <c r="U5" s="6" t="s">
        <v>124</v>
      </c>
      <c r="V5" s="6" t="s">
        <v>15</v>
      </c>
      <c r="W5" s="80" t="s">
        <v>140</v>
      </c>
      <c r="Y5" s="20" t="s">
        <v>33</v>
      </c>
      <c r="Z5" s="19" t="s">
        <v>23</v>
      </c>
      <c r="AA5" s="20" t="s">
        <v>24</v>
      </c>
      <c r="AB5" s="20" t="s">
        <v>25</v>
      </c>
    </row>
    <row r="6" spans="3:28" ht="30" x14ac:dyDescent="0.25">
      <c r="C6" s="11">
        <v>1</v>
      </c>
      <c r="D6" s="11" t="s">
        <v>59</v>
      </c>
      <c r="E6" s="13" t="s">
        <v>85</v>
      </c>
      <c r="F6" s="13" t="s">
        <v>41</v>
      </c>
      <c r="G6" s="13" t="s">
        <v>45</v>
      </c>
      <c r="H6" s="11" t="s">
        <v>64</v>
      </c>
      <c r="I6" s="34">
        <f>10.76*J6</f>
        <v>6856.9175999999998</v>
      </c>
      <c r="J6" s="34">
        <f>318.63*2</f>
        <v>637.26</v>
      </c>
      <c r="K6" s="11">
        <v>1991</v>
      </c>
      <c r="L6" s="11">
        <v>2023</v>
      </c>
      <c r="M6" s="33">
        <f>L6-K6</f>
        <v>32</v>
      </c>
      <c r="N6" s="14">
        <v>70</v>
      </c>
      <c r="O6" s="14"/>
      <c r="P6" s="15">
        <v>0.1</v>
      </c>
      <c r="Q6" s="14">
        <f>(1-P6)/N6</f>
        <v>1.2857142857142857E-2</v>
      </c>
      <c r="R6" s="104">
        <v>1400</v>
      </c>
      <c r="S6" s="60">
        <v>2450</v>
      </c>
      <c r="T6" s="16">
        <f>R6*I6</f>
        <v>9599684.6400000006</v>
      </c>
      <c r="U6" s="16">
        <f>T6*Q6*IF(M6&gt;N6,N6,M6)</f>
        <v>3949584.5376000004</v>
      </c>
      <c r="V6" s="16">
        <f>T6-U6</f>
        <v>5650100.1024000002</v>
      </c>
      <c r="W6">
        <v>9500000</v>
      </c>
      <c r="Y6" s="17"/>
      <c r="Z6" s="17"/>
      <c r="AA6" s="17"/>
      <c r="AB6" s="17"/>
    </row>
    <row r="7" spans="3:28" ht="34.5" customHeight="1" x14ac:dyDescent="0.25">
      <c r="C7" s="11">
        <v>2</v>
      </c>
      <c r="D7" s="13" t="s">
        <v>60</v>
      </c>
      <c r="E7" s="13" t="s">
        <v>85</v>
      </c>
      <c r="F7" s="13" t="s">
        <v>62</v>
      </c>
      <c r="G7" s="13">
        <v>12</v>
      </c>
      <c r="H7" s="11" t="s">
        <v>64</v>
      </c>
      <c r="I7" s="34">
        <f t="shared" ref="I7:I21" si="0">10.76*J7</f>
        <v>1286.4656</v>
      </c>
      <c r="J7" s="62">
        <v>119.56</v>
      </c>
      <c r="K7" s="11">
        <v>1991</v>
      </c>
      <c r="L7" s="11">
        <v>2023</v>
      </c>
      <c r="M7" s="33">
        <f t="shared" ref="M7:M21" si="1">L7-K7</f>
        <v>32</v>
      </c>
      <c r="N7" s="14">
        <v>70</v>
      </c>
      <c r="O7" s="14"/>
      <c r="P7" s="15">
        <v>0.1</v>
      </c>
      <c r="Q7" s="14">
        <f t="shared" ref="Q7:Q21" si="2">(1-P7)/N7</f>
        <v>1.2857142857142857E-2</v>
      </c>
      <c r="R7" s="104">
        <v>1500</v>
      </c>
      <c r="S7" s="60">
        <v>2450</v>
      </c>
      <c r="T7" s="16">
        <f t="shared" ref="T7:T21" si="3">R7*I7</f>
        <v>1929698.4</v>
      </c>
      <c r="U7" s="16">
        <f t="shared" ref="U7:U21" si="4">T7*Q7*IF(M7&gt;N7,N7,M7)</f>
        <v>793933.05599999998</v>
      </c>
      <c r="V7" s="16">
        <f t="shared" ref="V7:V21" si="5">T7-U7</f>
        <v>1135765.344</v>
      </c>
      <c r="W7">
        <v>3600000</v>
      </c>
      <c r="Y7" s="17"/>
      <c r="Z7" s="17"/>
      <c r="AA7" s="17"/>
      <c r="AB7" s="17"/>
    </row>
    <row r="8" spans="3:28" ht="69.75" customHeight="1" x14ac:dyDescent="0.25">
      <c r="C8" s="11">
        <v>3</v>
      </c>
      <c r="D8" s="11" t="s">
        <v>61</v>
      </c>
      <c r="E8" s="13" t="s">
        <v>86</v>
      </c>
      <c r="F8" s="13" t="s">
        <v>41</v>
      </c>
      <c r="G8" s="13">
        <v>12</v>
      </c>
      <c r="H8" s="11" t="s">
        <v>22</v>
      </c>
      <c r="I8" s="34">
        <f t="shared" si="0"/>
        <v>13151.840399999999</v>
      </c>
      <c r="J8" s="34">
        <v>1222.29</v>
      </c>
      <c r="K8" s="11">
        <v>1992</v>
      </c>
      <c r="L8" s="11">
        <v>2023</v>
      </c>
      <c r="M8" s="33">
        <f t="shared" si="1"/>
        <v>31</v>
      </c>
      <c r="N8" s="14">
        <v>70</v>
      </c>
      <c r="O8" s="14"/>
      <c r="P8" s="15">
        <v>0.1</v>
      </c>
      <c r="Q8" s="14">
        <f t="shared" si="2"/>
        <v>1.2857142857142857E-2</v>
      </c>
      <c r="R8" s="16">
        <v>1400</v>
      </c>
      <c r="S8" s="60">
        <v>1650</v>
      </c>
      <c r="T8" s="16">
        <f t="shared" si="3"/>
        <v>18412576.559999999</v>
      </c>
      <c r="U8" s="16">
        <f t="shared" si="4"/>
        <v>7338726.9431999996</v>
      </c>
      <c r="V8" s="16">
        <f t="shared" si="5"/>
        <v>11073849.616799999</v>
      </c>
      <c r="W8">
        <v>12200000</v>
      </c>
      <c r="Y8" s="17"/>
      <c r="Z8" s="17"/>
      <c r="AA8" s="17"/>
      <c r="AB8" s="17"/>
    </row>
    <row r="9" spans="3:28" ht="57" customHeight="1" x14ac:dyDescent="0.25">
      <c r="C9" s="11">
        <v>4</v>
      </c>
      <c r="D9" s="13" t="s">
        <v>63</v>
      </c>
      <c r="E9" s="47" t="s">
        <v>72</v>
      </c>
      <c r="F9" s="13" t="s">
        <v>65</v>
      </c>
      <c r="G9" s="13" t="s">
        <v>94</v>
      </c>
      <c r="H9" s="11" t="s">
        <v>95</v>
      </c>
      <c r="I9" s="34">
        <f t="shared" si="0"/>
        <v>0</v>
      </c>
      <c r="J9" s="34">
        <v>0</v>
      </c>
      <c r="K9" s="11">
        <v>1991</v>
      </c>
      <c r="L9" s="11">
        <v>2023</v>
      </c>
      <c r="M9" s="33">
        <f t="shared" si="1"/>
        <v>32</v>
      </c>
      <c r="N9" s="14">
        <v>0</v>
      </c>
      <c r="O9" s="14"/>
      <c r="P9" s="15">
        <v>0.1</v>
      </c>
      <c r="Q9" s="14">
        <v>0</v>
      </c>
      <c r="R9" s="16">
        <v>0</v>
      </c>
      <c r="S9" s="16">
        <v>850</v>
      </c>
      <c r="T9" s="16">
        <f t="shared" si="3"/>
        <v>0</v>
      </c>
      <c r="U9" s="16">
        <f t="shared" si="4"/>
        <v>0</v>
      </c>
      <c r="V9" s="16">
        <f t="shared" si="5"/>
        <v>0</v>
      </c>
      <c r="W9">
        <v>600000</v>
      </c>
      <c r="Y9" s="17"/>
      <c r="Z9" s="17"/>
      <c r="AA9" s="17"/>
      <c r="AB9" s="17"/>
    </row>
    <row r="10" spans="3:28" ht="39.75" customHeight="1" x14ac:dyDescent="0.25">
      <c r="C10" s="11">
        <v>5</v>
      </c>
      <c r="D10" s="11" t="s">
        <v>123</v>
      </c>
      <c r="E10" s="13" t="s">
        <v>87</v>
      </c>
      <c r="F10" s="13" t="s">
        <v>62</v>
      </c>
      <c r="G10" s="13">
        <v>12</v>
      </c>
      <c r="H10" s="11" t="s">
        <v>22</v>
      </c>
      <c r="I10" s="34">
        <f t="shared" si="0"/>
        <v>4102.4651999999996</v>
      </c>
      <c r="J10" s="34">
        <v>381.27</v>
      </c>
      <c r="K10" s="11">
        <v>1991</v>
      </c>
      <c r="L10" s="11">
        <v>2023</v>
      </c>
      <c r="M10" s="33">
        <f t="shared" si="1"/>
        <v>32</v>
      </c>
      <c r="N10" s="14">
        <v>50</v>
      </c>
      <c r="O10" s="14"/>
      <c r="P10" s="15">
        <v>0.1</v>
      </c>
      <c r="Q10" s="14">
        <f t="shared" si="2"/>
        <v>1.8000000000000002E-2</v>
      </c>
      <c r="R10" s="16">
        <v>1100</v>
      </c>
      <c r="S10" s="16">
        <v>1200</v>
      </c>
      <c r="T10" s="16">
        <f t="shared" si="3"/>
        <v>4512711.72</v>
      </c>
      <c r="U10" s="16">
        <f t="shared" si="4"/>
        <v>2599321.9507200001</v>
      </c>
      <c r="V10" s="16">
        <f t="shared" si="5"/>
        <v>1913389.7692799997</v>
      </c>
      <c r="W10">
        <v>2800000</v>
      </c>
      <c r="Y10" s="17"/>
      <c r="Z10" s="17"/>
      <c r="AA10" s="17"/>
      <c r="AB10" s="17"/>
    </row>
    <row r="11" spans="3:28" ht="54" customHeight="1" x14ac:dyDescent="0.25">
      <c r="C11" s="11">
        <v>6</v>
      </c>
      <c r="D11" s="11" t="s">
        <v>66</v>
      </c>
      <c r="E11" s="13" t="s">
        <v>88</v>
      </c>
      <c r="F11" s="13" t="s">
        <v>62</v>
      </c>
      <c r="G11" s="13">
        <v>11</v>
      </c>
      <c r="H11" s="11" t="s">
        <v>64</v>
      </c>
      <c r="I11" s="34">
        <f t="shared" si="0"/>
        <v>408.88</v>
      </c>
      <c r="J11" s="34">
        <v>38</v>
      </c>
      <c r="K11" s="11">
        <v>1991</v>
      </c>
      <c r="L11" s="11">
        <v>2023</v>
      </c>
      <c r="M11" s="33">
        <f t="shared" si="1"/>
        <v>32</v>
      </c>
      <c r="N11" s="14">
        <v>70</v>
      </c>
      <c r="O11" s="14"/>
      <c r="P11" s="15">
        <v>0.1</v>
      </c>
      <c r="Q11" s="14">
        <f t="shared" si="2"/>
        <v>1.2857142857142857E-2</v>
      </c>
      <c r="R11" s="16">
        <v>1400</v>
      </c>
      <c r="S11" s="16">
        <v>1450</v>
      </c>
      <c r="T11" s="16">
        <f t="shared" si="3"/>
        <v>572432</v>
      </c>
      <c r="U11" s="16">
        <f t="shared" si="4"/>
        <v>235514.88</v>
      </c>
      <c r="V11" s="16">
        <f t="shared" si="5"/>
        <v>336917.12</v>
      </c>
      <c r="Y11" s="17"/>
      <c r="Z11" s="17"/>
      <c r="AA11" s="17"/>
      <c r="AB11" s="17"/>
    </row>
    <row r="12" spans="3:28" ht="57" customHeight="1" x14ac:dyDescent="0.25">
      <c r="C12" s="11">
        <v>7</v>
      </c>
      <c r="D12" s="11" t="s">
        <v>67</v>
      </c>
      <c r="E12" s="13" t="s">
        <v>88</v>
      </c>
      <c r="F12" s="13" t="s">
        <v>62</v>
      </c>
      <c r="G12" s="13">
        <v>11</v>
      </c>
      <c r="H12" s="11" t="s">
        <v>64</v>
      </c>
      <c r="I12" s="34">
        <f t="shared" si="0"/>
        <v>297.19119999999998</v>
      </c>
      <c r="J12" s="34">
        <v>27.62</v>
      </c>
      <c r="K12" s="11">
        <v>1991</v>
      </c>
      <c r="L12" s="11">
        <v>2023</v>
      </c>
      <c r="M12" s="33">
        <f t="shared" si="1"/>
        <v>32</v>
      </c>
      <c r="N12" s="14">
        <v>70</v>
      </c>
      <c r="O12" s="14"/>
      <c r="P12" s="15">
        <v>0.1</v>
      </c>
      <c r="Q12" s="14">
        <f t="shared" si="2"/>
        <v>1.2857142857142857E-2</v>
      </c>
      <c r="R12" s="16">
        <v>1300</v>
      </c>
      <c r="S12" s="16">
        <v>1450</v>
      </c>
      <c r="T12" s="16">
        <f t="shared" si="3"/>
        <v>386348.56</v>
      </c>
      <c r="U12" s="16">
        <f t="shared" si="4"/>
        <v>158954.83611428572</v>
      </c>
      <c r="V12" s="16">
        <f t="shared" si="5"/>
        <v>227393.72388571428</v>
      </c>
      <c r="Y12" s="17"/>
      <c r="Z12" s="17"/>
      <c r="AA12" s="17"/>
      <c r="AB12" s="17"/>
    </row>
    <row r="13" spans="3:28" ht="42.75" customHeight="1" x14ac:dyDescent="0.25">
      <c r="C13" s="11">
        <v>8</v>
      </c>
      <c r="D13" s="11" t="s">
        <v>68</v>
      </c>
      <c r="E13" s="13" t="s">
        <v>89</v>
      </c>
      <c r="F13" s="13" t="s">
        <v>62</v>
      </c>
      <c r="G13" s="13">
        <v>20</v>
      </c>
      <c r="H13" s="11" t="s">
        <v>64</v>
      </c>
      <c r="I13" s="34">
        <f t="shared" si="0"/>
        <v>3608.4736000000003</v>
      </c>
      <c r="J13" s="34">
        <v>335.36</v>
      </c>
      <c r="K13" s="11">
        <v>1991</v>
      </c>
      <c r="L13" s="11">
        <v>2023</v>
      </c>
      <c r="M13" s="33">
        <f t="shared" si="1"/>
        <v>32</v>
      </c>
      <c r="N13" s="14">
        <v>45</v>
      </c>
      <c r="O13" s="14"/>
      <c r="P13" s="15">
        <v>0.1</v>
      </c>
      <c r="Q13" s="14">
        <f t="shared" si="2"/>
        <v>0.02</v>
      </c>
      <c r="R13" s="16">
        <v>1000</v>
      </c>
      <c r="S13" s="63">
        <v>950</v>
      </c>
      <c r="T13" s="16">
        <f t="shared" si="3"/>
        <v>3608473.6000000001</v>
      </c>
      <c r="U13" s="16">
        <f t="shared" si="4"/>
        <v>2309423.1040000003</v>
      </c>
      <c r="V13" s="16">
        <f t="shared" si="5"/>
        <v>1299050.4959999998</v>
      </c>
      <c r="Y13" s="17"/>
      <c r="Z13" s="17"/>
      <c r="AA13" s="17"/>
      <c r="AB13" s="17"/>
    </row>
    <row r="14" spans="3:28" ht="57.75" customHeight="1" x14ac:dyDescent="0.25">
      <c r="C14" s="11">
        <v>9</v>
      </c>
      <c r="D14" s="11" t="s">
        <v>69</v>
      </c>
      <c r="E14" s="13" t="s">
        <v>90</v>
      </c>
      <c r="F14" s="13" t="s">
        <v>62</v>
      </c>
      <c r="G14" s="13" t="s">
        <v>94</v>
      </c>
      <c r="H14" s="11" t="s">
        <v>64</v>
      </c>
      <c r="I14" s="34">
        <f t="shared" si="0"/>
        <v>6344.5263999999997</v>
      </c>
      <c r="J14" s="34">
        <v>589.64</v>
      </c>
      <c r="K14" s="11">
        <v>1991</v>
      </c>
      <c r="L14" s="11">
        <v>2023</v>
      </c>
      <c r="M14" s="33">
        <f t="shared" si="1"/>
        <v>32</v>
      </c>
      <c r="N14" s="14">
        <v>45</v>
      </c>
      <c r="O14" s="14"/>
      <c r="P14" s="15">
        <v>0.1</v>
      </c>
      <c r="Q14" s="14">
        <f t="shared" si="2"/>
        <v>0.02</v>
      </c>
      <c r="R14" s="16">
        <v>1000</v>
      </c>
      <c r="S14" s="16">
        <v>850</v>
      </c>
      <c r="T14" s="16">
        <f t="shared" si="3"/>
        <v>6344526.3999999994</v>
      </c>
      <c r="U14" s="16">
        <f t="shared" si="4"/>
        <v>4060496.8959999997</v>
      </c>
      <c r="V14" s="16">
        <f t="shared" si="5"/>
        <v>2284029.5039999997</v>
      </c>
      <c r="Y14" s="17"/>
      <c r="Z14" s="17"/>
      <c r="AA14" s="17"/>
      <c r="AB14" s="17"/>
    </row>
    <row r="15" spans="3:28" ht="50.25" customHeight="1" x14ac:dyDescent="0.25">
      <c r="C15" s="11"/>
      <c r="D15" s="11" t="s">
        <v>84</v>
      </c>
      <c r="E15" s="13" t="s">
        <v>90</v>
      </c>
      <c r="F15" s="13" t="s">
        <v>94</v>
      </c>
      <c r="G15" s="13" t="s">
        <v>94</v>
      </c>
      <c r="H15" s="11" t="s">
        <v>64</v>
      </c>
      <c r="I15" s="34">
        <f t="shared" si="0"/>
        <v>2423.69</v>
      </c>
      <c r="J15" s="34">
        <v>225.25</v>
      </c>
      <c r="K15" s="11">
        <v>2018</v>
      </c>
      <c r="L15" s="11">
        <v>2023</v>
      </c>
      <c r="M15" s="33">
        <f t="shared" si="1"/>
        <v>5</v>
      </c>
      <c r="N15" s="14">
        <v>70</v>
      </c>
      <c r="O15" s="14"/>
      <c r="P15" s="15">
        <v>0.1</v>
      </c>
      <c r="Q15" s="14">
        <f t="shared" si="2"/>
        <v>1.2857142857142857E-2</v>
      </c>
      <c r="R15" s="16">
        <v>1000</v>
      </c>
      <c r="S15" s="16">
        <v>750</v>
      </c>
      <c r="T15" s="16">
        <f t="shared" si="3"/>
        <v>2423690</v>
      </c>
      <c r="U15" s="16">
        <f t="shared" si="4"/>
        <v>155808.64285714287</v>
      </c>
      <c r="V15" s="16">
        <f t="shared" si="5"/>
        <v>2267881.3571428573</v>
      </c>
      <c r="Y15" s="17"/>
      <c r="Z15" s="17"/>
      <c r="AA15" s="17"/>
      <c r="AB15" s="17"/>
    </row>
    <row r="16" spans="3:28" ht="55.5" customHeight="1" x14ac:dyDescent="0.25">
      <c r="C16" s="11">
        <v>10</v>
      </c>
      <c r="D16" s="11" t="s">
        <v>70</v>
      </c>
      <c r="E16" s="13" t="s">
        <v>90</v>
      </c>
      <c r="F16" s="13" t="s">
        <v>94</v>
      </c>
      <c r="G16" s="13" t="s">
        <v>94</v>
      </c>
      <c r="H16" s="11" t="s">
        <v>64</v>
      </c>
      <c r="I16" s="34">
        <f t="shared" si="0"/>
        <v>5565.5024000000003</v>
      </c>
      <c r="J16" s="34">
        <v>517.24</v>
      </c>
      <c r="K16" s="11">
        <v>1992</v>
      </c>
      <c r="L16" s="11">
        <v>2023</v>
      </c>
      <c r="M16" s="33">
        <f t="shared" si="1"/>
        <v>31</v>
      </c>
      <c r="N16" s="14">
        <v>70</v>
      </c>
      <c r="O16" s="14"/>
      <c r="P16" s="15">
        <v>0.1</v>
      </c>
      <c r="Q16" s="14">
        <f t="shared" si="2"/>
        <v>1.2857142857142857E-2</v>
      </c>
      <c r="R16" s="16">
        <v>1000</v>
      </c>
      <c r="S16" s="16">
        <v>850</v>
      </c>
      <c r="T16" s="16">
        <f t="shared" si="3"/>
        <v>5565502.4000000004</v>
      </c>
      <c r="U16" s="16">
        <f t="shared" si="4"/>
        <v>2218250.242285714</v>
      </c>
      <c r="V16" s="16">
        <f t="shared" si="5"/>
        <v>3347252.1577142864</v>
      </c>
      <c r="Y16" s="17"/>
      <c r="Z16" s="17"/>
      <c r="AA16" s="17"/>
      <c r="AB16" s="17"/>
    </row>
    <row r="17" spans="3:28" ht="54.75" customHeight="1" x14ac:dyDescent="0.25">
      <c r="C17" s="11">
        <v>11</v>
      </c>
      <c r="D17" s="11" t="s">
        <v>71</v>
      </c>
      <c r="E17" s="47" t="s">
        <v>72</v>
      </c>
      <c r="F17" s="13" t="s">
        <v>94</v>
      </c>
      <c r="G17" s="13" t="s">
        <v>94</v>
      </c>
      <c r="H17" s="11" t="s">
        <v>95</v>
      </c>
      <c r="I17" s="34">
        <f t="shared" si="0"/>
        <v>0</v>
      </c>
      <c r="J17" s="34">
        <v>0</v>
      </c>
      <c r="K17" s="11">
        <v>1991</v>
      </c>
      <c r="L17" s="11">
        <v>2023</v>
      </c>
      <c r="M17" s="33">
        <f t="shared" si="1"/>
        <v>32</v>
      </c>
      <c r="N17" s="14">
        <v>70</v>
      </c>
      <c r="O17" s="14"/>
      <c r="P17" s="15">
        <v>0.1</v>
      </c>
      <c r="Q17" s="14">
        <f t="shared" si="2"/>
        <v>1.2857142857142857E-2</v>
      </c>
      <c r="R17" s="16">
        <v>0</v>
      </c>
      <c r="S17" s="16">
        <v>900</v>
      </c>
      <c r="T17" s="16">
        <f t="shared" si="3"/>
        <v>0</v>
      </c>
      <c r="U17" s="16">
        <f t="shared" si="4"/>
        <v>0</v>
      </c>
      <c r="V17" s="16">
        <f t="shared" si="5"/>
        <v>0</v>
      </c>
      <c r="Y17" s="17"/>
      <c r="Z17" s="17"/>
      <c r="AA17" s="17"/>
      <c r="AB17" s="17"/>
    </row>
    <row r="18" spans="3:28" ht="54.75" customHeight="1" x14ac:dyDescent="0.25">
      <c r="C18" s="11">
        <v>12</v>
      </c>
      <c r="D18" s="11" t="s">
        <v>73</v>
      </c>
      <c r="E18" s="13" t="s">
        <v>77</v>
      </c>
      <c r="F18" s="13" t="s">
        <v>41</v>
      </c>
      <c r="G18" s="13">
        <v>50</v>
      </c>
      <c r="H18" s="11" t="s">
        <v>64</v>
      </c>
      <c r="I18" s="34">
        <f t="shared" si="0"/>
        <v>76426.020399999994</v>
      </c>
      <c r="J18" s="62">
        <v>7102.79</v>
      </c>
      <c r="K18" s="11">
        <v>2018</v>
      </c>
      <c r="L18" s="11">
        <v>2023</v>
      </c>
      <c r="M18" s="33">
        <f t="shared" si="1"/>
        <v>5</v>
      </c>
      <c r="N18" s="14">
        <v>50</v>
      </c>
      <c r="O18" s="14"/>
      <c r="P18" s="15">
        <v>0.1</v>
      </c>
      <c r="Q18" s="14">
        <f t="shared" si="2"/>
        <v>1.8000000000000002E-2</v>
      </c>
      <c r="R18" s="104">
        <v>1800</v>
      </c>
      <c r="S18" s="60">
        <v>2450</v>
      </c>
      <c r="T18" s="16">
        <f t="shared" si="3"/>
        <v>137566836.72</v>
      </c>
      <c r="U18" s="16">
        <f t="shared" si="4"/>
        <v>12381015.304800002</v>
      </c>
      <c r="V18" s="16">
        <f t="shared" si="5"/>
        <v>125185821.4152</v>
      </c>
      <c r="Y18" s="17"/>
      <c r="Z18" s="17"/>
      <c r="AA18" s="17"/>
      <c r="AB18" s="17"/>
    </row>
    <row r="19" spans="3:28" ht="44.25" customHeight="1" x14ac:dyDescent="0.25">
      <c r="C19" s="11">
        <v>13</v>
      </c>
      <c r="D19" s="11" t="s">
        <v>74</v>
      </c>
      <c r="E19" s="13" t="s">
        <v>91</v>
      </c>
      <c r="F19" s="13" t="s">
        <v>62</v>
      </c>
      <c r="G19" s="13">
        <v>54</v>
      </c>
      <c r="H19" s="11" t="s">
        <v>64</v>
      </c>
      <c r="I19" s="34">
        <f t="shared" si="0"/>
        <v>19604.72</v>
      </c>
      <c r="J19" s="62">
        <v>1822</v>
      </c>
      <c r="K19" s="11">
        <v>1992</v>
      </c>
      <c r="L19" s="11">
        <v>2023</v>
      </c>
      <c r="M19" s="33">
        <f t="shared" si="1"/>
        <v>31</v>
      </c>
      <c r="N19" s="14">
        <v>45</v>
      </c>
      <c r="O19" s="14"/>
      <c r="P19" s="15">
        <v>0.1</v>
      </c>
      <c r="Q19" s="14">
        <f t="shared" si="2"/>
        <v>0.02</v>
      </c>
      <c r="R19" s="104">
        <v>1000</v>
      </c>
      <c r="S19" s="60"/>
      <c r="T19" s="16">
        <f t="shared" si="3"/>
        <v>19604720</v>
      </c>
      <c r="U19" s="16">
        <f t="shared" si="4"/>
        <v>12154926.4</v>
      </c>
      <c r="V19" s="16">
        <f t="shared" si="5"/>
        <v>7449793.5999999996</v>
      </c>
      <c r="Y19" s="17"/>
      <c r="Z19" s="17"/>
      <c r="AA19" s="17"/>
      <c r="AB19" s="17"/>
    </row>
    <row r="20" spans="3:28" ht="39.75" customHeight="1" x14ac:dyDescent="0.25">
      <c r="C20" s="11">
        <v>14</v>
      </c>
      <c r="D20" s="13" t="s">
        <v>75</v>
      </c>
      <c r="E20" s="13" t="s">
        <v>93</v>
      </c>
      <c r="F20" s="13" t="s">
        <v>62</v>
      </c>
      <c r="G20" s="13">
        <v>11</v>
      </c>
      <c r="H20" s="11" t="s">
        <v>64</v>
      </c>
      <c r="I20" s="34">
        <f t="shared" si="0"/>
        <v>688.64</v>
      </c>
      <c r="J20" s="62">
        <v>64</v>
      </c>
      <c r="K20" s="11">
        <v>2018</v>
      </c>
      <c r="L20" s="11">
        <v>2023</v>
      </c>
      <c r="M20" s="33">
        <f t="shared" si="1"/>
        <v>5</v>
      </c>
      <c r="N20" s="14">
        <v>45</v>
      </c>
      <c r="O20" s="14"/>
      <c r="P20" s="15">
        <v>0.1</v>
      </c>
      <c r="Q20" s="14">
        <f t="shared" si="2"/>
        <v>0.02</v>
      </c>
      <c r="R20" s="104">
        <v>1200</v>
      </c>
      <c r="S20" s="60">
        <v>1400</v>
      </c>
      <c r="T20" s="16">
        <f t="shared" si="3"/>
        <v>826368</v>
      </c>
      <c r="U20" s="16">
        <f t="shared" si="4"/>
        <v>82636.800000000003</v>
      </c>
      <c r="V20" s="16">
        <f t="shared" si="5"/>
        <v>743731.19999999995</v>
      </c>
      <c r="Y20" s="17"/>
      <c r="Z20" s="17"/>
      <c r="AA20" s="17"/>
      <c r="AB20" s="17"/>
    </row>
    <row r="21" spans="3:28" ht="30" x14ac:dyDescent="0.25">
      <c r="C21" s="11">
        <v>15</v>
      </c>
      <c r="D21" s="13" t="s">
        <v>76</v>
      </c>
      <c r="E21" s="13" t="s">
        <v>92</v>
      </c>
      <c r="F21" s="11" t="s">
        <v>62</v>
      </c>
      <c r="G21" s="11">
        <v>12</v>
      </c>
      <c r="H21" s="11" t="s">
        <v>64</v>
      </c>
      <c r="I21" s="34">
        <f t="shared" si="0"/>
        <v>9468.7999999999993</v>
      </c>
      <c r="J21" s="34">
        <v>880</v>
      </c>
      <c r="K21" s="11">
        <v>2018</v>
      </c>
      <c r="L21" s="11">
        <v>2023</v>
      </c>
      <c r="M21" s="33">
        <f t="shared" si="1"/>
        <v>5</v>
      </c>
      <c r="N21" s="11">
        <v>70</v>
      </c>
      <c r="O21" s="11"/>
      <c r="P21" s="15">
        <v>0.1</v>
      </c>
      <c r="Q21" s="14">
        <f t="shared" si="2"/>
        <v>1.2857142857142857E-2</v>
      </c>
      <c r="R21" s="39">
        <v>1100</v>
      </c>
      <c r="S21" s="16">
        <v>850</v>
      </c>
      <c r="T21" s="16">
        <f t="shared" si="3"/>
        <v>10415680</v>
      </c>
      <c r="U21" s="16">
        <f t="shared" si="4"/>
        <v>669579.42857142864</v>
      </c>
      <c r="V21" s="16">
        <f t="shared" si="5"/>
        <v>9746100.5714285709</v>
      </c>
      <c r="Y21" s="17"/>
      <c r="Z21" s="17"/>
      <c r="AA21" s="17"/>
      <c r="AB21" s="17"/>
    </row>
    <row r="22" spans="3:28" ht="25.5" customHeight="1" x14ac:dyDescent="0.25">
      <c r="C22" s="96" t="s">
        <v>43</v>
      </c>
      <c r="D22" s="96"/>
      <c r="E22" s="96"/>
      <c r="F22" s="96"/>
      <c r="G22" s="96"/>
      <c r="H22" s="96"/>
      <c r="I22" s="49">
        <f>SUM(I6:I21)</f>
        <v>150234.13279999999</v>
      </c>
      <c r="J22" s="49">
        <f>SUM(J6:J21)</f>
        <v>13962.279999999999</v>
      </c>
      <c r="K22" s="96"/>
      <c r="L22" s="96"/>
      <c r="M22" s="50"/>
      <c r="N22" s="50"/>
      <c r="O22" s="50"/>
      <c r="P22" s="50"/>
      <c r="Q22" s="50"/>
      <c r="R22" s="50"/>
      <c r="S22" s="50"/>
      <c r="T22" s="51">
        <f>SUM(T6:T21)</f>
        <v>221769249</v>
      </c>
      <c r="U22" s="51">
        <f>SUM(U6:U21)</f>
        <v>49108173.022148564</v>
      </c>
      <c r="V22" s="51">
        <f>SUM(V6:V21)</f>
        <v>172661075.97785139</v>
      </c>
      <c r="Y22" s="18"/>
      <c r="Z22" s="17"/>
      <c r="AA22" s="17"/>
      <c r="AB22" s="17"/>
    </row>
    <row r="23" spans="3:28" x14ac:dyDescent="0.25">
      <c r="C23" s="87" t="s">
        <v>21</v>
      </c>
      <c r="D23" s="88"/>
      <c r="E23" s="88"/>
      <c r="F23" s="88"/>
      <c r="G23" s="88"/>
      <c r="H23" s="88"/>
      <c r="I23" s="88"/>
      <c r="J23" s="88"/>
      <c r="K23" s="88"/>
      <c r="L23" s="88"/>
      <c r="M23" s="88"/>
      <c r="N23" s="88"/>
      <c r="O23" s="88"/>
      <c r="P23" s="88"/>
      <c r="Q23" s="88"/>
      <c r="R23" s="88"/>
      <c r="S23" s="88"/>
      <c r="T23" s="88"/>
      <c r="U23" s="88"/>
      <c r="V23" s="89"/>
      <c r="Y23" s="21"/>
      <c r="Z23" s="21"/>
      <c r="AA23" s="21"/>
      <c r="AB23" s="21"/>
    </row>
    <row r="24" spans="3:28" x14ac:dyDescent="0.25">
      <c r="C24" s="90" t="s">
        <v>100</v>
      </c>
      <c r="D24" s="91"/>
      <c r="E24" s="91"/>
      <c r="F24" s="91"/>
      <c r="G24" s="91"/>
      <c r="H24" s="91"/>
      <c r="I24" s="91"/>
      <c r="J24" s="91"/>
      <c r="K24" s="91"/>
      <c r="L24" s="91"/>
      <c r="M24" s="91"/>
      <c r="N24" s="91"/>
      <c r="O24" s="91"/>
      <c r="P24" s="91"/>
      <c r="Q24" s="91"/>
      <c r="R24" s="91"/>
      <c r="S24" s="91"/>
      <c r="T24" s="91"/>
      <c r="U24" s="91"/>
      <c r="V24" s="92"/>
    </row>
    <row r="25" spans="3:28" ht="17.25" customHeight="1" x14ac:dyDescent="0.25">
      <c r="C25" s="97" t="s">
        <v>101</v>
      </c>
      <c r="D25" s="97"/>
      <c r="E25" s="97"/>
      <c r="F25" s="97"/>
      <c r="G25" s="97"/>
      <c r="H25" s="97"/>
      <c r="I25" s="97"/>
      <c r="J25" s="97"/>
      <c r="K25" s="97"/>
      <c r="L25" s="97"/>
      <c r="M25" s="97"/>
      <c r="N25" s="97"/>
      <c r="O25" s="97"/>
      <c r="P25" s="97"/>
      <c r="Q25" s="97"/>
      <c r="R25" s="97"/>
      <c r="S25" s="97"/>
      <c r="T25" s="97"/>
      <c r="U25" s="97"/>
      <c r="V25" s="97"/>
      <c r="Z25" s="20" t="s">
        <v>25</v>
      </c>
    </row>
    <row r="26" spans="3:28" ht="32.25" customHeight="1" x14ac:dyDescent="0.25">
      <c r="C26" s="93" t="s">
        <v>99</v>
      </c>
      <c r="D26" s="94"/>
      <c r="E26" s="94"/>
      <c r="F26" s="94"/>
      <c r="G26" s="94"/>
      <c r="H26" s="94"/>
      <c r="I26" s="94"/>
      <c r="J26" s="94"/>
      <c r="K26" s="94"/>
      <c r="L26" s="94"/>
      <c r="M26" s="94"/>
      <c r="N26" s="94"/>
      <c r="O26" s="94"/>
      <c r="P26" s="94"/>
      <c r="Q26" s="94"/>
      <c r="R26" s="94"/>
      <c r="S26" s="94"/>
      <c r="T26" s="94"/>
      <c r="U26" s="94"/>
      <c r="V26" s="95"/>
      <c r="Y26" s="1" t="s">
        <v>26</v>
      </c>
    </row>
    <row r="27" spans="3:28" ht="19.5" customHeight="1" x14ac:dyDescent="0.25">
      <c r="C27" s="45"/>
      <c r="D27" s="46"/>
      <c r="E27" s="46"/>
      <c r="F27" s="46"/>
      <c r="G27" s="46"/>
      <c r="H27" s="46"/>
      <c r="I27" s="46"/>
      <c r="J27" s="46"/>
      <c r="K27" s="46"/>
      <c r="L27" s="46"/>
      <c r="M27" s="46"/>
      <c r="N27" s="46"/>
      <c r="O27" s="46"/>
      <c r="P27" s="46"/>
      <c r="Q27" s="46"/>
      <c r="R27" s="46"/>
      <c r="S27" s="46"/>
      <c r="T27" s="46"/>
      <c r="U27" s="46"/>
      <c r="V27" s="46"/>
      <c r="Y27" s="1"/>
    </row>
    <row r="28" spans="3:28" x14ac:dyDescent="0.25">
      <c r="G28" t="s">
        <v>20</v>
      </c>
    </row>
    <row r="29" spans="3:28" ht="60" x14ac:dyDescent="0.25">
      <c r="E29">
        <v>4650</v>
      </c>
      <c r="G29">
        <f>0.1875+0.0208</f>
        <v>0.20829999999999999</v>
      </c>
      <c r="Q29">
        <f>15500000/720</f>
        <v>21527.777777777777</v>
      </c>
      <c r="T29" s="8">
        <v>2700</v>
      </c>
      <c r="Y29" s="1" t="s">
        <v>27</v>
      </c>
    </row>
    <row r="30" spans="3:28" ht="60" x14ac:dyDescent="0.25">
      <c r="E30" s="4" t="s">
        <v>2</v>
      </c>
      <c r="F30" s="4" t="s">
        <v>47</v>
      </c>
      <c r="G30" s="4" t="s">
        <v>44</v>
      </c>
      <c r="H30" s="6" t="s">
        <v>4</v>
      </c>
      <c r="I30" s="5" t="s">
        <v>6</v>
      </c>
      <c r="J30" s="6" t="s">
        <v>7</v>
      </c>
      <c r="K30" s="32" t="s">
        <v>12</v>
      </c>
      <c r="L30" s="5" t="s">
        <v>11</v>
      </c>
      <c r="M30" s="6" t="s">
        <v>9</v>
      </c>
      <c r="N30" s="6" t="s">
        <v>10</v>
      </c>
      <c r="O30" s="7" t="s">
        <v>48</v>
      </c>
      <c r="P30" s="7" t="s">
        <v>14</v>
      </c>
      <c r="Q30" s="6" t="s">
        <v>0</v>
      </c>
      <c r="R30" s="6" t="s">
        <v>15</v>
      </c>
      <c r="S30" s="61"/>
      <c r="V30" s="6" t="s">
        <v>54</v>
      </c>
      <c r="Y30" s="1" t="s">
        <v>28</v>
      </c>
    </row>
    <row r="32" spans="3:28" x14ac:dyDescent="0.25">
      <c r="D32" t="s">
        <v>46</v>
      </c>
      <c r="E32" t="s">
        <v>96</v>
      </c>
      <c r="F32">
        <v>1780</v>
      </c>
      <c r="G32">
        <v>6</v>
      </c>
      <c r="H32" t="s">
        <v>22</v>
      </c>
      <c r="I32" s="35">
        <v>1991</v>
      </c>
      <c r="J32" s="35">
        <v>2023</v>
      </c>
      <c r="K32">
        <f>J32-I32</f>
        <v>32</v>
      </c>
      <c r="L32">
        <v>50</v>
      </c>
      <c r="M32" s="36">
        <v>0.1</v>
      </c>
      <c r="N32">
        <f>(1-M32)/L32</f>
        <v>1.8000000000000002E-2</v>
      </c>
      <c r="O32">
        <v>3000</v>
      </c>
      <c r="P32" s="37">
        <f>O32*F32</f>
        <v>5340000</v>
      </c>
      <c r="Q32" s="37">
        <f>P32*N32*IF(K32&gt;L32,L32,K32)</f>
        <v>3075840.0000000005</v>
      </c>
      <c r="R32" s="8">
        <f>P32-Q32</f>
        <v>2264159.9999999995</v>
      </c>
      <c r="V32">
        <v>2200000</v>
      </c>
    </row>
    <row r="34" spans="4:19" x14ac:dyDescent="0.25">
      <c r="P34" s="38">
        <f>P32+T22</f>
        <v>227109249</v>
      </c>
      <c r="R34" s="38">
        <f>R32+V22</f>
        <v>174925235.97785139</v>
      </c>
      <c r="S34" s="38"/>
    </row>
    <row r="35" spans="4:19" x14ac:dyDescent="0.25">
      <c r="F35" s="86"/>
      <c r="G35" s="86"/>
      <c r="H35" s="86"/>
      <c r="J35" s="2">
        <f>52.06*35</f>
        <v>1822.1000000000001</v>
      </c>
    </row>
    <row r="36" spans="4:19" ht="27.75" customHeight="1" x14ac:dyDescent="0.25">
      <c r="D36" s="40" t="s">
        <v>97</v>
      </c>
      <c r="E36" s="8">
        <f>V22+V32</f>
        <v>174861075.97785139</v>
      </c>
      <c r="M36" s="1"/>
    </row>
    <row r="37" spans="4:19" x14ac:dyDescent="0.25">
      <c r="E37" s="8"/>
      <c r="K37">
        <f>180*59</f>
        <v>10620</v>
      </c>
    </row>
    <row r="38" spans="4:19" x14ac:dyDescent="0.25">
      <c r="E38" s="8"/>
      <c r="K38">
        <f>K37/10.76</f>
        <v>986.98884758364318</v>
      </c>
    </row>
    <row r="40" spans="4:19" x14ac:dyDescent="0.25">
      <c r="D40" t="s">
        <v>105</v>
      </c>
      <c r="E40" s="37">
        <f>0.8*V22</f>
        <v>138128860.78228113</v>
      </c>
    </row>
    <row r="42" spans="4:19" x14ac:dyDescent="0.25">
      <c r="D42" s="1" t="s">
        <v>51</v>
      </c>
      <c r="E42">
        <f>'Land '!J7</f>
        <v>268553891.16500199</v>
      </c>
      <c r="F42" s="1"/>
      <c r="G42" s="1"/>
    </row>
    <row r="43" spans="4:19" x14ac:dyDescent="0.25">
      <c r="D43" t="s">
        <v>106</v>
      </c>
      <c r="E43" s="52">
        <v>270094039</v>
      </c>
    </row>
    <row r="44" spans="4:19" x14ac:dyDescent="0.25">
      <c r="D44" t="s">
        <v>107</v>
      </c>
      <c r="E44" s="37">
        <f>E43+E42+E36</f>
        <v>713509006.14285338</v>
      </c>
    </row>
    <row r="45" spans="4:19" x14ac:dyDescent="0.25">
      <c r="D45" t="s">
        <v>54</v>
      </c>
      <c r="E45">
        <v>635000000</v>
      </c>
      <c r="G45">
        <v>705000000</v>
      </c>
    </row>
    <row r="46" spans="4:19" x14ac:dyDescent="0.25">
      <c r="D46" t="s">
        <v>56</v>
      </c>
      <c r="E46">
        <f>0.85*E45</f>
        <v>539750000</v>
      </c>
      <c r="G46">
        <f>0.85*G45</f>
        <v>599250000</v>
      </c>
    </row>
    <row r="47" spans="4:19" x14ac:dyDescent="0.25">
      <c r="D47" t="s">
        <v>57</v>
      </c>
      <c r="E47">
        <f>0.75*E45</f>
        <v>476250000</v>
      </c>
      <c r="G47">
        <f>0.75*G45</f>
        <v>528750000</v>
      </c>
    </row>
    <row r="51" spans="5:5" x14ac:dyDescent="0.25">
      <c r="E51">
        <f>22000000*0.8</f>
        <v>17600000</v>
      </c>
    </row>
  </sheetData>
  <mergeCells count="10">
    <mergeCell ref="Y4:AB4"/>
    <mergeCell ref="C22:H22"/>
    <mergeCell ref="K22:L22"/>
    <mergeCell ref="C23:V23"/>
    <mergeCell ref="C24:V24"/>
    <mergeCell ref="C25:V25"/>
    <mergeCell ref="C26:V26"/>
    <mergeCell ref="F35:H35"/>
    <mergeCell ref="C3:V3"/>
    <mergeCell ref="C4:V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Q33"/>
  <sheetViews>
    <sheetView topLeftCell="A13" zoomScale="69" zoomScaleNormal="69" workbookViewId="0">
      <selection activeCell="L7" sqref="L1:R1048576"/>
    </sheetView>
  </sheetViews>
  <sheetFormatPr defaultRowHeight="15" x14ac:dyDescent="0.25"/>
  <cols>
    <col min="6" max="6" width="20.85546875" bestFit="1" customWidth="1"/>
    <col min="7" max="7" width="21.28515625" customWidth="1"/>
    <col min="8" max="8" width="11" customWidth="1"/>
    <col min="9" max="9" width="18.85546875" bestFit="1" customWidth="1"/>
    <col min="10" max="10" width="16.28515625" bestFit="1" customWidth="1"/>
    <col min="11" max="11" width="30.28515625" customWidth="1"/>
    <col min="13" max="13" width="20.85546875" bestFit="1" customWidth="1"/>
    <col min="14" max="14" width="19.28515625" customWidth="1"/>
    <col min="15" max="15" width="10.85546875" bestFit="1" customWidth="1"/>
    <col min="16" max="16" width="15" customWidth="1"/>
    <col min="17" max="17" width="17.85546875" customWidth="1"/>
  </cols>
  <sheetData>
    <row r="4" spans="5:17" x14ac:dyDescent="0.25">
      <c r="E4" s="99" t="s">
        <v>130</v>
      </c>
      <c r="F4" s="99"/>
      <c r="G4" s="99"/>
      <c r="H4" s="99"/>
      <c r="I4" s="99"/>
      <c r="L4" s="100" t="s">
        <v>131</v>
      </c>
      <c r="M4" s="100"/>
      <c r="N4" s="100"/>
      <c r="O4" s="100"/>
      <c r="P4" s="100"/>
    </row>
    <row r="5" spans="5:17" ht="71.25" customHeight="1" x14ac:dyDescent="0.25">
      <c r="E5" s="3" t="s">
        <v>1</v>
      </c>
      <c r="F5" s="6" t="s">
        <v>49</v>
      </c>
      <c r="G5" s="4" t="s">
        <v>2</v>
      </c>
      <c r="H5" s="4" t="s">
        <v>3</v>
      </c>
      <c r="I5" s="9" t="s">
        <v>5</v>
      </c>
      <c r="J5" s="9" t="s">
        <v>133</v>
      </c>
      <c r="K5" s="9" t="s">
        <v>125</v>
      </c>
      <c r="L5" s="64" t="s">
        <v>1</v>
      </c>
      <c r="M5" s="65" t="s">
        <v>49</v>
      </c>
      <c r="N5" s="66" t="s">
        <v>2</v>
      </c>
      <c r="O5" s="66" t="s">
        <v>3</v>
      </c>
      <c r="P5" s="67" t="s">
        <v>5</v>
      </c>
      <c r="Q5" s="67" t="s">
        <v>134</v>
      </c>
    </row>
    <row r="6" spans="5:17" ht="60" x14ac:dyDescent="0.25">
      <c r="E6" s="11">
        <v>1</v>
      </c>
      <c r="F6" s="11" t="s">
        <v>59</v>
      </c>
      <c r="G6" s="13" t="s">
        <v>85</v>
      </c>
      <c r="H6" s="13" t="s">
        <v>41</v>
      </c>
      <c r="I6" s="34">
        <v>6856.9175999999998</v>
      </c>
      <c r="J6" s="79">
        <v>1400</v>
      </c>
      <c r="K6" s="1" t="s">
        <v>136</v>
      </c>
      <c r="L6" s="11">
        <v>1</v>
      </c>
      <c r="M6" s="11" t="s">
        <v>59</v>
      </c>
      <c r="N6" s="13" t="s">
        <v>85</v>
      </c>
      <c r="O6" s="17" t="s">
        <v>41</v>
      </c>
      <c r="P6" s="17">
        <v>6859</v>
      </c>
      <c r="Q6" s="60">
        <v>2450</v>
      </c>
    </row>
    <row r="7" spans="5:17" ht="45" x14ac:dyDescent="0.25">
      <c r="E7" s="11">
        <v>2</v>
      </c>
      <c r="F7" s="13" t="s">
        <v>60</v>
      </c>
      <c r="G7" s="13" t="s">
        <v>85</v>
      </c>
      <c r="H7" s="13" t="s">
        <v>62</v>
      </c>
      <c r="I7" s="34">
        <v>1286.4656</v>
      </c>
      <c r="J7" s="79">
        <v>1400</v>
      </c>
      <c r="K7" s="68" t="s">
        <v>135</v>
      </c>
      <c r="L7" s="11">
        <v>2</v>
      </c>
      <c r="M7" s="13" t="s">
        <v>60</v>
      </c>
      <c r="N7" s="13" t="s">
        <v>85</v>
      </c>
      <c r="O7" s="17" t="s">
        <v>41</v>
      </c>
      <c r="P7" s="17">
        <v>2574</v>
      </c>
      <c r="Q7" s="60">
        <v>2450</v>
      </c>
    </row>
    <row r="8" spans="5:17" ht="60" x14ac:dyDescent="0.25">
      <c r="E8" s="11">
        <v>3</v>
      </c>
      <c r="F8" s="11" t="s">
        <v>61</v>
      </c>
      <c r="G8" s="13" t="s">
        <v>86</v>
      </c>
      <c r="H8" s="13" t="s">
        <v>62</v>
      </c>
      <c r="I8" s="34">
        <v>13151.840399999999</v>
      </c>
      <c r="J8" s="16">
        <v>1400</v>
      </c>
      <c r="L8" s="11">
        <v>3</v>
      </c>
      <c r="M8" s="11" t="s">
        <v>61</v>
      </c>
      <c r="N8" s="13" t="s">
        <v>86</v>
      </c>
      <c r="O8" s="17" t="s">
        <v>62</v>
      </c>
      <c r="P8" s="17">
        <v>13157</v>
      </c>
      <c r="Q8" s="60">
        <v>1650</v>
      </c>
    </row>
    <row r="9" spans="5:17" ht="60" x14ac:dyDescent="0.25">
      <c r="E9" s="11">
        <v>4</v>
      </c>
      <c r="F9" s="13" t="s">
        <v>63</v>
      </c>
      <c r="G9" s="47" t="s">
        <v>72</v>
      </c>
      <c r="H9" s="13" t="s">
        <v>65</v>
      </c>
      <c r="I9" s="34">
        <v>0</v>
      </c>
      <c r="J9" s="16">
        <v>0</v>
      </c>
      <c r="L9" s="11">
        <v>4</v>
      </c>
      <c r="M9" s="13" t="s">
        <v>63</v>
      </c>
      <c r="N9" s="47" t="s">
        <v>72</v>
      </c>
      <c r="O9" s="17" t="s">
        <v>62</v>
      </c>
      <c r="P9" s="17">
        <v>1232</v>
      </c>
      <c r="Q9" s="16">
        <v>850</v>
      </c>
    </row>
    <row r="10" spans="5:17" ht="45" x14ac:dyDescent="0.25">
      <c r="E10" s="11">
        <v>5</v>
      </c>
      <c r="F10" s="11" t="s">
        <v>123</v>
      </c>
      <c r="G10" s="13" t="s">
        <v>87</v>
      </c>
      <c r="H10" s="13" t="s">
        <v>62</v>
      </c>
      <c r="I10" s="34">
        <v>4102.4651999999996</v>
      </c>
      <c r="J10" s="16">
        <v>1100</v>
      </c>
      <c r="L10" s="11">
        <v>5</v>
      </c>
      <c r="M10" s="11" t="s">
        <v>123</v>
      </c>
      <c r="N10" s="13" t="s">
        <v>87</v>
      </c>
      <c r="O10" s="17" t="s">
        <v>62</v>
      </c>
      <c r="P10" s="17">
        <v>4104</v>
      </c>
      <c r="Q10" s="16">
        <v>1200</v>
      </c>
    </row>
    <row r="11" spans="5:17" ht="45" x14ac:dyDescent="0.25">
      <c r="E11" s="11">
        <v>6</v>
      </c>
      <c r="F11" s="11" t="s">
        <v>66</v>
      </c>
      <c r="G11" s="13" t="s">
        <v>88</v>
      </c>
      <c r="H11" s="13" t="s">
        <v>62</v>
      </c>
      <c r="I11" s="34">
        <v>408.88</v>
      </c>
      <c r="J11" s="16">
        <v>1300</v>
      </c>
      <c r="L11" s="11">
        <v>6</v>
      </c>
      <c r="M11" s="75" t="s">
        <v>126</v>
      </c>
      <c r="N11" s="13" t="s">
        <v>132</v>
      </c>
      <c r="O11" s="17" t="s">
        <v>62</v>
      </c>
      <c r="P11" s="17">
        <v>818</v>
      </c>
    </row>
    <row r="12" spans="5:17" ht="45" x14ac:dyDescent="0.25">
      <c r="E12" s="11">
        <v>7</v>
      </c>
      <c r="F12" s="11" t="s">
        <v>67</v>
      </c>
      <c r="G12" s="13" t="s">
        <v>88</v>
      </c>
      <c r="H12" s="13" t="s">
        <v>62</v>
      </c>
      <c r="I12" s="34">
        <v>297.19119999999998</v>
      </c>
      <c r="J12" s="16">
        <v>1300</v>
      </c>
      <c r="L12" s="11">
        <v>7</v>
      </c>
      <c r="M12" s="11" t="s">
        <v>66</v>
      </c>
      <c r="N12" s="13" t="s">
        <v>88</v>
      </c>
      <c r="O12" s="17" t="s">
        <v>62</v>
      </c>
      <c r="P12" s="17">
        <v>409</v>
      </c>
      <c r="Q12" s="16">
        <v>1450</v>
      </c>
    </row>
    <row r="13" spans="5:17" ht="45" x14ac:dyDescent="0.25">
      <c r="E13" s="11">
        <v>8</v>
      </c>
      <c r="F13" s="11" t="s">
        <v>68</v>
      </c>
      <c r="G13" s="13" t="s">
        <v>89</v>
      </c>
      <c r="H13" s="13" t="s">
        <v>62</v>
      </c>
      <c r="I13" s="34">
        <v>3608.4736000000003</v>
      </c>
      <c r="J13" s="16">
        <v>1000</v>
      </c>
      <c r="L13" s="11">
        <v>8</v>
      </c>
      <c r="M13" s="11" t="s">
        <v>67</v>
      </c>
      <c r="N13" s="13" t="s">
        <v>88</v>
      </c>
      <c r="O13" s="17" t="s">
        <v>62</v>
      </c>
      <c r="P13" s="17">
        <v>297</v>
      </c>
      <c r="Q13" s="16">
        <v>1450</v>
      </c>
    </row>
    <row r="14" spans="5:17" ht="45" x14ac:dyDescent="0.25">
      <c r="E14" s="11">
        <v>9</v>
      </c>
      <c r="F14" s="11" t="s">
        <v>69</v>
      </c>
      <c r="G14" s="13" t="s">
        <v>90</v>
      </c>
      <c r="H14" s="13" t="s">
        <v>62</v>
      </c>
      <c r="I14" s="34">
        <v>6344.5263999999997</v>
      </c>
      <c r="J14" s="16">
        <v>1000</v>
      </c>
      <c r="L14" s="11">
        <v>9</v>
      </c>
      <c r="M14" s="11" t="s">
        <v>68</v>
      </c>
      <c r="N14" s="13" t="s">
        <v>89</v>
      </c>
      <c r="O14" s="17" t="s">
        <v>62</v>
      </c>
      <c r="P14" s="17">
        <v>3610</v>
      </c>
      <c r="Q14" s="63">
        <v>950</v>
      </c>
    </row>
    <row r="15" spans="5:17" ht="60" x14ac:dyDescent="0.25">
      <c r="E15" s="11">
        <v>10</v>
      </c>
      <c r="F15" s="11" t="s">
        <v>84</v>
      </c>
      <c r="G15" s="13" t="s">
        <v>90</v>
      </c>
      <c r="H15" s="13" t="s">
        <v>94</v>
      </c>
      <c r="I15" s="34">
        <v>2423.69</v>
      </c>
      <c r="J15" s="16">
        <v>1000</v>
      </c>
      <c r="L15" s="11">
        <v>10</v>
      </c>
      <c r="M15" s="11" t="s">
        <v>69</v>
      </c>
      <c r="N15" s="13" t="s">
        <v>90</v>
      </c>
      <c r="O15" s="17" t="s">
        <v>62</v>
      </c>
      <c r="P15" s="17">
        <v>6347</v>
      </c>
      <c r="Q15" s="16">
        <v>850</v>
      </c>
    </row>
    <row r="16" spans="5:17" ht="60" x14ac:dyDescent="0.25">
      <c r="E16" s="11">
        <v>11</v>
      </c>
      <c r="F16" s="11" t="s">
        <v>70</v>
      </c>
      <c r="G16" s="13" t="s">
        <v>90</v>
      </c>
      <c r="H16" s="13" t="s">
        <v>94</v>
      </c>
      <c r="I16" s="34">
        <v>5565.5024000000003</v>
      </c>
      <c r="J16" s="16">
        <v>1000</v>
      </c>
      <c r="L16" s="11">
        <v>11</v>
      </c>
      <c r="M16" s="11" t="s">
        <v>70</v>
      </c>
      <c r="N16" s="13" t="s">
        <v>90</v>
      </c>
      <c r="O16" s="17" t="s">
        <v>62</v>
      </c>
      <c r="P16" s="17">
        <v>5568</v>
      </c>
      <c r="Q16" s="16">
        <v>750</v>
      </c>
    </row>
    <row r="17" spans="5:17" ht="60" x14ac:dyDescent="0.25">
      <c r="E17" s="11">
        <v>12</v>
      </c>
      <c r="F17" s="11" t="s">
        <v>71</v>
      </c>
      <c r="G17" s="47" t="s">
        <v>72</v>
      </c>
      <c r="H17" s="13" t="s">
        <v>94</v>
      </c>
      <c r="I17" s="34">
        <v>0</v>
      </c>
      <c r="J17" s="16">
        <v>0</v>
      </c>
      <c r="L17" s="11">
        <v>12</v>
      </c>
      <c r="M17" s="11" t="s">
        <v>71</v>
      </c>
      <c r="N17" s="13" t="s">
        <v>90</v>
      </c>
      <c r="O17" s="17" t="s">
        <v>62</v>
      </c>
      <c r="P17" s="17">
        <v>5956</v>
      </c>
      <c r="Q17" s="16">
        <v>850</v>
      </c>
    </row>
    <row r="18" spans="5:17" ht="60" x14ac:dyDescent="0.25">
      <c r="E18" s="11">
        <v>13</v>
      </c>
      <c r="F18" s="11" t="s">
        <v>73</v>
      </c>
      <c r="G18" s="13" t="s">
        <v>77</v>
      </c>
      <c r="H18" s="13" t="s">
        <v>41</v>
      </c>
      <c r="I18" s="34">
        <v>76426.020399999994</v>
      </c>
      <c r="J18" s="79">
        <v>1800</v>
      </c>
      <c r="L18" s="11">
        <v>13</v>
      </c>
      <c r="M18" s="11" t="s">
        <v>127</v>
      </c>
      <c r="N18" s="47" t="s">
        <v>72</v>
      </c>
      <c r="O18" s="17" t="s">
        <v>62</v>
      </c>
      <c r="P18" s="17">
        <v>2425</v>
      </c>
      <c r="Q18" s="16">
        <v>900</v>
      </c>
    </row>
    <row r="19" spans="5:17" ht="45" x14ac:dyDescent="0.25">
      <c r="E19" s="11">
        <v>14</v>
      </c>
      <c r="F19" s="11" t="s">
        <v>74</v>
      </c>
      <c r="G19" s="13" t="s">
        <v>91</v>
      </c>
      <c r="H19" s="13" t="s">
        <v>62</v>
      </c>
      <c r="I19" s="34">
        <v>19604.72</v>
      </c>
      <c r="J19" s="16">
        <v>1000</v>
      </c>
      <c r="L19" s="11">
        <v>14</v>
      </c>
      <c r="M19" s="11" t="s">
        <v>73</v>
      </c>
      <c r="N19" s="13" t="s">
        <v>77</v>
      </c>
      <c r="O19" s="17" t="s">
        <v>41</v>
      </c>
      <c r="P19" s="17">
        <v>76454</v>
      </c>
      <c r="Q19" s="60">
        <v>2450</v>
      </c>
    </row>
    <row r="20" spans="5:17" ht="45" x14ac:dyDescent="0.25">
      <c r="E20" s="11">
        <v>15</v>
      </c>
      <c r="F20" s="13" t="s">
        <v>75</v>
      </c>
      <c r="G20" s="13" t="s">
        <v>93</v>
      </c>
      <c r="H20" s="13" t="s">
        <v>62</v>
      </c>
      <c r="I20" s="34">
        <v>688.64</v>
      </c>
      <c r="J20" s="79">
        <v>1200</v>
      </c>
      <c r="L20" s="11">
        <v>15</v>
      </c>
      <c r="M20" s="69" t="s">
        <v>74</v>
      </c>
      <c r="N20" s="13" t="s">
        <v>91</v>
      </c>
      <c r="O20" s="17"/>
      <c r="P20" s="17">
        <v>0</v>
      </c>
      <c r="Q20" s="60"/>
    </row>
    <row r="21" spans="5:17" ht="30" x14ac:dyDescent="0.25">
      <c r="E21" s="11">
        <v>16</v>
      </c>
      <c r="F21" s="13" t="s">
        <v>76</v>
      </c>
      <c r="G21" s="13" t="s">
        <v>92</v>
      </c>
      <c r="H21" s="11" t="s">
        <v>62</v>
      </c>
      <c r="I21" s="34">
        <v>9468.7999999999993</v>
      </c>
      <c r="J21" s="39">
        <v>1100</v>
      </c>
      <c r="L21" s="11">
        <v>16</v>
      </c>
      <c r="M21" s="13" t="s">
        <v>75</v>
      </c>
      <c r="N21" s="13" t="s">
        <v>93</v>
      </c>
      <c r="O21" s="17" t="s">
        <v>62</v>
      </c>
      <c r="P21" s="17">
        <v>689</v>
      </c>
      <c r="Q21" s="60">
        <v>1400</v>
      </c>
    </row>
    <row r="22" spans="5:17" ht="30" x14ac:dyDescent="0.25">
      <c r="E22" s="98" t="s">
        <v>43</v>
      </c>
      <c r="F22" s="98"/>
      <c r="G22" s="98"/>
      <c r="H22" s="98"/>
      <c r="I22" s="78">
        <v>150234.13279999999</v>
      </c>
      <c r="L22" s="11">
        <v>17</v>
      </c>
      <c r="M22" s="13" t="s">
        <v>76</v>
      </c>
      <c r="N22" s="13" t="s">
        <v>92</v>
      </c>
      <c r="O22" s="17" t="s">
        <v>62</v>
      </c>
      <c r="P22" s="17">
        <v>9472</v>
      </c>
      <c r="Q22" s="16">
        <v>850</v>
      </c>
    </row>
    <row r="23" spans="5:17" ht="26.25" customHeight="1" x14ac:dyDescent="0.25">
      <c r="L23" s="101" t="s">
        <v>43</v>
      </c>
      <c r="M23" s="102"/>
      <c r="N23" s="103"/>
      <c r="O23" s="73"/>
      <c r="P23" s="74">
        <f>SUM(P6:P22)</f>
        <v>139971</v>
      </c>
    </row>
    <row r="29" spans="5:17" x14ac:dyDescent="0.25">
      <c r="F29" s="70"/>
      <c r="G29" t="s">
        <v>128</v>
      </c>
    </row>
    <row r="30" spans="5:17" x14ac:dyDescent="0.25">
      <c r="F30" s="76"/>
      <c r="G30" t="s">
        <v>129</v>
      </c>
    </row>
    <row r="31" spans="5:17" x14ac:dyDescent="0.25">
      <c r="F31" s="77"/>
      <c r="G31" t="s">
        <v>137</v>
      </c>
    </row>
    <row r="32" spans="5:17" x14ac:dyDescent="0.25">
      <c r="F32" s="72"/>
      <c r="G32" t="s">
        <v>138</v>
      </c>
    </row>
    <row r="33" spans="6:7" x14ac:dyDescent="0.25">
      <c r="F33" s="71"/>
      <c r="G33" t="s">
        <v>139</v>
      </c>
    </row>
  </sheetData>
  <mergeCells count="4">
    <mergeCell ref="E22:H22"/>
    <mergeCell ref="E4:I4"/>
    <mergeCell ref="L4:P4"/>
    <mergeCell ref="L23:N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U38"/>
  <sheetViews>
    <sheetView topLeftCell="C1" zoomScaleNormal="100" workbookViewId="0">
      <selection activeCell="K10" sqref="K10"/>
    </sheetView>
  </sheetViews>
  <sheetFormatPr defaultRowHeight="15" x14ac:dyDescent="0.25"/>
  <cols>
    <col min="4" max="4" width="12.42578125" bestFit="1" customWidth="1"/>
    <col min="5" max="5" width="12.42578125" customWidth="1"/>
    <col min="6" max="6" width="10" customWidth="1"/>
    <col min="7" max="7" width="12.28515625" bestFit="1" customWidth="1"/>
    <col min="8" max="8" width="12.140625" customWidth="1"/>
    <col min="9" max="9" width="11.5703125" bestFit="1" customWidth="1"/>
    <col min="10" max="10" width="10" bestFit="1" customWidth="1"/>
    <col min="11" max="11" width="12" bestFit="1" customWidth="1"/>
    <col min="15" max="15" width="10.140625" bestFit="1" customWidth="1"/>
    <col min="16" max="16" width="21" bestFit="1" customWidth="1"/>
    <col min="17" max="17" width="19.140625" bestFit="1" customWidth="1"/>
    <col min="18" max="18" width="18.7109375" style="38" bestFit="1" customWidth="1"/>
    <col min="19" max="19" width="17" style="38" bestFit="1" customWidth="1"/>
  </cols>
  <sheetData>
    <row r="2" spans="3:21" ht="30" x14ac:dyDescent="0.25">
      <c r="D2" s="23" t="s">
        <v>29</v>
      </c>
      <c r="E2" s="23"/>
      <c r="F2" s="23"/>
      <c r="G2" s="24" t="s">
        <v>30</v>
      </c>
      <c r="H2" s="24" t="s">
        <v>31</v>
      </c>
      <c r="I2" s="24" t="s">
        <v>32</v>
      </c>
    </row>
    <row r="3" spans="3:21" x14ac:dyDescent="0.25">
      <c r="D3" s="22"/>
      <c r="E3" s="22"/>
      <c r="F3" s="22"/>
      <c r="H3" s="22"/>
    </row>
    <row r="5" spans="3:21" x14ac:dyDescent="0.25">
      <c r="C5" s="27" t="s">
        <v>1</v>
      </c>
      <c r="D5" s="27"/>
      <c r="E5" s="27"/>
      <c r="F5" s="27"/>
      <c r="G5" s="27"/>
      <c r="H5" s="27"/>
      <c r="I5" s="27"/>
      <c r="J5" s="27"/>
      <c r="K5" s="27"/>
      <c r="L5" s="27"/>
      <c r="M5" s="27"/>
      <c r="N5" s="27"/>
      <c r="O5" s="27"/>
      <c r="P5" s="27"/>
      <c r="Q5" s="27"/>
      <c r="R5" s="43"/>
      <c r="S5" s="43"/>
      <c r="T5" s="27"/>
      <c r="U5" s="27"/>
    </row>
    <row r="6" spans="3:21" ht="45.75" customHeight="1" x14ac:dyDescent="0.25">
      <c r="C6" s="27"/>
      <c r="D6" s="41" t="s">
        <v>80</v>
      </c>
      <c r="E6" s="41" t="s">
        <v>82</v>
      </c>
      <c r="F6" s="41" t="s">
        <v>83</v>
      </c>
      <c r="G6" s="41" t="s">
        <v>78</v>
      </c>
      <c r="H6" s="41" t="s">
        <v>79</v>
      </c>
      <c r="I6" s="42" t="s">
        <v>19</v>
      </c>
      <c r="J6" s="27"/>
      <c r="K6" s="27"/>
      <c r="L6" s="27"/>
      <c r="M6" s="27"/>
      <c r="N6" s="27"/>
      <c r="O6" s="27"/>
      <c r="P6" s="27"/>
      <c r="Q6" s="27"/>
      <c r="R6" s="43"/>
      <c r="S6" s="43"/>
      <c r="T6" s="27"/>
      <c r="U6" s="27"/>
    </row>
    <row r="7" spans="3:21" x14ac:dyDescent="0.25">
      <c r="C7" s="27"/>
      <c r="D7" s="27" t="s">
        <v>81</v>
      </c>
      <c r="E7" s="27">
        <v>15.2</v>
      </c>
      <c r="F7" s="27">
        <v>61750</v>
      </c>
      <c r="G7" s="27">
        <f>F7/4046.86</f>
        <v>15.258743816193295</v>
      </c>
      <c r="H7" s="27">
        <v>14400000</v>
      </c>
      <c r="I7" s="27">
        <f>H7*G7</f>
        <v>219725910.95318344</v>
      </c>
      <c r="J7" s="27">
        <f>17600000*G7</f>
        <v>268553891.16500199</v>
      </c>
      <c r="K7" s="27"/>
      <c r="L7" s="27"/>
      <c r="M7" s="27"/>
      <c r="N7" s="27"/>
      <c r="O7" s="27"/>
      <c r="P7" s="27"/>
      <c r="Q7" s="27"/>
      <c r="R7" s="43"/>
      <c r="S7" s="43"/>
      <c r="T7" s="27"/>
      <c r="U7" s="27"/>
    </row>
    <row r="8" spans="3:21" ht="24" customHeight="1" x14ac:dyDescent="0.25">
      <c r="C8" s="27"/>
      <c r="D8" s="27"/>
      <c r="E8" s="27"/>
      <c r="F8" s="27"/>
      <c r="G8" s="27"/>
      <c r="H8" s="27"/>
      <c r="I8" s="27"/>
      <c r="J8" s="27"/>
      <c r="K8" s="27"/>
      <c r="L8" s="27"/>
      <c r="M8" s="27"/>
      <c r="N8" s="27"/>
      <c r="O8" s="27"/>
      <c r="P8" s="27"/>
      <c r="Q8" s="27"/>
      <c r="R8" s="43"/>
      <c r="S8" s="43"/>
      <c r="T8" s="27"/>
      <c r="U8" s="27"/>
    </row>
    <row r="9" spans="3:21" ht="23.25" customHeight="1" x14ac:dyDescent="0.25">
      <c r="C9" s="27"/>
      <c r="D9" s="27"/>
      <c r="E9" s="48"/>
      <c r="F9" s="27"/>
      <c r="G9" s="27" t="s">
        <v>102</v>
      </c>
      <c r="H9" s="27">
        <f>H7/4046.86</f>
        <v>3558.3143474199751</v>
      </c>
      <c r="I9" s="27"/>
      <c r="J9" s="27"/>
      <c r="K9" s="27"/>
      <c r="L9" s="27"/>
      <c r="M9" s="27"/>
      <c r="N9" s="27"/>
      <c r="O9" s="54" t="s">
        <v>108</v>
      </c>
      <c r="P9" s="54" t="s">
        <v>112</v>
      </c>
      <c r="Q9" s="54" t="s">
        <v>113</v>
      </c>
      <c r="R9" s="55" t="s">
        <v>114</v>
      </c>
      <c r="S9" s="55" t="s">
        <v>115</v>
      </c>
      <c r="T9" s="27"/>
      <c r="U9" s="27"/>
    </row>
    <row r="10" spans="3:21" x14ac:dyDescent="0.25">
      <c r="C10" s="27"/>
      <c r="D10" s="27"/>
      <c r="E10" s="27"/>
      <c r="F10" s="27"/>
      <c r="G10" s="27" t="s">
        <v>103</v>
      </c>
      <c r="H10" s="27">
        <f>H9/10.76</f>
        <v>330.69835942564828</v>
      </c>
      <c r="I10" s="27"/>
      <c r="J10" s="27"/>
      <c r="K10" s="27"/>
      <c r="L10" s="27"/>
      <c r="M10" s="27"/>
      <c r="N10" s="27"/>
      <c r="O10" s="11" t="s">
        <v>109</v>
      </c>
      <c r="P10" s="11">
        <v>15556</v>
      </c>
      <c r="Q10" s="11">
        <f>P10/4046.86</f>
        <v>3.8439679158656341</v>
      </c>
      <c r="R10" s="56">
        <v>22000000</v>
      </c>
      <c r="S10" s="56">
        <f>R10*Q10</f>
        <v>84567294.149043947</v>
      </c>
      <c r="T10" s="27"/>
      <c r="U10" s="27"/>
    </row>
    <row r="11" spans="3:21" x14ac:dyDescent="0.25">
      <c r="C11" s="27"/>
      <c r="D11" s="27"/>
      <c r="E11" s="27"/>
      <c r="F11" s="27"/>
      <c r="G11" s="27"/>
      <c r="H11" s="27"/>
      <c r="I11" s="27"/>
      <c r="J11" s="27"/>
      <c r="K11" s="27"/>
      <c r="L11" s="27"/>
      <c r="M11" s="27"/>
      <c r="N11" s="27"/>
      <c r="O11" s="11" t="s">
        <v>111</v>
      </c>
      <c r="P11" s="11">
        <v>23057</v>
      </c>
      <c r="Q11" s="11">
        <f t="shared" ref="Q11:Q12" si="0">P11/4046.86</f>
        <v>5.6975037436432192</v>
      </c>
      <c r="R11" s="56">
        <f>0.67*R10</f>
        <v>14740000</v>
      </c>
      <c r="S11" s="56">
        <f t="shared" ref="S11:S12" si="1">R11*Q11</f>
        <v>83981205.181301057</v>
      </c>
      <c r="T11" s="27"/>
      <c r="U11" s="27"/>
    </row>
    <row r="12" spans="3:21" x14ac:dyDescent="0.25">
      <c r="C12" s="27"/>
      <c r="D12" s="27"/>
      <c r="E12" s="27"/>
      <c r="F12" s="27"/>
      <c r="G12" s="27"/>
      <c r="H12" s="27"/>
      <c r="I12" s="27"/>
      <c r="J12" s="27">
        <f>4000*F7</f>
        <v>247000000</v>
      </c>
      <c r="K12" s="27"/>
      <c r="L12" s="27"/>
      <c r="M12" s="27"/>
      <c r="N12" s="27"/>
      <c r="O12" s="11" t="s">
        <v>110</v>
      </c>
      <c r="P12" s="11">
        <v>23137</v>
      </c>
      <c r="Q12" s="11">
        <f t="shared" si="0"/>
        <v>5.7172721566844418</v>
      </c>
      <c r="R12" s="56">
        <f>0.5*R10</f>
        <v>11000000</v>
      </c>
      <c r="S12" s="56">
        <f t="shared" si="1"/>
        <v>62889993.723528862</v>
      </c>
      <c r="T12" s="27"/>
      <c r="U12" s="27"/>
    </row>
    <row r="13" spans="3:21" x14ac:dyDescent="0.25">
      <c r="C13" s="27"/>
      <c r="D13" s="27"/>
      <c r="E13" s="27"/>
      <c r="F13" s="27"/>
      <c r="G13" s="27"/>
      <c r="H13" s="27"/>
      <c r="I13" s="27"/>
      <c r="J13" s="27">
        <f>4000*4046.86</f>
        <v>16187440</v>
      </c>
      <c r="K13" s="27"/>
      <c r="L13" s="27"/>
      <c r="M13" s="27"/>
      <c r="N13" s="27"/>
      <c r="O13" s="53" t="s">
        <v>98</v>
      </c>
      <c r="P13" s="53">
        <f>SUM(P10:P12)</f>
        <v>61750</v>
      </c>
      <c r="Q13" s="53">
        <f>SUM(Q10:Q12)</f>
        <v>15.258743816193295</v>
      </c>
      <c r="R13" s="57"/>
      <c r="S13" s="57">
        <f>SUM(S10:S12)</f>
        <v>231438493.05387387</v>
      </c>
      <c r="T13" s="27"/>
      <c r="U13" s="27"/>
    </row>
    <row r="14" spans="3:21" x14ac:dyDescent="0.25">
      <c r="C14" s="27"/>
      <c r="D14" s="27"/>
      <c r="E14" s="27"/>
      <c r="F14" s="27"/>
      <c r="G14" s="27"/>
      <c r="H14" s="27"/>
      <c r="I14" s="27"/>
      <c r="J14" s="27"/>
      <c r="K14" s="27"/>
      <c r="L14" s="27"/>
      <c r="M14" s="27"/>
      <c r="N14" s="27"/>
      <c r="O14" s="27"/>
      <c r="P14" s="27"/>
      <c r="Q14" s="27"/>
      <c r="R14" s="43"/>
      <c r="S14" s="43"/>
      <c r="T14" s="27"/>
      <c r="U14" s="27"/>
    </row>
    <row r="15" spans="3:21" x14ac:dyDescent="0.25">
      <c r="C15" s="27"/>
      <c r="D15" s="27"/>
      <c r="E15" s="27"/>
      <c r="F15" s="27"/>
      <c r="G15" s="27"/>
      <c r="H15" s="27"/>
      <c r="I15" s="27"/>
      <c r="J15" s="27"/>
      <c r="K15" s="27"/>
      <c r="L15" s="27"/>
      <c r="M15" s="27"/>
      <c r="N15" s="27"/>
      <c r="O15" s="27"/>
      <c r="P15" s="27"/>
      <c r="Q15" s="27"/>
      <c r="R15" s="43"/>
      <c r="S15" s="59">
        <f>S13/Q13</f>
        <v>15167598.056680162</v>
      </c>
      <c r="T15" s="27"/>
      <c r="U15" s="27"/>
    </row>
    <row r="16" spans="3:21" x14ac:dyDescent="0.25">
      <c r="C16" s="27"/>
      <c r="D16" s="27"/>
      <c r="E16" s="27"/>
      <c r="F16" s="27"/>
      <c r="G16" s="27"/>
      <c r="H16" s="27"/>
      <c r="I16" s="27"/>
      <c r="J16" s="27"/>
      <c r="K16" s="27"/>
      <c r="L16" s="27"/>
      <c r="M16" s="27"/>
      <c r="N16" s="27"/>
      <c r="T16" s="27"/>
      <c r="U16" s="27"/>
    </row>
    <row r="17" spans="3:21" x14ac:dyDescent="0.25">
      <c r="C17" s="27"/>
      <c r="D17" s="27"/>
      <c r="E17" s="48"/>
      <c r="F17" s="27"/>
      <c r="G17" s="27"/>
      <c r="H17" s="27"/>
      <c r="I17" s="27"/>
      <c r="J17" s="27"/>
      <c r="K17" s="27"/>
      <c r="L17" s="27"/>
      <c r="M17" s="27"/>
      <c r="N17" s="27"/>
      <c r="T17" s="27"/>
      <c r="U17" s="27"/>
    </row>
    <row r="18" spans="3:21" x14ac:dyDescent="0.25">
      <c r="C18" s="27"/>
      <c r="D18" s="27"/>
      <c r="E18" s="27"/>
      <c r="F18" s="27"/>
      <c r="G18" s="27"/>
      <c r="H18" s="27"/>
      <c r="I18" s="27"/>
      <c r="J18" s="27"/>
      <c r="K18" s="27"/>
      <c r="L18" s="27"/>
      <c r="M18" s="27"/>
      <c r="N18" s="27"/>
      <c r="T18" s="27"/>
      <c r="U18" s="27"/>
    </row>
    <row r="19" spans="3:21" x14ac:dyDescent="0.25">
      <c r="C19" s="27"/>
      <c r="D19" s="27"/>
      <c r="E19" s="27"/>
      <c r="F19" s="27"/>
      <c r="G19" s="27"/>
      <c r="H19" s="27"/>
      <c r="I19" s="27"/>
      <c r="J19" s="27"/>
      <c r="K19" s="27"/>
      <c r="L19" s="27"/>
      <c r="M19" s="27"/>
      <c r="N19" s="27"/>
      <c r="T19" s="27"/>
      <c r="U19" s="27"/>
    </row>
    <row r="20" spans="3:21" x14ac:dyDescent="0.25">
      <c r="C20" s="27"/>
      <c r="D20" s="27"/>
      <c r="E20" s="27"/>
      <c r="F20" s="27"/>
      <c r="G20" s="27"/>
      <c r="H20" s="27"/>
      <c r="I20" s="27"/>
      <c r="J20" s="27"/>
      <c r="K20" s="27"/>
      <c r="L20" s="27"/>
      <c r="M20" s="27"/>
      <c r="N20" s="27"/>
      <c r="T20" s="27"/>
      <c r="U20" s="27"/>
    </row>
    <row r="21" spans="3:21" x14ac:dyDescent="0.25">
      <c r="C21" s="27"/>
      <c r="D21" s="27"/>
      <c r="E21" s="27"/>
      <c r="F21" s="27"/>
      <c r="G21" s="27"/>
      <c r="H21" s="27"/>
      <c r="I21" s="27"/>
      <c r="J21" s="27"/>
      <c r="K21" s="27"/>
      <c r="L21" s="27"/>
      <c r="M21" s="27"/>
      <c r="N21" s="27"/>
      <c r="T21" s="27"/>
      <c r="U21" s="27"/>
    </row>
    <row r="22" spans="3:21" x14ac:dyDescent="0.25">
      <c r="C22" s="27"/>
      <c r="D22" s="27"/>
      <c r="E22" s="27"/>
      <c r="F22" s="27"/>
      <c r="G22" s="27"/>
      <c r="H22" s="27"/>
      <c r="I22" s="27"/>
      <c r="J22" s="27"/>
      <c r="K22" s="27"/>
      <c r="L22" s="27"/>
      <c r="M22" s="27"/>
      <c r="N22" s="27"/>
      <c r="T22" s="27"/>
      <c r="U22" s="27"/>
    </row>
    <row r="23" spans="3:21" x14ac:dyDescent="0.25">
      <c r="C23" s="44"/>
      <c r="D23" s="44"/>
      <c r="E23" s="44"/>
      <c r="F23" s="44"/>
      <c r="G23" s="44"/>
      <c r="H23" s="44"/>
      <c r="I23" s="44"/>
      <c r="J23" s="44"/>
      <c r="K23" s="44"/>
      <c r="L23" s="44"/>
      <c r="M23" s="44"/>
      <c r="N23" s="44"/>
      <c r="T23" s="44"/>
      <c r="U23" s="44"/>
    </row>
    <row r="24" spans="3:21" x14ac:dyDescent="0.25">
      <c r="C24" s="44"/>
      <c r="D24" s="44"/>
      <c r="E24" s="44"/>
      <c r="F24" s="44"/>
      <c r="G24" s="44"/>
      <c r="H24" s="44"/>
      <c r="I24" s="44"/>
      <c r="J24" s="44"/>
      <c r="K24" s="44"/>
      <c r="L24" s="44"/>
      <c r="M24" s="44"/>
      <c r="N24" s="44"/>
      <c r="O24" s="44"/>
      <c r="P24" s="44"/>
      <c r="Q24" s="44"/>
      <c r="R24" s="58"/>
      <c r="S24" s="58"/>
      <c r="T24" s="44"/>
      <c r="U24" s="44"/>
    </row>
    <row r="25" spans="3:21" ht="17.25" customHeight="1" x14ac:dyDescent="0.25">
      <c r="C25" s="97"/>
      <c r="D25" s="97"/>
      <c r="E25" s="97"/>
      <c r="F25" s="97"/>
      <c r="G25" s="97"/>
      <c r="H25" s="97"/>
      <c r="I25" s="97"/>
      <c r="J25" s="97"/>
      <c r="K25" s="97"/>
      <c r="L25" s="97"/>
      <c r="M25" s="97"/>
      <c r="N25" s="97"/>
      <c r="O25" s="97"/>
      <c r="P25" s="97"/>
      <c r="Q25" s="97"/>
      <c r="R25" s="97"/>
      <c r="S25" s="97"/>
      <c r="T25" s="97"/>
      <c r="U25" s="97"/>
    </row>
    <row r="26" spans="3:21" ht="17.25" customHeight="1" x14ac:dyDescent="0.25"/>
    <row r="29" spans="3:21" x14ac:dyDescent="0.25">
      <c r="P29" s="27" t="s">
        <v>118</v>
      </c>
      <c r="Q29" s="27"/>
      <c r="R29" s="27"/>
      <c r="S29" s="43"/>
      <c r="T29" s="43"/>
    </row>
    <row r="30" spans="3:21" x14ac:dyDescent="0.25">
      <c r="P30" s="27"/>
      <c r="Q30" s="27" t="s">
        <v>116</v>
      </c>
      <c r="R30" s="27" t="s">
        <v>117</v>
      </c>
      <c r="S30" s="43"/>
      <c r="T30" s="43" t="s">
        <v>119</v>
      </c>
    </row>
    <row r="31" spans="3:21" x14ac:dyDescent="0.25">
      <c r="P31" s="27"/>
      <c r="Q31" s="27">
        <f>4046.86*R31</f>
        <v>44515.46</v>
      </c>
      <c r="R31" s="27">
        <v>11</v>
      </c>
      <c r="S31" s="43"/>
      <c r="T31" s="43" t="s">
        <v>120</v>
      </c>
    </row>
    <row r="32" spans="3:21" x14ac:dyDescent="0.25">
      <c r="P32" s="27"/>
      <c r="Q32" s="27"/>
      <c r="R32" s="27"/>
      <c r="S32" s="43"/>
      <c r="T32" s="43"/>
    </row>
    <row r="33" spans="4:20" x14ac:dyDescent="0.25">
      <c r="P33" s="27"/>
      <c r="Q33" s="27" t="s">
        <v>121</v>
      </c>
      <c r="R33" s="27"/>
      <c r="S33" s="43"/>
      <c r="T33" s="43"/>
    </row>
    <row r="34" spans="4:20" x14ac:dyDescent="0.25">
      <c r="P34" s="27"/>
      <c r="Q34" s="27">
        <v>101059</v>
      </c>
      <c r="R34" s="27"/>
      <c r="S34" s="43"/>
      <c r="T34" s="43"/>
    </row>
    <row r="35" spans="4:20" x14ac:dyDescent="0.25">
      <c r="P35" s="27"/>
      <c r="Q35" s="27"/>
      <c r="R35" s="27"/>
      <c r="S35" s="43"/>
      <c r="T35" s="43"/>
    </row>
    <row r="36" spans="4:20" ht="45" x14ac:dyDescent="0.25">
      <c r="D36" s="1" t="s">
        <v>97</v>
      </c>
      <c r="P36" s="44"/>
      <c r="Q36" s="44"/>
      <c r="R36" s="44"/>
      <c r="S36" s="58"/>
      <c r="T36" s="58"/>
    </row>
    <row r="37" spans="4:20" x14ac:dyDescent="0.25">
      <c r="E37" s="8">
        <v>274657389</v>
      </c>
    </row>
    <row r="38" spans="4:20" ht="45.75" customHeight="1" x14ac:dyDescent="0.25">
      <c r="D38" t="s">
        <v>98</v>
      </c>
      <c r="E38">
        <f>SUM(E36:E37)</f>
        <v>274657389</v>
      </c>
    </row>
  </sheetData>
  <mergeCells count="1">
    <mergeCell ref="C25:U2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
  <sheetViews>
    <sheetView workbookViewId="0">
      <selection activeCell="T14" sqref="T14"/>
    </sheetView>
  </sheetViews>
  <sheetFormatPr defaultRowHeight="15" x14ac:dyDescent="0.25"/>
  <sheetData>
    <row r="3" spans="5:5" x14ac:dyDescent="0.25">
      <c r="E3" t="s">
        <v>104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11" sqref="K11"/>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14"/>
  <sheetViews>
    <sheetView workbookViewId="0">
      <selection activeCell="P9" sqref="P9"/>
    </sheetView>
  </sheetViews>
  <sheetFormatPr defaultRowHeight="15" x14ac:dyDescent="0.25"/>
  <cols>
    <col min="3" max="3" width="18.140625" bestFit="1" customWidth="1"/>
    <col min="4" max="4" width="16.140625" customWidth="1"/>
    <col min="6" max="6" width="7.140625" customWidth="1"/>
    <col min="7" max="7" width="10.85546875" customWidth="1"/>
    <col min="8" max="8" width="14" customWidth="1"/>
    <col min="9" max="9" width="12.28515625" customWidth="1"/>
    <col min="10" max="10" width="20.140625" customWidth="1"/>
    <col min="11" max="11" width="15.28515625" customWidth="1"/>
    <col min="12" max="12" width="10.85546875" customWidth="1"/>
    <col min="13" max="13" width="17.7109375" customWidth="1"/>
  </cols>
  <sheetData>
    <row r="2" spans="3:13" x14ac:dyDescent="0.25">
      <c r="J2" t="s">
        <v>50</v>
      </c>
    </row>
    <row r="3" spans="3:13" x14ac:dyDescent="0.25">
      <c r="J3" t="s">
        <v>51</v>
      </c>
    </row>
    <row r="4" spans="3:13" x14ac:dyDescent="0.25">
      <c r="J4" t="s">
        <v>52</v>
      </c>
    </row>
    <row r="5" spans="3:13" x14ac:dyDescent="0.25">
      <c r="J5" t="s">
        <v>53</v>
      </c>
    </row>
    <row r="6" spans="3:13" x14ac:dyDescent="0.25">
      <c r="J6" t="s">
        <v>55</v>
      </c>
    </row>
    <row r="7" spans="3:13" x14ac:dyDescent="0.25">
      <c r="J7" t="s">
        <v>56</v>
      </c>
    </row>
    <row r="8" spans="3:13" x14ac:dyDescent="0.25">
      <c r="J8" t="s">
        <v>57</v>
      </c>
    </row>
    <row r="9" spans="3:13" ht="42" customHeight="1" x14ac:dyDescent="0.25">
      <c r="C9" s="1"/>
      <c r="D9" s="1"/>
      <c r="F9" s="10" t="s">
        <v>16</v>
      </c>
      <c r="G9" s="10" t="s">
        <v>17</v>
      </c>
      <c r="H9" s="10" t="s">
        <v>36</v>
      </c>
      <c r="I9" s="10" t="s">
        <v>18</v>
      </c>
      <c r="J9" s="10" t="s">
        <v>39</v>
      </c>
      <c r="K9" s="10" t="s">
        <v>40</v>
      </c>
      <c r="L9" s="25" t="s">
        <v>25</v>
      </c>
      <c r="M9" s="26" t="s">
        <v>35</v>
      </c>
    </row>
    <row r="10" spans="3:13" ht="51" customHeight="1" x14ac:dyDescent="0.25">
      <c r="F10" s="11">
        <v>1</v>
      </c>
      <c r="G10" s="11"/>
      <c r="H10" s="11"/>
      <c r="I10" s="12"/>
      <c r="J10" s="13"/>
      <c r="K10" s="13"/>
      <c r="L10" s="13"/>
      <c r="M10" s="13"/>
    </row>
    <row r="11" spans="3:13" ht="16.5" customHeight="1" x14ac:dyDescent="0.25">
      <c r="F11" s="27"/>
      <c r="G11" s="27"/>
      <c r="H11" s="27"/>
      <c r="I11" s="28"/>
      <c r="J11" s="29"/>
      <c r="K11" s="29"/>
      <c r="L11" s="29"/>
      <c r="M11" s="27"/>
    </row>
    <row r="12" spans="3:13" ht="18" customHeight="1" x14ac:dyDescent="0.25">
      <c r="F12" s="27"/>
      <c r="G12" s="27"/>
      <c r="H12" s="27"/>
      <c r="I12" s="28"/>
      <c r="J12" s="29"/>
      <c r="K12" s="29"/>
      <c r="L12" s="29"/>
      <c r="M12" s="27"/>
    </row>
    <row r="13" spans="3:13" ht="32.25" customHeight="1" x14ac:dyDescent="0.25">
      <c r="F13" s="30" t="s">
        <v>16</v>
      </c>
      <c r="G13" s="30" t="s">
        <v>17</v>
      </c>
      <c r="H13" s="30" t="s">
        <v>36</v>
      </c>
      <c r="I13" s="30" t="s">
        <v>18</v>
      </c>
      <c r="J13" s="30" t="s">
        <v>37</v>
      </c>
      <c r="K13" s="30" t="s">
        <v>38</v>
      </c>
      <c r="L13" s="31" t="s">
        <v>25</v>
      </c>
      <c r="M13" s="26" t="s">
        <v>35</v>
      </c>
    </row>
    <row r="14" spans="3:13" ht="60" customHeight="1" x14ac:dyDescent="0.25">
      <c r="F14" s="11">
        <v>1</v>
      </c>
      <c r="G14" s="11"/>
      <c r="H14" s="11"/>
      <c r="I14" s="12"/>
      <c r="J14" s="13"/>
      <c r="K14" s="13"/>
      <c r="L14" s="13"/>
      <c r="M14"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Building</vt:lpstr>
      <vt:lpstr>proposed working</vt:lpstr>
      <vt:lpstr>Differentiation</vt:lpstr>
      <vt:lpstr>Sheet1</vt:lpstr>
      <vt:lpstr>Land </vt:lpstr>
      <vt:lpstr>reference</vt:lpstr>
      <vt:lpstr>MIDC allotment rate</vt:lpstr>
      <vt:lpstr>Deed details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Anirban Roy</cp:lastModifiedBy>
  <cp:lastPrinted>2022-01-07T08:12:53Z</cp:lastPrinted>
  <dcterms:created xsi:type="dcterms:W3CDTF">2021-09-16T11:33:35Z</dcterms:created>
  <dcterms:modified xsi:type="dcterms:W3CDTF">2023-09-29T12:58:28Z</dcterms:modified>
</cp:coreProperties>
</file>