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G:\DATAm Since 01-12-2021\Shalimar Paints\Chennai\VIS(2023-24)-PL223-Q037-193-276\"/>
    </mc:Choice>
  </mc:AlternateContent>
  <xr:revisionPtr revIDLastSave="0" documentId="13_ncr:1_{984786B1-88FF-4BCE-A5D3-29DAFA9EEA6C}" xr6:coauthVersionLast="47" xr6:coauthVersionMax="47" xr10:uidLastSave="{00000000-0000-0000-0000-000000000000}"/>
  <bookViews>
    <workbookView xWindow="-120" yWindow="-120" windowWidth="21840" windowHeight="13140" activeTab="1" xr2:uid="{00000000-000D-0000-FFFF-FFFF00000000}"/>
  </bookViews>
  <sheets>
    <sheet name="Building" sheetId="1" r:id="rId1"/>
    <sheet name="Land &amp; Total" sheetId="2" r:id="rId2"/>
  </sheets>
  <definedNames>
    <definedName name="_xlnm._FilterDatabase" localSheetId="0" hidden="1">Building!$C$4:$S$28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2" l="1"/>
  <c r="E5" i="2"/>
  <c r="O29" i="1"/>
  <c r="K24" i="2"/>
  <c r="I23" i="2"/>
  <c r="H24" i="2"/>
  <c r="V31" i="1"/>
  <c r="E21" i="2"/>
  <c r="E20" i="2"/>
  <c r="F23" i="1" l="1"/>
  <c r="E8" i="2"/>
  <c r="E10" i="2" s="1"/>
  <c r="M19" i="2"/>
  <c r="M19" i="1"/>
  <c r="M20" i="1"/>
  <c r="M21" i="1"/>
  <c r="M22" i="1"/>
  <c r="J22" i="1"/>
  <c r="J21" i="1"/>
  <c r="J20" i="1"/>
  <c r="J19" i="1"/>
  <c r="F22" i="1"/>
  <c r="O22" i="1" s="1"/>
  <c r="F21" i="1"/>
  <c r="O21" i="1" s="1"/>
  <c r="F20" i="1"/>
  <c r="O20" i="1" s="1"/>
  <c r="F19" i="1"/>
  <c r="O19" i="1" s="1"/>
  <c r="F18" i="1"/>
  <c r="O18" i="1" s="1"/>
  <c r="F17" i="1"/>
  <c r="O17" i="1" s="1"/>
  <c r="F16" i="1"/>
  <c r="O16" i="1" s="1"/>
  <c r="F15" i="1"/>
  <c r="O15" i="1" s="1"/>
  <c r="F14" i="1"/>
  <c r="O14" i="1" s="1"/>
  <c r="F13" i="1"/>
  <c r="O13" i="1" s="1"/>
  <c r="F12" i="1"/>
  <c r="O12" i="1" s="1"/>
  <c r="F11" i="1"/>
  <c r="O11" i="1" s="1"/>
  <c r="F10" i="1"/>
  <c r="O10" i="1" s="1"/>
  <c r="F9" i="1"/>
  <c r="O9" i="1" s="1"/>
  <c r="F8" i="1"/>
  <c r="O8" i="1" s="1"/>
  <c r="F7" i="1"/>
  <c r="O7" i="1" s="1"/>
  <c r="F5" i="1"/>
  <c r="F6" i="1"/>
  <c r="O6" i="1" s="1"/>
  <c r="P20" i="1" l="1"/>
  <c r="P19" i="1"/>
  <c r="Q19" i="1"/>
  <c r="S19" i="1" s="1"/>
  <c r="P22" i="1"/>
  <c r="Q22" i="1" s="1"/>
  <c r="S22" i="1" s="1"/>
  <c r="P21" i="1"/>
  <c r="Q21" i="1" s="1"/>
  <c r="S21" i="1" s="1"/>
  <c r="Q20" i="1"/>
  <c r="S20" i="1" s="1"/>
  <c r="Z4" i="1"/>
  <c r="AA4" i="1" s="1"/>
  <c r="O5" i="1"/>
  <c r="X26" i="1"/>
  <c r="X25" i="1"/>
  <c r="X24" i="1"/>
  <c r="Y11" i="1"/>
  <c r="Y14" i="1" s="1"/>
  <c r="Y15" i="1" s="1"/>
  <c r="V8" i="1"/>
  <c r="W9" i="1" s="1"/>
  <c r="R23" i="1"/>
  <c r="J6" i="1"/>
  <c r="J7" i="1"/>
  <c r="J8" i="1"/>
  <c r="J9" i="1"/>
  <c r="J10" i="1"/>
  <c r="J11" i="1"/>
  <c r="J12" i="1"/>
  <c r="J13" i="1"/>
  <c r="J14" i="1"/>
  <c r="J15" i="1"/>
  <c r="J16" i="1"/>
  <c r="J17" i="1"/>
  <c r="J18" i="1"/>
  <c r="J5" i="1"/>
  <c r="K6" i="1"/>
  <c r="M6" i="1" s="1"/>
  <c r="K7" i="1"/>
  <c r="M7" i="1" s="1"/>
  <c r="K8" i="1"/>
  <c r="M8" i="1" s="1"/>
  <c r="K9" i="1"/>
  <c r="M9" i="1" s="1"/>
  <c r="K10" i="1"/>
  <c r="M10" i="1" s="1"/>
  <c r="K11" i="1"/>
  <c r="M11" i="1" s="1"/>
  <c r="M12" i="1"/>
  <c r="M13" i="1"/>
  <c r="M14" i="1"/>
  <c r="K15" i="1"/>
  <c r="M15" i="1" s="1"/>
  <c r="K16" i="1"/>
  <c r="M16" i="1" s="1"/>
  <c r="M17" i="1"/>
  <c r="M18" i="1"/>
  <c r="K5" i="1"/>
  <c r="M5" i="1" s="1"/>
  <c r="I42" i="1"/>
  <c r="P18" i="1" l="1"/>
  <c r="Q18" i="1" s="1"/>
  <c r="S18" i="1" s="1"/>
  <c r="P14" i="1"/>
  <c r="Q14" i="1" s="1"/>
  <c r="S14" i="1" s="1"/>
  <c r="P10" i="1"/>
  <c r="Q10" i="1" s="1"/>
  <c r="S10" i="1" s="1"/>
  <c r="P6" i="1"/>
  <c r="Q6" i="1" s="1"/>
  <c r="S6" i="1" s="1"/>
  <c r="P17" i="1"/>
  <c r="Q17" i="1" s="1"/>
  <c r="S17" i="1" s="1"/>
  <c r="P13" i="1"/>
  <c r="Q13" i="1" s="1"/>
  <c r="S13" i="1" s="1"/>
  <c r="P9" i="1"/>
  <c r="Q9" i="1" s="1"/>
  <c r="S9" i="1" s="1"/>
  <c r="P12" i="1"/>
  <c r="Q12" i="1" s="1"/>
  <c r="S12" i="1" s="1"/>
  <c r="P8" i="1"/>
  <c r="Q8" i="1" s="1"/>
  <c r="S8" i="1" s="1"/>
  <c r="P16" i="1"/>
  <c r="Q16" i="1" s="1"/>
  <c r="S16" i="1" s="1"/>
  <c r="P15" i="1"/>
  <c r="Q15" i="1" s="1"/>
  <c r="S15" i="1" s="1"/>
  <c r="P11" i="1"/>
  <c r="Q11" i="1" s="1"/>
  <c r="S11" i="1" s="1"/>
  <c r="P7" i="1"/>
  <c r="Q7" i="1" s="1"/>
  <c r="S7" i="1" s="1"/>
  <c r="O23" i="1"/>
  <c r="H34" i="1" s="1"/>
  <c r="Y16" i="1"/>
  <c r="P5" i="1"/>
  <c r="Q5" i="1" s="1"/>
  <c r="S5" i="1" s="1"/>
  <c r="S23" i="1" l="1"/>
  <c r="V23" i="1" l="1"/>
  <c r="E16" i="2"/>
  <c r="E18" i="2" s="1"/>
</calcChain>
</file>

<file path=xl/sharedStrings.xml><?xml version="1.0" encoding="utf-8"?>
<sst xmlns="http://schemas.openxmlformats.org/spreadsheetml/2006/main" count="76" uniqueCount="57">
  <si>
    <t>Floor</t>
  </si>
  <si>
    <t>Type of Structure</t>
  </si>
  <si>
    <r>
      <t xml:space="preserve">Area 
</t>
    </r>
    <r>
      <rPr>
        <b/>
        <i/>
        <sz val="10"/>
        <rFont val="Calibri"/>
        <family val="2"/>
        <scheme val="minor"/>
      </rPr>
      <t>(in sq.ft)</t>
    </r>
  </si>
  <si>
    <r>
      <t xml:space="preserve">Height </t>
    </r>
    <r>
      <rPr>
        <b/>
        <i/>
        <sz val="10"/>
        <rFont val="Calibri"/>
        <family val="2"/>
        <scheme val="minor"/>
      </rPr>
      <t>(in ft.)</t>
    </r>
  </si>
  <si>
    <t>Year of Construction</t>
  </si>
  <si>
    <t xml:space="preserve">Year of Valuation </t>
  </si>
  <si>
    <r>
      <t xml:space="preserve">Total Life Consumed 
</t>
    </r>
    <r>
      <rPr>
        <b/>
        <i/>
        <sz val="10"/>
        <rFont val="Calibri"/>
        <family val="2"/>
        <scheme val="minor"/>
      </rPr>
      <t>(in years)</t>
    </r>
  </si>
  <si>
    <r>
      <t xml:space="preserve">Total Economical Life
</t>
    </r>
    <r>
      <rPr>
        <b/>
        <i/>
        <sz val="10"/>
        <rFont val="Calibri"/>
        <family val="2"/>
        <scheme val="minor"/>
      </rPr>
      <t>(in years)</t>
    </r>
  </si>
  <si>
    <t>Salvage value</t>
  </si>
  <si>
    <t>Depreciation Rate</t>
  </si>
  <si>
    <r>
      <t xml:space="preserve">Plinth Area  Rate 
</t>
    </r>
    <r>
      <rPr>
        <b/>
        <i/>
        <sz val="10"/>
        <rFont val="Calibri"/>
        <family val="2"/>
        <scheme val="minor"/>
      </rPr>
      <t>(in per sq.ft)</t>
    </r>
  </si>
  <si>
    <t>Gross Replacement Value
(INR)</t>
  </si>
  <si>
    <t>Discounting Factor</t>
  </si>
  <si>
    <t>Depreciated Replacement Market Value
(INR)</t>
  </si>
  <si>
    <t>Remarks:</t>
  </si>
  <si>
    <t>Particulars</t>
  </si>
  <si>
    <t>Depreciation amount
(INR)</t>
  </si>
  <si>
    <t xml:space="preserve">Depreciation factor
 </t>
  </si>
  <si>
    <t>Production Area</t>
  </si>
  <si>
    <t>QC Area</t>
  </si>
  <si>
    <t>RM Storage</t>
  </si>
  <si>
    <t>Utility Area</t>
  </si>
  <si>
    <t>Barrel Shed</t>
  </si>
  <si>
    <t>Hazardous waste</t>
  </si>
  <si>
    <t>Non-Hazardous waste</t>
  </si>
  <si>
    <t>UPS Room</t>
  </si>
  <si>
    <t>Finished Goods Storage</t>
  </si>
  <si>
    <t>Tin Shed bounded on R.C.C Column</t>
  </si>
  <si>
    <t>New Shed</t>
  </si>
  <si>
    <t>Packing material storage shed</t>
  </si>
  <si>
    <t>Admin Block</t>
  </si>
  <si>
    <t>Weigh Bridge</t>
  </si>
  <si>
    <t>Guard Room</t>
  </si>
  <si>
    <t>2. Construction year of the plant has been taken from the information provided by the client during site survey.</t>
  </si>
  <si>
    <t>Land Rate</t>
  </si>
  <si>
    <t>Value</t>
  </si>
  <si>
    <t>Total</t>
  </si>
  <si>
    <t>Boundary</t>
  </si>
  <si>
    <t>Dev.</t>
  </si>
  <si>
    <t>Sr. No.</t>
  </si>
  <si>
    <t>3. All the structure that has been taken in the area statement belonging to M/s. Shalimar Paints Limited, Chennai plant.</t>
  </si>
  <si>
    <t>R.C.C Framed structure</t>
  </si>
  <si>
    <t>BUILDING VALUATION
M/S SHALIMAR PAINTS LIMITED, CHENNAI</t>
  </si>
  <si>
    <t>P&amp;M</t>
  </si>
  <si>
    <t>Building</t>
  </si>
  <si>
    <t>1.3 Cr. per Acre</t>
  </si>
  <si>
    <t>LT Panel Room</t>
  </si>
  <si>
    <t>MCC Panel</t>
  </si>
  <si>
    <t>Production Area (Ground)</t>
  </si>
  <si>
    <t>Production Area (High)</t>
  </si>
  <si>
    <r>
      <t xml:space="preserve">1. </t>
    </r>
    <r>
      <rPr>
        <i/>
        <sz val="10"/>
        <color theme="1"/>
        <rFont val="Calibri"/>
        <family val="2"/>
        <scheme val="minor"/>
      </rPr>
      <t>All the details pertaining to the building area statement such as area, floor,type of structure is as per the measurment carried out, during site survey as no approved plan was provided by the company and the same has been relied upon and considered for the valuation.</t>
    </r>
  </si>
  <si>
    <r>
      <t>4.</t>
    </r>
    <r>
      <rPr>
        <i/>
        <sz val="10"/>
        <color theme="1"/>
        <rFont val="Calibri"/>
        <family val="2"/>
        <scheme val="minor"/>
      </rPr>
      <t xml:space="preserve"> The valuation is done by considering the depreciated replacement cost approach.</t>
    </r>
  </si>
  <si>
    <t>Guideline Rate</t>
  </si>
  <si>
    <t>per Acre</t>
  </si>
  <si>
    <t>Land Area</t>
  </si>
  <si>
    <t>Acre</t>
  </si>
  <si>
    <t>Guideline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</si>
</sst>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_(* #,##0.00_);_(* \(#,##0.0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name val="Calibri"/>
      <family val="2"/>
      <scheme val="minor"/>
    </font>
    <font>
      <b/>
      <i/>
      <sz val="10"/>
      <name val="Calibri"/>
      <family val="2"/>
      <scheme val="minor"/>
    </font>
    <font>
      <b/>
      <i/>
      <sz val="11"/>
      <color theme="1"/>
      <name val="Calibri"/>
      <family val="2"/>
      <scheme val="minor"/>
    </font>
    <font>
      <sz val="11"/>
      <name val="Calibri"/>
      <family val="2"/>
      <scheme val="minor"/>
    </font>
    <font>
      <sz val="10"/>
      <color theme="1"/>
      <name val="Arial"/>
      <family val="2"/>
    </font>
    <font>
      <i/>
      <sz val="11"/>
      <color theme="1"/>
      <name val="Calibri"/>
      <family val="2"/>
      <scheme val="minor"/>
    </font>
    <font>
      <i/>
      <sz val="10"/>
      <color theme="1"/>
      <name val="Calibri"/>
      <family val="2"/>
      <scheme val="minor"/>
    </font>
  </fonts>
  <fills count="6">
    <fill>
      <patternFill patternType="none"/>
    </fill>
    <fill>
      <patternFill patternType="gray125"/>
    </fill>
    <fill>
      <patternFill patternType="solid">
        <fgColor rgb="FF1E3661"/>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0.14999847407452621"/>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165" fontId="1" fillId="0" borderId="0" applyFont="0" applyFill="0" applyBorder="0" applyAlignment="0" applyProtection="0"/>
  </cellStyleXfs>
  <cellXfs count="51">
    <xf numFmtId="0" fontId="0" fillId="0" borderId="0" xfId="0"/>
    <xf numFmtId="0" fontId="4" fillId="3" borderId="4" xfId="0" applyFont="1" applyFill="1" applyBorder="1" applyAlignment="1">
      <alignment horizontal="center" vertical="center" wrapText="1"/>
    </xf>
    <xf numFmtId="0" fontId="0" fillId="0" borderId="0" xfId="0" applyAlignment="1">
      <alignment wrapText="1"/>
    </xf>
    <xf numFmtId="164" fontId="0" fillId="0" borderId="0" xfId="1" applyNumberFormat="1" applyFont="1"/>
    <xf numFmtId="43" fontId="0" fillId="0" borderId="0" xfId="0" applyNumberFormat="1"/>
    <xf numFmtId="43" fontId="0" fillId="0" borderId="0" xfId="1" applyFont="1"/>
    <xf numFmtId="0" fontId="0" fillId="4" borderId="0" xfId="0" applyFill="1"/>
    <xf numFmtId="0" fontId="7" fillId="4" borderId="4" xfId="0" applyFont="1" applyFill="1" applyBorder="1" applyAlignment="1">
      <alignment horizontal="center" vertical="center" wrapText="1"/>
    </xf>
    <xf numFmtId="9" fontId="7" fillId="4" borderId="4" xfId="0" applyNumberFormat="1" applyFont="1" applyFill="1" applyBorder="1" applyAlignment="1">
      <alignment horizontal="center" vertical="center" wrapText="1"/>
    </xf>
    <xf numFmtId="0" fontId="7" fillId="4" borderId="5" xfId="0" applyFont="1" applyFill="1" applyBorder="1" applyAlignment="1">
      <alignment horizontal="center" vertical="center" wrapText="1"/>
    </xf>
    <xf numFmtId="4" fontId="8" fillId="0" borderId="0" xfId="0" applyNumberFormat="1" applyFont="1"/>
    <xf numFmtId="0" fontId="2" fillId="0" borderId="0" xfId="0" applyFont="1"/>
    <xf numFmtId="0" fontId="2" fillId="0" borderId="0" xfId="0" applyFont="1" applyAlignment="1">
      <alignment wrapText="1"/>
    </xf>
    <xf numFmtId="0" fontId="2" fillId="4" borderId="0" xfId="0" applyFont="1" applyFill="1"/>
    <xf numFmtId="164" fontId="7" fillId="4" borderId="4" xfId="1" applyNumberFormat="1" applyFont="1" applyFill="1" applyBorder="1" applyAlignment="1">
      <alignment horizontal="center" vertical="center" wrapText="1"/>
    </xf>
    <xf numFmtId="9" fontId="0" fillId="0" borderId="0" xfId="0" applyNumberFormat="1"/>
    <xf numFmtId="164" fontId="0" fillId="0" borderId="0" xfId="0" applyNumberFormat="1"/>
    <xf numFmtId="0" fontId="7" fillId="0" borderId="4" xfId="0" applyFont="1" applyBorder="1" applyAlignment="1">
      <alignment horizontal="center" vertical="center" wrapText="1"/>
    </xf>
    <xf numFmtId="43" fontId="7" fillId="4" borderId="4" xfId="1" applyFont="1" applyFill="1" applyBorder="1" applyAlignment="1">
      <alignment horizontal="center" vertical="center" wrapText="1"/>
    </xf>
    <xf numFmtId="43" fontId="2" fillId="0" borderId="0" xfId="1" applyFont="1"/>
    <xf numFmtId="164" fontId="4" fillId="3" borderId="4" xfId="1" applyNumberFormat="1" applyFont="1" applyFill="1" applyBorder="1" applyAlignment="1">
      <alignment horizontal="center" vertical="center" wrapText="1"/>
    </xf>
    <xf numFmtId="164" fontId="7" fillId="3" borderId="4" xfId="1" applyNumberFormat="1" applyFont="1" applyFill="1" applyBorder="1" applyAlignment="1">
      <alignment horizontal="center" vertical="center" wrapText="1"/>
    </xf>
    <xf numFmtId="164" fontId="7" fillId="0" borderId="4" xfId="1" applyNumberFormat="1" applyFont="1" applyBorder="1" applyAlignment="1">
      <alignment horizontal="center" vertical="center" wrapText="1"/>
    </xf>
    <xf numFmtId="164" fontId="2" fillId="0" borderId="0" xfId="1" applyNumberFormat="1" applyFont="1"/>
    <xf numFmtId="0" fontId="4" fillId="5" borderId="4" xfId="0" applyFont="1" applyFill="1" applyBorder="1" applyAlignment="1">
      <alignment horizontal="center" vertical="center" wrapText="1"/>
    </xf>
    <xf numFmtId="164" fontId="4" fillId="5" borderId="5" xfId="1" applyNumberFormat="1" applyFont="1" applyFill="1" applyBorder="1" applyAlignment="1">
      <alignment horizontal="center" vertical="center" wrapText="1"/>
    </xf>
    <xf numFmtId="43" fontId="4" fillId="5" borderId="5" xfId="1" applyFont="1" applyFill="1" applyBorder="1" applyAlignment="1">
      <alignment horizontal="center" vertical="center" wrapText="1"/>
    </xf>
    <xf numFmtId="43" fontId="4" fillId="5" borderId="4" xfId="1" applyFont="1" applyFill="1" applyBorder="1" applyAlignment="1">
      <alignment horizontal="center" vertical="center" wrapText="1"/>
    </xf>
    <xf numFmtId="164" fontId="4" fillId="5" borderId="4" xfId="1" applyNumberFormat="1" applyFont="1" applyFill="1" applyBorder="1" applyAlignment="1">
      <alignment horizontal="center" vertical="center" wrapText="1"/>
    </xf>
    <xf numFmtId="3" fontId="8" fillId="0" borderId="0" xfId="0" applyNumberFormat="1" applyFont="1"/>
    <xf numFmtId="43" fontId="4" fillId="5" borderId="1" xfId="1" applyFont="1" applyFill="1" applyBorder="1" applyAlignment="1">
      <alignment vertical="center" wrapText="1"/>
    </xf>
    <xf numFmtId="43" fontId="4" fillId="5" borderId="2" xfId="1" applyFont="1" applyFill="1" applyBorder="1" applyAlignment="1">
      <alignment vertical="center" wrapText="1"/>
    </xf>
    <xf numFmtId="43" fontId="4" fillId="5" borderId="3" xfId="1" applyFont="1" applyFill="1" applyBorder="1" applyAlignment="1">
      <alignmen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cellXfs>
  <cellStyles count="3">
    <cellStyle name="Comma" xfId="1" builtinId="3"/>
    <cellStyle name="Comma 4" xfId="2" xr:uid="{2ABDBECB-4D70-41A6-A661-928A8AFC0AD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AG51"/>
  <sheetViews>
    <sheetView topLeftCell="A16" zoomScale="85" zoomScaleNormal="85" workbookViewId="0">
      <selection activeCell="J11" sqref="J11"/>
    </sheetView>
  </sheetViews>
  <sheetFormatPr defaultRowHeight="15" x14ac:dyDescent="0.25"/>
  <cols>
    <col min="1" max="1" width="7.42578125" customWidth="1"/>
    <col min="2" max="2" width="6.28515625" customWidth="1"/>
    <col min="3" max="3" width="15" customWidth="1"/>
    <col min="4" max="4" width="13.140625" hidden="1" customWidth="1"/>
    <col min="5" max="5" width="19" style="2" customWidth="1"/>
    <col min="6" max="6" width="9.28515625" style="3" bestFit="1" customWidth="1"/>
    <col min="7" max="7" width="8.7109375" style="6" customWidth="1"/>
    <col min="8" max="8" width="12.85546875" customWidth="1"/>
    <col min="9" max="9" width="9.5703125" hidden="1" customWidth="1"/>
    <col min="10" max="10" width="10.42578125" customWidth="1"/>
    <col min="11" max="11" width="11" customWidth="1"/>
    <col min="12" max="12" width="7.85546875" hidden="1" customWidth="1"/>
    <col min="13" max="13" width="8.140625" hidden="1" customWidth="1"/>
    <col min="14" max="14" width="9.7109375" customWidth="1"/>
    <col min="15" max="15" width="12.7109375" style="3" bestFit="1" customWidth="1"/>
    <col min="16" max="16" width="12.42578125" style="5" hidden="1" customWidth="1"/>
    <col min="17" max="17" width="13.42578125" style="3" hidden="1" customWidth="1"/>
    <col min="18" max="18" width="11.7109375" style="3" hidden="1" customWidth="1"/>
    <col min="19" max="19" width="13.140625" style="3" bestFit="1" customWidth="1"/>
    <col min="20" max="20" width="10.28515625" bestFit="1" customWidth="1"/>
    <col min="21" max="21" width="14.28515625" style="3" bestFit="1" customWidth="1"/>
    <col min="22" max="22" width="15.42578125" bestFit="1" customWidth="1"/>
    <col min="23" max="23" width="14.42578125" bestFit="1" customWidth="1"/>
    <col min="24" max="24" width="15.42578125" bestFit="1" customWidth="1"/>
    <col min="25" max="25" width="22.28515625" customWidth="1"/>
    <col min="26" max="26" width="14.42578125" bestFit="1" customWidth="1"/>
    <col min="27" max="27" width="10.28515625" bestFit="1" customWidth="1"/>
    <col min="30" max="30" width="14.42578125" bestFit="1" customWidth="1"/>
  </cols>
  <sheetData>
    <row r="3" spans="2:27" ht="37.5" customHeight="1" x14ac:dyDescent="0.25">
      <c r="B3" s="36" t="s">
        <v>42</v>
      </c>
      <c r="C3" s="37"/>
      <c r="D3" s="37"/>
      <c r="E3" s="37"/>
      <c r="F3" s="37"/>
      <c r="G3" s="37"/>
      <c r="H3" s="37"/>
      <c r="I3" s="37"/>
      <c r="J3" s="37"/>
      <c r="K3" s="37"/>
      <c r="L3" s="37"/>
      <c r="M3" s="37"/>
      <c r="N3" s="37"/>
      <c r="O3" s="37"/>
      <c r="P3" s="37"/>
      <c r="Q3" s="37"/>
      <c r="R3" s="37"/>
      <c r="S3" s="38"/>
    </row>
    <row r="4" spans="2:27" ht="70.5" x14ac:dyDescent="0.25">
      <c r="B4" s="1" t="s">
        <v>39</v>
      </c>
      <c r="C4" s="1" t="s">
        <v>15</v>
      </c>
      <c r="D4" s="1" t="s">
        <v>0</v>
      </c>
      <c r="E4" s="1" t="s">
        <v>1</v>
      </c>
      <c r="F4" s="20" t="s">
        <v>2</v>
      </c>
      <c r="G4" s="1" t="s">
        <v>3</v>
      </c>
      <c r="H4" s="1" t="s">
        <v>4</v>
      </c>
      <c r="I4" s="24" t="s">
        <v>5</v>
      </c>
      <c r="J4" s="1" t="s">
        <v>6</v>
      </c>
      <c r="K4" s="1" t="s">
        <v>7</v>
      </c>
      <c r="L4" s="24" t="s">
        <v>8</v>
      </c>
      <c r="M4" s="24" t="s">
        <v>9</v>
      </c>
      <c r="N4" s="1" t="s">
        <v>10</v>
      </c>
      <c r="O4" s="20" t="s">
        <v>11</v>
      </c>
      <c r="P4" s="27" t="s">
        <v>17</v>
      </c>
      <c r="Q4" s="28" t="s">
        <v>16</v>
      </c>
      <c r="R4" s="28" t="s">
        <v>12</v>
      </c>
      <c r="S4" s="20" t="s">
        <v>13</v>
      </c>
      <c r="U4"/>
      <c r="X4" s="15">
        <v>0.2</v>
      </c>
      <c r="Y4">
        <v>18000</v>
      </c>
      <c r="Z4">
        <f>X4*Y4</f>
        <v>3600</v>
      </c>
      <c r="AA4">
        <f>Y4-Z4</f>
        <v>14400</v>
      </c>
    </row>
    <row r="5" spans="2:27" ht="30" x14ac:dyDescent="0.25">
      <c r="B5" s="7">
        <v>1</v>
      </c>
      <c r="C5" s="7" t="s">
        <v>18</v>
      </c>
      <c r="D5" s="7"/>
      <c r="E5" s="7" t="s">
        <v>27</v>
      </c>
      <c r="F5" s="14">
        <f>(85*256)-(50*45)</f>
        <v>19510</v>
      </c>
      <c r="G5" s="7">
        <v>35</v>
      </c>
      <c r="H5" s="9">
        <v>2012</v>
      </c>
      <c r="I5" s="7">
        <v>2023</v>
      </c>
      <c r="J5" s="7">
        <f>I5-H5</f>
        <v>11</v>
      </c>
      <c r="K5" s="7" t="str">
        <f>IF(E5="R.C.C","65","45")</f>
        <v>45</v>
      </c>
      <c r="L5" s="8">
        <v>0.1</v>
      </c>
      <c r="M5" s="7">
        <f>(1-L5)/K5</f>
        <v>0.02</v>
      </c>
      <c r="N5" s="7">
        <v>1100</v>
      </c>
      <c r="O5" s="14">
        <f>N5*F5</f>
        <v>21461000</v>
      </c>
      <c r="P5" s="18">
        <f>M5*J5</f>
        <v>0.22</v>
      </c>
      <c r="Q5" s="14">
        <f>O5*P5</f>
        <v>4721420</v>
      </c>
      <c r="R5" s="21"/>
      <c r="S5" s="22">
        <f>O5-Q5</f>
        <v>16739580</v>
      </c>
      <c r="U5"/>
    </row>
    <row r="6" spans="2:27" ht="30" x14ac:dyDescent="0.25">
      <c r="B6" s="7">
        <v>2</v>
      </c>
      <c r="C6" s="7" t="s">
        <v>19</v>
      </c>
      <c r="D6" s="7"/>
      <c r="E6" s="7" t="s">
        <v>27</v>
      </c>
      <c r="F6" s="14">
        <f>72*22</f>
        <v>1584</v>
      </c>
      <c r="G6" s="7">
        <v>35</v>
      </c>
      <c r="H6" s="9">
        <v>2012</v>
      </c>
      <c r="I6" s="7">
        <v>2023</v>
      </c>
      <c r="J6" s="7">
        <f t="shared" ref="J6:J22" si="0">I6-H6</f>
        <v>11</v>
      </c>
      <c r="K6" s="7" t="str">
        <f t="shared" ref="K6:K16" si="1">IF(E6="R.C.C","65","45")</f>
        <v>45</v>
      </c>
      <c r="L6" s="8">
        <v>0.1</v>
      </c>
      <c r="M6" s="7">
        <f t="shared" ref="M6:M22" si="2">(1-L6)/K6</f>
        <v>0.02</v>
      </c>
      <c r="N6" s="7">
        <v>1100</v>
      </c>
      <c r="O6" s="14">
        <f t="shared" ref="O6:O22" si="3">N6*F6</f>
        <v>1742400</v>
      </c>
      <c r="P6" s="18">
        <f t="shared" ref="P6:P22" si="4">M6*J6</f>
        <v>0.22</v>
      </c>
      <c r="Q6" s="14">
        <f t="shared" ref="Q6:Q22" si="5">O6*P6</f>
        <v>383328</v>
      </c>
      <c r="R6" s="21"/>
      <c r="S6" s="22">
        <f t="shared" ref="S6:S22" si="6">O6-Q6</f>
        <v>1359072</v>
      </c>
      <c r="U6"/>
    </row>
    <row r="7" spans="2:27" ht="30" x14ac:dyDescent="0.25">
      <c r="B7" s="7">
        <v>3</v>
      </c>
      <c r="C7" s="7" t="s">
        <v>20</v>
      </c>
      <c r="D7" s="7"/>
      <c r="E7" s="7" t="s">
        <v>27</v>
      </c>
      <c r="F7" s="14">
        <f>188*140</f>
        <v>26320</v>
      </c>
      <c r="G7" s="7">
        <v>35</v>
      </c>
      <c r="H7" s="9">
        <v>2012</v>
      </c>
      <c r="I7" s="7">
        <v>2023</v>
      </c>
      <c r="J7" s="7">
        <f t="shared" si="0"/>
        <v>11</v>
      </c>
      <c r="K7" s="7" t="str">
        <f t="shared" si="1"/>
        <v>45</v>
      </c>
      <c r="L7" s="8">
        <v>0.1</v>
      </c>
      <c r="M7" s="7">
        <f t="shared" si="2"/>
        <v>0.02</v>
      </c>
      <c r="N7" s="7">
        <v>1100</v>
      </c>
      <c r="O7" s="14">
        <f t="shared" si="3"/>
        <v>28952000</v>
      </c>
      <c r="P7" s="18">
        <f t="shared" si="4"/>
        <v>0.22</v>
      </c>
      <c r="Q7" s="14">
        <f t="shared" si="5"/>
        <v>6369440</v>
      </c>
      <c r="R7" s="21"/>
      <c r="S7" s="22">
        <f t="shared" si="6"/>
        <v>22582560</v>
      </c>
      <c r="U7"/>
      <c r="V7">
        <v>262362</v>
      </c>
    </row>
    <row r="8" spans="2:27" ht="30" x14ac:dyDescent="0.25">
      <c r="B8" s="7">
        <v>4</v>
      </c>
      <c r="C8" s="7" t="s">
        <v>21</v>
      </c>
      <c r="D8" s="7"/>
      <c r="E8" s="7" t="s">
        <v>27</v>
      </c>
      <c r="F8" s="14">
        <f>35*20</f>
        <v>700</v>
      </c>
      <c r="G8" s="7">
        <v>15</v>
      </c>
      <c r="H8" s="9">
        <v>2012</v>
      </c>
      <c r="I8" s="7">
        <v>2023</v>
      </c>
      <c r="J8" s="7">
        <f t="shared" si="0"/>
        <v>11</v>
      </c>
      <c r="K8" s="7" t="str">
        <f t="shared" si="1"/>
        <v>45</v>
      </c>
      <c r="L8" s="8">
        <v>0.1</v>
      </c>
      <c r="M8" s="7">
        <f t="shared" si="2"/>
        <v>0.02</v>
      </c>
      <c r="N8" s="7">
        <v>1000</v>
      </c>
      <c r="O8" s="14">
        <f t="shared" si="3"/>
        <v>700000</v>
      </c>
      <c r="P8" s="18">
        <f t="shared" si="4"/>
        <v>0.22</v>
      </c>
      <c r="Q8" s="14">
        <f t="shared" si="5"/>
        <v>154000</v>
      </c>
      <c r="R8" s="21"/>
      <c r="S8" s="22">
        <f t="shared" si="6"/>
        <v>546000</v>
      </c>
      <c r="U8"/>
      <c r="V8" s="5">
        <f>SUM(V7:V7)</f>
        <v>262362</v>
      </c>
      <c r="W8">
        <v>10.763999999999999</v>
      </c>
    </row>
    <row r="9" spans="2:27" ht="30" x14ac:dyDescent="0.25">
      <c r="B9" s="7">
        <v>5</v>
      </c>
      <c r="C9" s="7" t="s">
        <v>22</v>
      </c>
      <c r="D9" s="7"/>
      <c r="E9" s="7" t="s">
        <v>27</v>
      </c>
      <c r="F9" s="14">
        <f>88*40</f>
        <v>3520</v>
      </c>
      <c r="G9" s="7">
        <v>25</v>
      </c>
      <c r="H9" s="9">
        <v>2012</v>
      </c>
      <c r="I9" s="7">
        <v>2023</v>
      </c>
      <c r="J9" s="7">
        <f t="shared" si="0"/>
        <v>11</v>
      </c>
      <c r="K9" s="7" t="str">
        <f t="shared" si="1"/>
        <v>45</v>
      </c>
      <c r="L9" s="8">
        <v>0.1</v>
      </c>
      <c r="M9" s="7">
        <f t="shared" si="2"/>
        <v>0.02</v>
      </c>
      <c r="N9" s="7">
        <v>1000</v>
      </c>
      <c r="O9" s="14">
        <f t="shared" si="3"/>
        <v>3520000</v>
      </c>
      <c r="P9" s="18">
        <f t="shared" si="4"/>
        <v>0.22</v>
      </c>
      <c r="Q9" s="14">
        <f t="shared" si="5"/>
        <v>774400</v>
      </c>
      <c r="R9" s="21"/>
      <c r="S9" s="22">
        <f t="shared" si="6"/>
        <v>2745600</v>
      </c>
      <c r="U9"/>
      <c r="W9" s="5">
        <f>V8*W8</f>
        <v>2824064.568</v>
      </c>
    </row>
    <row r="10" spans="2:27" ht="30" x14ac:dyDescent="0.25">
      <c r="B10" s="7">
        <v>6</v>
      </c>
      <c r="C10" s="7" t="s">
        <v>23</v>
      </c>
      <c r="D10" s="7"/>
      <c r="E10" s="7" t="s">
        <v>27</v>
      </c>
      <c r="F10" s="14">
        <f>45*30</f>
        <v>1350</v>
      </c>
      <c r="G10" s="7">
        <v>25</v>
      </c>
      <c r="H10" s="9">
        <v>2012</v>
      </c>
      <c r="I10" s="7">
        <v>2023</v>
      </c>
      <c r="J10" s="7">
        <f t="shared" si="0"/>
        <v>11</v>
      </c>
      <c r="K10" s="7" t="str">
        <f t="shared" si="1"/>
        <v>45</v>
      </c>
      <c r="L10" s="8">
        <v>0.1</v>
      </c>
      <c r="M10" s="7">
        <f t="shared" si="2"/>
        <v>0.02</v>
      </c>
      <c r="N10" s="7">
        <v>1000</v>
      </c>
      <c r="O10" s="14">
        <f t="shared" si="3"/>
        <v>1350000</v>
      </c>
      <c r="P10" s="18">
        <f t="shared" si="4"/>
        <v>0.22</v>
      </c>
      <c r="Q10" s="14">
        <f t="shared" si="5"/>
        <v>297000</v>
      </c>
      <c r="R10" s="21"/>
      <c r="S10" s="22">
        <f t="shared" si="6"/>
        <v>1053000</v>
      </c>
      <c r="U10"/>
    </row>
    <row r="11" spans="2:27" ht="30" x14ac:dyDescent="0.25">
      <c r="B11" s="7">
        <v>7</v>
      </c>
      <c r="C11" s="7" t="s">
        <v>24</v>
      </c>
      <c r="D11" s="7"/>
      <c r="E11" s="7" t="s">
        <v>27</v>
      </c>
      <c r="F11" s="14">
        <f>45*30</f>
        <v>1350</v>
      </c>
      <c r="G11" s="7">
        <v>25</v>
      </c>
      <c r="H11" s="9">
        <v>2012</v>
      </c>
      <c r="I11" s="7">
        <v>2023</v>
      </c>
      <c r="J11" s="7">
        <f t="shared" si="0"/>
        <v>11</v>
      </c>
      <c r="K11" s="7" t="str">
        <f t="shared" si="1"/>
        <v>45</v>
      </c>
      <c r="L11" s="8">
        <v>0.1</v>
      </c>
      <c r="M11" s="7">
        <f t="shared" si="2"/>
        <v>0.02</v>
      </c>
      <c r="N11" s="7">
        <v>1000</v>
      </c>
      <c r="O11" s="14">
        <f t="shared" si="3"/>
        <v>1350000</v>
      </c>
      <c r="P11" s="18">
        <f t="shared" si="4"/>
        <v>0.22</v>
      </c>
      <c r="Q11" s="14">
        <f t="shared" si="5"/>
        <v>297000</v>
      </c>
      <c r="R11" s="21"/>
      <c r="S11" s="22">
        <f t="shared" si="6"/>
        <v>1053000</v>
      </c>
      <c r="U11"/>
      <c r="W11" s="10">
        <v>53654.59</v>
      </c>
      <c r="X11">
        <v>14000</v>
      </c>
      <c r="Y11" s="5">
        <f>W11*X11</f>
        <v>751164260</v>
      </c>
    </row>
    <row r="12" spans="2:27" ht="30" x14ac:dyDescent="0.25">
      <c r="B12" s="7">
        <v>8</v>
      </c>
      <c r="C12" s="7" t="s">
        <v>46</v>
      </c>
      <c r="D12" s="7"/>
      <c r="E12" s="7" t="s">
        <v>41</v>
      </c>
      <c r="F12" s="14">
        <f>35*35</f>
        <v>1225</v>
      </c>
      <c r="G12" s="7">
        <v>15</v>
      </c>
      <c r="H12" s="9">
        <v>2012</v>
      </c>
      <c r="I12" s="7">
        <v>2023</v>
      </c>
      <c r="J12" s="7">
        <f t="shared" si="0"/>
        <v>11</v>
      </c>
      <c r="K12" s="7">
        <v>65</v>
      </c>
      <c r="L12" s="8">
        <v>0.1</v>
      </c>
      <c r="M12" s="7">
        <f t="shared" si="2"/>
        <v>1.3846153846153847E-2</v>
      </c>
      <c r="N12" s="7">
        <v>1400</v>
      </c>
      <c r="O12" s="14">
        <f t="shared" si="3"/>
        <v>1715000</v>
      </c>
      <c r="P12" s="18">
        <f t="shared" si="4"/>
        <v>0.15230769230769231</v>
      </c>
      <c r="Q12" s="14">
        <f t="shared" si="5"/>
        <v>261207.69230769231</v>
      </c>
      <c r="R12" s="21"/>
      <c r="S12" s="22">
        <f t="shared" si="6"/>
        <v>1453792.3076923077</v>
      </c>
      <c r="U12"/>
      <c r="Y12">
        <v>167519663</v>
      </c>
    </row>
    <row r="13" spans="2:27" ht="30" x14ac:dyDescent="0.25">
      <c r="B13" s="7">
        <v>9</v>
      </c>
      <c r="C13" s="7" t="s">
        <v>25</v>
      </c>
      <c r="D13" s="7"/>
      <c r="E13" s="7" t="s">
        <v>41</v>
      </c>
      <c r="F13" s="14">
        <f>35*30</f>
        <v>1050</v>
      </c>
      <c r="G13" s="7">
        <v>15</v>
      </c>
      <c r="H13" s="9">
        <v>2012</v>
      </c>
      <c r="I13" s="7">
        <v>2023</v>
      </c>
      <c r="J13" s="7">
        <f t="shared" si="0"/>
        <v>11</v>
      </c>
      <c r="K13" s="7">
        <v>65</v>
      </c>
      <c r="L13" s="8">
        <v>0.1</v>
      </c>
      <c r="M13" s="7">
        <f t="shared" si="2"/>
        <v>1.3846153846153847E-2</v>
      </c>
      <c r="N13" s="7">
        <v>1400</v>
      </c>
      <c r="O13" s="14">
        <f t="shared" si="3"/>
        <v>1470000</v>
      </c>
      <c r="P13" s="18">
        <f t="shared" si="4"/>
        <v>0.15230769230769231</v>
      </c>
      <c r="Q13" s="14">
        <f t="shared" si="5"/>
        <v>223892.30769230769</v>
      </c>
      <c r="R13" s="21"/>
      <c r="S13" s="22">
        <f t="shared" si="6"/>
        <v>1246107.6923076923</v>
      </c>
      <c r="U13"/>
      <c r="Y13">
        <v>2800000</v>
      </c>
    </row>
    <row r="14" spans="2:27" ht="30" x14ac:dyDescent="0.25">
      <c r="B14" s="7">
        <v>10</v>
      </c>
      <c r="C14" s="7" t="s">
        <v>47</v>
      </c>
      <c r="D14" s="7"/>
      <c r="E14" s="7" t="s">
        <v>41</v>
      </c>
      <c r="F14" s="14">
        <f>40*20</f>
        <v>800</v>
      </c>
      <c r="G14" s="7">
        <v>15</v>
      </c>
      <c r="H14" s="9">
        <v>2012</v>
      </c>
      <c r="I14" s="7">
        <v>2023</v>
      </c>
      <c r="J14" s="7">
        <f t="shared" si="0"/>
        <v>11</v>
      </c>
      <c r="K14" s="7">
        <v>65</v>
      </c>
      <c r="L14" s="8">
        <v>0.1</v>
      </c>
      <c r="M14" s="7">
        <f t="shared" si="2"/>
        <v>1.3846153846153847E-2</v>
      </c>
      <c r="N14" s="7">
        <v>1400</v>
      </c>
      <c r="O14" s="14">
        <f t="shared" si="3"/>
        <v>1120000</v>
      </c>
      <c r="P14" s="18">
        <f t="shared" si="4"/>
        <v>0.15230769230769231</v>
      </c>
      <c r="Q14" s="14">
        <f t="shared" si="5"/>
        <v>170584.61538461538</v>
      </c>
      <c r="R14" s="21"/>
      <c r="S14" s="22">
        <f t="shared" si="6"/>
        <v>949415.38461538462</v>
      </c>
      <c r="U14"/>
      <c r="Y14" s="4">
        <f>SUM(Y11:Y13)</f>
        <v>921483923</v>
      </c>
    </row>
    <row r="15" spans="2:27" ht="30" x14ac:dyDescent="0.25">
      <c r="B15" s="7">
        <v>11</v>
      </c>
      <c r="C15" s="7" t="s">
        <v>26</v>
      </c>
      <c r="D15" s="7"/>
      <c r="E15" s="7" t="s">
        <v>27</v>
      </c>
      <c r="F15" s="14">
        <f>90*180</f>
        <v>16200</v>
      </c>
      <c r="G15" s="7">
        <v>45</v>
      </c>
      <c r="H15" s="9">
        <v>2012</v>
      </c>
      <c r="I15" s="7">
        <v>2023</v>
      </c>
      <c r="J15" s="7">
        <f t="shared" si="0"/>
        <v>11</v>
      </c>
      <c r="K15" s="7" t="str">
        <f t="shared" si="1"/>
        <v>45</v>
      </c>
      <c r="L15" s="8">
        <v>0.1</v>
      </c>
      <c r="M15" s="7">
        <f t="shared" si="2"/>
        <v>0.02</v>
      </c>
      <c r="N15" s="7">
        <v>1100</v>
      </c>
      <c r="O15" s="14">
        <f t="shared" si="3"/>
        <v>17820000</v>
      </c>
      <c r="P15" s="18">
        <f t="shared" si="4"/>
        <v>0.22</v>
      </c>
      <c r="Q15" s="14">
        <f t="shared" si="5"/>
        <v>3920400</v>
      </c>
      <c r="R15" s="21"/>
      <c r="S15" s="22">
        <f t="shared" si="6"/>
        <v>13899600</v>
      </c>
      <c r="U15"/>
      <c r="Y15" s="4">
        <f>Y14*Z15</f>
        <v>783261334.54999995</v>
      </c>
      <c r="Z15">
        <v>0.85</v>
      </c>
      <c r="AA15">
        <v>0.75</v>
      </c>
    </row>
    <row r="16" spans="2:27" ht="30" x14ac:dyDescent="0.25">
      <c r="B16" s="7">
        <v>12</v>
      </c>
      <c r="C16" s="17" t="s">
        <v>28</v>
      </c>
      <c r="D16" s="7"/>
      <c r="E16" s="7" t="s">
        <v>27</v>
      </c>
      <c r="F16" s="14">
        <f>260*90</f>
        <v>23400</v>
      </c>
      <c r="G16" s="7">
        <v>45</v>
      </c>
      <c r="H16" s="9">
        <v>2012</v>
      </c>
      <c r="I16" s="7">
        <v>2023</v>
      </c>
      <c r="J16" s="7">
        <f t="shared" si="0"/>
        <v>11</v>
      </c>
      <c r="K16" s="7" t="str">
        <f t="shared" si="1"/>
        <v>45</v>
      </c>
      <c r="L16" s="8">
        <v>0.1</v>
      </c>
      <c r="M16" s="7">
        <f t="shared" si="2"/>
        <v>0.02</v>
      </c>
      <c r="N16" s="7">
        <v>800</v>
      </c>
      <c r="O16" s="14">
        <f t="shared" si="3"/>
        <v>18720000</v>
      </c>
      <c r="P16" s="18">
        <f t="shared" si="4"/>
        <v>0.22</v>
      </c>
      <c r="Q16" s="14">
        <f t="shared" si="5"/>
        <v>4118400</v>
      </c>
      <c r="R16" s="21"/>
      <c r="S16" s="22">
        <f t="shared" si="6"/>
        <v>14601600</v>
      </c>
      <c r="U16"/>
      <c r="Y16" s="4">
        <f>Y14*AA15</f>
        <v>691112942.25</v>
      </c>
    </row>
    <row r="17" spans="2:33" ht="45" x14ac:dyDescent="0.25">
      <c r="B17" s="7">
        <v>13</v>
      </c>
      <c r="C17" s="7" t="s">
        <v>29</v>
      </c>
      <c r="D17" s="7"/>
      <c r="E17" s="7" t="s">
        <v>41</v>
      </c>
      <c r="F17" s="14">
        <f>120*180</f>
        <v>21600</v>
      </c>
      <c r="G17" s="7">
        <v>15</v>
      </c>
      <c r="H17" s="9">
        <v>2012</v>
      </c>
      <c r="I17" s="7">
        <v>2023</v>
      </c>
      <c r="J17" s="7">
        <f t="shared" si="0"/>
        <v>11</v>
      </c>
      <c r="K17" s="7">
        <v>65</v>
      </c>
      <c r="L17" s="8">
        <v>0.1</v>
      </c>
      <c r="M17" s="7">
        <f t="shared" si="2"/>
        <v>1.3846153846153847E-2</v>
      </c>
      <c r="N17" s="7">
        <v>1400</v>
      </c>
      <c r="O17" s="14">
        <f t="shared" si="3"/>
        <v>30240000</v>
      </c>
      <c r="P17" s="18">
        <f t="shared" si="4"/>
        <v>0.15230769230769231</v>
      </c>
      <c r="Q17" s="14">
        <f t="shared" si="5"/>
        <v>4605784.615384615</v>
      </c>
      <c r="R17" s="21"/>
      <c r="S17" s="22">
        <f t="shared" si="6"/>
        <v>25634215.384615384</v>
      </c>
      <c r="U17"/>
    </row>
    <row r="18" spans="2:33" ht="30" x14ac:dyDescent="0.25">
      <c r="B18" s="7">
        <v>14</v>
      </c>
      <c r="C18" s="7" t="s">
        <v>48</v>
      </c>
      <c r="D18" s="7"/>
      <c r="E18" s="7" t="s">
        <v>41</v>
      </c>
      <c r="F18" s="14">
        <f>(255*85)-(40*40)</f>
        <v>20075</v>
      </c>
      <c r="G18" s="7">
        <v>18</v>
      </c>
      <c r="H18" s="9">
        <v>2012</v>
      </c>
      <c r="I18" s="7">
        <v>2023</v>
      </c>
      <c r="J18" s="7">
        <f t="shared" si="0"/>
        <v>11</v>
      </c>
      <c r="K18" s="7">
        <v>65</v>
      </c>
      <c r="L18" s="8">
        <v>0.1</v>
      </c>
      <c r="M18" s="7">
        <f t="shared" si="2"/>
        <v>1.3846153846153847E-2</v>
      </c>
      <c r="N18" s="7">
        <v>1400</v>
      </c>
      <c r="O18" s="14">
        <f t="shared" si="3"/>
        <v>28105000</v>
      </c>
      <c r="P18" s="18">
        <f t="shared" si="4"/>
        <v>0.15230769230769231</v>
      </c>
      <c r="Q18" s="14">
        <f t="shared" si="5"/>
        <v>4280607.692307692</v>
      </c>
      <c r="R18" s="21"/>
      <c r="S18" s="22">
        <f t="shared" si="6"/>
        <v>23824392.307692308</v>
      </c>
      <c r="U18"/>
    </row>
    <row r="19" spans="2:33" ht="30" x14ac:dyDescent="0.25">
      <c r="B19" s="7">
        <v>15</v>
      </c>
      <c r="C19" s="7" t="s">
        <v>49</v>
      </c>
      <c r="D19" s="7"/>
      <c r="E19" s="7" t="s">
        <v>27</v>
      </c>
      <c r="F19" s="14">
        <f>40*40</f>
        <v>1600</v>
      </c>
      <c r="G19" s="7">
        <v>45</v>
      </c>
      <c r="H19" s="9">
        <v>2012</v>
      </c>
      <c r="I19" s="7">
        <v>2023</v>
      </c>
      <c r="J19" s="7">
        <f t="shared" si="0"/>
        <v>11</v>
      </c>
      <c r="K19" s="7">
        <v>45</v>
      </c>
      <c r="L19" s="8">
        <v>0.1</v>
      </c>
      <c r="M19" s="7">
        <f t="shared" si="2"/>
        <v>0.02</v>
      </c>
      <c r="N19" s="7">
        <v>1100</v>
      </c>
      <c r="O19" s="14">
        <f t="shared" si="3"/>
        <v>1760000</v>
      </c>
      <c r="P19" s="18">
        <f t="shared" si="4"/>
        <v>0.22</v>
      </c>
      <c r="Q19" s="14">
        <f t="shared" si="5"/>
        <v>387200</v>
      </c>
      <c r="R19" s="21"/>
      <c r="S19" s="22">
        <f t="shared" si="6"/>
        <v>1372800</v>
      </c>
      <c r="U19"/>
    </row>
    <row r="20" spans="2:33" ht="30" x14ac:dyDescent="0.25">
      <c r="B20" s="7">
        <v>16</v>
      </c>
      <c r="C20" s="7" t="s">
        <v>30</v>
      </c>
      <c r="D20" s="7"/>
      <c r="E20" s="7" t="s">
        <v>41</v>
      </c>
      <c r="F20" s="14">
        <f>80*40</f>
        <v>3200</v>
      </c>
      <c r="G20" s="7">
        <v>10</v>
      </c>
      <c r="H20" s="9">
        <v>2012</v>
      </c>
      <c r="I20" s="7">
        <v>2023</v>
      </c>
      <c r="J20" s="7">
        <f t="shared" si="0"/>
        <v>11</v>
      </c>
      <c r="K20" s="7">
        <v>65</v>
      </c>
      <c r="L20" s="8">
        <v>0.1</v>
      </c>
      <c r="M20" s="7">
        <f t="shared" si="2"/>
        <v>1.3846153846153847E-2</v>
      </c>
      <c r="N20" s="7">
        <v>1500</v>
      </c>
      <c r="O20" s="14">
        <f t="shared" si="3"/>
        <v>4800000</v>
      </c>
      <c r="P20" s="18">
        <f t="shared" si="4"/>
        <v>0.15230769230769231</v>
      </c>
      <c r="Q20" s="14">
        <f t="shared" si="5"/>
        <v>731076.92307692312</v>
      </c>
      <c r="R20" s="21"/>
      <c r="S20" s="22">
        <f t="shared" si="6"/>
        <v>4068923.076923077</v>
      </c>
      <c r="U20"/>
    </row>
    <row r="21" spans="2:33" ht="30" x14ac:dyDescent="0.25">
      <c r="B21" s="7">
        <v>17</v>
      </c>
      <c r="C21" s="7" t="s">
        <v>31</v>
      </c>
      <c r="D21" s="7"/>
      <c r="E21" s="7" t="s">
        <v>41</v>
      </c>
      <c r="F21" s="14">
        <f>10*10</f>
        <v>100</v>
      </c>
      <c r="G21" s="7">
        <v>10</v>
      </c>
      <c r="H21" s="9">
        <v>2012</v>
      </c>
      <c r="I21" s="7">
        <v>2023</v>
      </c>
      <c r="J21" s="7">
        <f t="shared" si="0"/>
        <v>11</v>
      </c>
      <c r="K21" s="7">
        <v>65</v>
      </c>
      <c r="L21" s="8">
        <v>0.1</v>
      </c>
      <c r="M21" s="7">
        <f t="shared" si="2"/>
        <v>1.3846153846153847E-2</v>
      </c>
      <c r="N21" s="7">
        <v>1200</v>
      </c>
      <c r="O21" s="14">
        <f t="shared" si="3"/>
        <v>120000</v>
      </c>
      <c r="P21" s="18">
        <f t="shared" si="4"/>
        <v>0.15230769230769231</v>
      </c>
      <c r="Q21" s="14">
        <f t="shared" si="5"/>
        <v>18276.923076923078</v>
      </c>
      <c r="R21" s="21"/>
      <c r="S21" s="22">
        <f t="shared" si="6"/>
        <v>101723.07692307692</v>
      </c>
      <c r="U21"/>
    </row>
    <row r="22" spans="2:33" ht="30" x14ac:dyDescent="0.25">
      <c r="B22" s="7">
        <v>18</v>
      </c>
      <c r="C22" s="7" t="s">
        <v>32</v>
      </c>
      <c r="D22" s="7"/>
      <c r="E22" s="7" t="s">
        <v>41</v>
      </c>
      <c r="F22" s="14">
        <f>15*10</f>
        <v>150</v>
      </c>
      <c r="G22" s="7">
        <v>10</v>
      </c>
      <c r="H22" s="9">
        <v>2012</v>
      </c>
      <c r="I22" s="7">
        <v>2023</v>
      </c>
      <c r="J22" s="7">
        <f t="shared" si="0"/>
        <v>11</v>
      </c>
      <c r="K22" s="7">
        <v>65</v>
      </c>
      <c r="L22" s="8">
        <v>0.1</v>
      </c>
      <c r="M22" s="7">
        <f t="shared" si="2"/>
        <v>1.3846153846153847E-2</v>
      </c>
      <c r="N22" s="7">
        <v>1200</v>
      </c>
      <c r="O22" s="14">
        <f t="shared" si="3"/>
        <v>180000</v>
      </c>
      <c r="P22" s="18">
        <f t="shared" si="4"/>
        <v>0.15230769230769231</v>
      </c>
      <c r="Q22" s="14">
        <f t="shared" si="5"/>
        <v>27415.384615384617</v>
      </c>
      <c r="R22" s="21"/>
      <c r="S22" s="22">
        <f t="shared" si="6"/>
        <v>152584.61538461538</v>
      </c>
      <c r="U22"/>
    </row>
    <row r="23" spans="2:33" ht="24" customHeight="1" x14ac:dyDescent="0.25">
      <c r="B23" s="48" t="s">
        <v>36</v>
      </c>
      <c r="C23" s="49"/>
      <c r="D23" s="49"/>
      <c r="E23" s="50"/>
      <c r="F23" s="25">
        <f>SUM(F5:F22)</f>
        <v>143734</v>
      </c>
      <c r="G23" s="30"/>
      <c r="H23" s="31"/>
      <c r="I23" s="31"/>
      <c r="J23" s="31"/>
      <c r="K23" s="31"/>
      <c r="L23" s="31"/>
      <c r="M23" s="31"/>
      <c r="N23" s="32"/>
      <c r="O23" s="25">
        <f>SUM(O5:O22)</f>
        <v>165125400</v>
      </c>
      <c r="P23" s="26"/>
      <c r="Q23" s="25"/>
      <c r="R23" s="25">
        <f>SUM(R5:R22)</f>
        <v>0</v>
      </c>
      <c r="S23" s="25">
        <f>SUM(S5:S22)</f>
        <v>133383965.84615384</v>
      </c>
      <c r="T23">
        <v>751164260</v>
      </c>
      <c r="U23">
        <v>2800000</v>
      </c>
      <c r="V23" s="4">
        <f>U23+T23+S23</f>
        <v>887348225.84615386</v>
      </c>
    </row>
    <row r="24" spans="2:33" x14ac:dyDescent="0.25">
      <c r="B24" s="39" t="s">
        <v>14</v>
      </c>
      <c r="C24" s="40"/>
      <c r="D24" s="40"/>
      <c r="E24" s="40"/>
      <c r="F24" s="40"/>
      <c r="G24" s="40"/>
      <c r="H24" s="40"/>
      <c r="I24" s="40"/>
      <c r="J24" s="40"/>
      <c r="K24" s="40"/>
      <c r="L24" s="40"/>
      <c r="M24" s="40"/>
      <c r="N24" s="40"/>
      <c r="O24" s="40"/>
      <c r="P24" s="40"/>
      <c r="Q24" s="40"/>
      <c r="R24" s="40"/>
      <c r="S24" s="41"/>
      <c r="U24"/>
      <c r="V24">
        <v>911700000</v>
      </c>
      <c r="W24">
        <v>0.85</v>
      </c>
      <c r="X24" s="5">
        <f>W24*V24</f>
        <v>774945000</v>
      </c>
    </row>
    <row r="25" spans="2:33" ht="29.25" customHeight="1" x14ac:dyDescent="0.25">
      <c r="B25" s="42" t="s">
        <v>50</v>
      </c>
      <c r="C25" s="43"/>
      <c r="D25" s="43"/>
      <c r="E25" s="43"/>
      <c r="F25" s="43"/>
      <c r="G25" s="43"/>
      <c r="H25" s="43"/>
      <c r="I25" s="43"/>
      <c r="J25" s="43"/>
      <c r="K25" s="43"/>
      <c r="L25" s="43"/>
      <c r="M25" s="43"/>
      <c r="N25" s="43"/>
      <c r="O25" s="43"/>
      <c r="P25" s="43"/>
      <c r="Q25" s="43"/>
      <c r="R25" s="43"/>
      <c r="S25" s="44"/>
      <c r="U25"/>
      <c r="V25">
        <v>911700000</v>
      </c>
      <c r="W25">
        <v>0.75</v>
      </c>
      <c r="X25" s="5">
        <f>W25*V25</f>
        <v>683775000</v>
      </c>
      <c r="Y25" s="5"/>
      <c r="Z25" s="5"/>
      <c r="AA25" s="5"/>
      <c r="AB25" s="5"/>
      <c r="AC25" s="5"/>
      <c r="AD25" s="5"/>
      <c r="AE25" s="5"/>
      <c r="AF25" s="5"/>
      <c r="AG25" s="5"/>
    </row>
    <row r="26" spans="2:33" x14ac:dyDescent="0.25">
      <c r="B26" s="45" t="s">
        <v>33</v>
      </c>
      <c r="C26" s="46"/>
      <c r="D26" s="46"/>
      <c r="E26" s="46"/>
      <c r="F26" s="46"/>
      <c r="G26" s="46"/>
      <c r="H26" s="46"/>
      <c r="I26" s="46"/>
      <c r="J26" s="46"/>
      <c r="K26" s="46"/>
      <c r="L26" s="46"/>
      <c r="M26" s="46"/>
      <c r="N26" s="46"/>
      <c r="O26" s="46"/>
      <c r="P26" s="46"/>
      <c r="Q26" s="46"/>
      <c r="R26" s="46"/>
      <c r="S26" s="47"/>
      <c r="U26"/>
      <c r="V26">
        <v>285992600</v>
      </c>
      <c r="W26">
        <v>0.75</v>
      </c>
      <c r="X26" s="5">
        <f>W26*V26</f>
        <v>214494450</v>
      </c>
      <c r="Y26" s="5"/>
      <c r="Z26" s="5"/>
      <c r="AA26" s="5"/>
      <c r="AB26" s="5"/>
      <c r="AC26" s="5"/>
      <c r="AD26" s="5"/>
      <c r="AE26" s="5"/>
      <c r="AF26" s="5"/>
      <c r="AG26" s="5"/>
    </row>
    <row r="27" spans="2:33" ht="15" customHeight="1" x14ac:dyDescent="0.25">
      <c r="B27" s="45" t="s">
        <v>40</v>
      </c>
      <c r="C27" s="46"/>
      <c r="D27" s="46"/>
      <c r="E27" s="46"/>
      <c r="F27" s="46"/>
      <c r="G27" s="46"/>
      <c r="H27" s="46"/>
      <c r="I27" s="46"/>
      <c r="J27" s="46"/>
      <c r="K27" s="46"/>
      <c r="L27" s="46"/>
      <c r="M27" s="46"/>
      <c r="N27" s="46"/>
      <c r="O27" s="46"/>
      <c r="P27" s="46"/>
      <c r="Q27" s="46"/>
      <c r="R27" s="46"/>
      <c r="S27" s="47"/>
      <c r="U27"/>
      <c r="Y27" s="5"/>
      <c r="Z27" s="3"/>
      <c r="AA27" s="5"/>
      <c r="AB27" s="5"/>
      <c r="AC27" s="5"/>
      <c r="AD27" s="5"/>
      <c r="AE27" s="5"/>
      <c r="AF27" s="5"/>
      <c r="AG27" s="5"/>
    </row>
    <row r="28" spans="2:33" x14ac:dyDescent="0.25">
      <c r="B28" s="33" t="s">
        <v>51</v>
      </c>
      <c r="C28" s="34"/>
      <c r="D28" s="34"/>
      <c r="E28" s="34"/>
      <c r="F28" s="34"/>
      <c r="G28" s="34"/>
      <c r="H28" s="34"/>
      <c r="I28" s="34"/>
      <c r="J28" s="34"/>
      <c r="K28" s="34"/>
      <c r="L28" s="34"/>
      <c r="M28" s="34"/>
      <c r="N28" s="34"/>
      <c r="O28" s="34"/>
      <c r="P28" s="34"/>
      <c r="Q28" s="34"/>
      <c r="R28" s="34"/>
      <c r="S28" s="35"/>
      <c r="U28"/>
      <c r="Y28" s="5"/>
      <c r="Z28" s="5"/>
      <c r="AA28" s="5"/>
      <c r="AB28" s="5"/>
      <c r="AC28" s="5"/>
      <c r="AD28" s="5"/>
      <c r="AE28" s="5"/>
      <c r="AF28" s="5"/>
      <c r="AG28" s="5"/>
    </row>
    <row r="29" spans="2:33" x14ac:dyDescent="0.25">
      <c r="B29" s="11"/>
      <c r="C29" s="11"/>
      <c r="D29" s="11"/>
      <c r="E29" s="12"/>
      <c r="F29" s="23"/>
      <c r="G29" s="13"/>
      <c r="H29" s="11"/>
      <c r="I29" s="11"/>
      <c r="J29" s="11"/>
      <c r="K29" s="11"/>
      <c r="L29" s="11"/>
      <c r="M29" s="11"/>
      <c r="N29" s="11"/>
      <c r="O29" s="23">
        <f>O23*0.8</f>
        <v>132100320</v>
      </c>
      <c r="P29" s="19"/>
      <c r="Q29" s="23"/>
      <c r="R29" s="23"/>
      <c r="S29" s="23"/>
      <c r="U29"/>
      <c r="Y29" s="5"/>
      <c r="Z29" s="5"/>
      <c r="AA29" s="5"/>
      <c r="AB29" s="5"/>
      <c r="AC29" s="5"/>
      <c r="AD29" s="5"/>
      <c r="AE29" s="5"/>
      <c r="AF29" s="5"/>
      <c r="AG29" s="5"/>
    </row>
    <row r="30" spans="2:33" x14ac:dyDescent="0.25">
      <c r="D30" s="3"/>
      <c r="E30"/>
      <c r="G30"/>
      <c r="U30"/>
      <c r="V30" s="29">
        <v>143734</v>
      </c>
      <c r="Y30" s="5"/>
      <c r="Z30" s="5"/>
      <c r="AA30" s="5"/>
      <c r="AB30" s="5"/>
      <c r="AC30" s="5"/>
      <c r="AD30" s="5"/>
      <c r="AE30" s="5"/>
      <c r="AF30" s="5"/>
      <c r="AG30" s="5"/>
    </row>
    <row r="31" spans="2:33" ht="28.5" customHeight="1" x14ac:dyDescent="0.25">
      <c r="D31" s="3"/>
      <c r="E31"/>
      <c r="G31"/>
      <c r="U31"/>
      <c r="V31">
        <f>V30/10.7639</f>
        <v>13353.338473973188</v>
      </c>
      <c r="Y31" s="5"/>
      <c r="Z31" s="5"/>
      <c r="AA31" s="5"/>
      <c r="AB31" s="5"/>
      <c r="AC31" s="5"/>
      <c r="AD31" s="5"/>
      <c r="AE31" s="5"/>
      <c r="AF31" s="5"/>
      <c r="AG31" s="5"/>
    </row>
    <row r="32" spans="2:33" x14ac:dyDescent="0.25">
      <c r="C32" s="3"/>
      <c r="D32" s="3"/>
      <c r="E32"/>
      <c r="G32"/>
      <c r="U32"/>
      <c r="Y32" s="5"/>
      <c r="Z32" s="5"/>
      <c r="AA32" s="5"/>
      <c r="AB32" s="5"/>
      <c r="AC32" s="5"/>
      <c r="AD32" s="5"/>
      <c r="AE32" s="5"/>
      <c r="AF32" s="5"/>
      <c r="AG32" s="5"/>
    </row>
    <row r="33" spans="4:33" x14ac:dyDescent="0.25">
      <c r="D33" s="3"/>
      <c r="E33"/>
      <c r="G33"/>
      <c r="U33"/>
      <c r="Y33" s="5"/>
      <c r="Z33" s="5"/>
      <c r="AA33" s="5"/>
      <c r="AB33" s="5"/>
      <c r="AC33" s="5"/>
      <c r="AD33" s="5"/>
      <c r="AE33" s="5"/>
      <c r="AF33" s="5"/>
      <c r="AG33" s="5"/>
    </row>
    <row r="34" spans="4:33" ht="15.75" customHeight="1" x14ac:dyDescent="0.25">
      <c r="D34" s="3"/>
      <c r="E34"/>
      <c r="G34">
        <v>0.8</v>
      </c>
      <c r="H34" s="16">
        <f>G34*O23</f>
        <v>132100320</v>
      </c>
      <c r="U34"/>
    </row>
    <row r="35" spans="4:33" ht="15" customHeight="1" x14ac:dyDescent="0.25">
      <c r="D35" s="3"/>
      <c r="E35"/>
      <c r="G35"/>
      <c r="U35"/>
    </row>
    <row r="36" spans="4:33" x14ac:dyDescent="0.25">
      <c r="D36" s="3"/>
      <c r="E36"/>
      <c r="G36"/>
      <c r="U36"/>
    </row>
    <row r="37" spans="4:33" x14ac:dyDescent="0.25">
      <c r="D37" s="3"/>
      <c r="E37"/>
      <c r="G37"/>
      <c r="U37"/>
    </row>
    <row r="38" spans="4:33" x14ac:dyDescent="0.25">
      <c r="D38" s="3"/>
      <c r="E38"/>
      <c r="G38"/>
      <c r="U38"/>
    </row>
    <row r="39" spans="4:33" x14ac:dyDescent="0.25">
      <c r="D39" s="3"/>
      <c r="E39"/>
      <c r="G39"/>
      <c r="U39"/>
    </row>
    <row r="40" spans="4:33" x14ac:dyDescent="0.25">
      <c r="D40" s="3"/>
      <c r="E40"/>
      <c r="G40"/>
      <c r="U40"/>
    </row>
    <row r="41" spans="4:33" x14ac:dyDescent="0.25">
      <c r="K41">
        <v>516</v>
      </c>
    </row>
    <row r="42" spans="4:33" x14ac:dyDescent="0.25">
      <c r="I42">
        <f>11000*0.7</f>
        <v>7699.9999999999991</v>
      </c>
    </row>
    <row r="43" spans="4:33" x14ac:dyDescent="0.25">
      <c r="I43" s="3"/>
      <c r="J43" s="4"/>
      <c r="K43" s="4"/>
    </row>
    <row r="46" spans="4:33" x14ac:dyDescent="0.25">
      <c r="J46" s="4"/>
      <c r="K46" s="4"/>
    </row>
    <row r="51" spans="10:10" x14ac:dyDescent="0.25">
      <c r="J51" s="3"/>
    </row>
  </sheetData>
  <mergeCells count="7">
    <mergeCell ref="B28:S28"/>
    <mergeCell ref="B3:S3"/>
    <mergeCell ref="B24:S24"/>
    <mergeCell ref="B25:S25"/>
    <mergeCell ref="B27:S27"/>
    <mergeCell ref="B26:S26"/>
    <mergeCell ref="B23:E2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9BFBB-9846-46DF-827F-2AB3351F164F}">
  <dimension ref="D3:M24"/>
  <sheetViews>
    <sheetView tabSelected="1" workbookViewId="0">
      <selection activeCell="K13" sqref="K13"/>
    </sheetView>
  </sheetViews>
  <sheetFormatPr defaultRowHeight="15" x14ac:dyDescent="0.25"/>
  <cols>
    <col min="4" max="4" width="15.42578125" bestFit="1" customWidth="1"/>
    <col min="5" max="5" width="15.28515625" style="3" bestFit="1" customWidth="1"/>
    <col min="6" max="6" width="10" bestFit="1" customWidth="1"/>
    <col min="8" max="8" width="11.5703125" bestFit="1" customWidth="1"/>
    <col min="9" max="9" width="12.5703125" bestFit="1" customWidth="1"/>
  </cols>
  <sheetData>
    <row r="3" spans="4:6" x14ac:dyDescent="0.25">
      <c r="D3" t="s">
        <v>54</v>
      </c>
      <c r="E3" s="5">
        <v>8.31</v>
      </c>
      <c r="F3" t="s">
        <v>55</v>
      </c>
    </row>
    <row r="4" spans="4:6" x14ac:dyDescent="0.25">
      <c r="D4" t="s">
        <v>34</v>
      </c>
      <c r="E4" s="3" t="s">
        <v>45</v>
      </c>
    </row>
    <row r="5" spans="4:6" x14ac:dyDescent="0.25">
      <c r="D5" t="s">
        <v>35</v>
      </c>
      <c r="E5" s="3">
        <f>E3*1.3*10^7</f>
        <v>108030000.00000001</v>
      </c>
    </row>
    <row r="6" spans="4:6" x14ac:dyDescent="0.25">
      <c r="D6" t="s">
        <v>36</v>
      </c>
    </row>
    <row r="8" spans="4:6" x14ac:dyDescent="0.25">
      <c r="D8" t="s">
        <v>37</v>
      </c>
      <c r="E8" s="3">
        <f>848*4000</f>
        <v>3392000</v>
      </c>
    </row>
    <row r="9" spans="4:6" x14ac:dyDescent="0.25">
      <c r="D9" t="s">
        <v>38</v>
      </c>
      <c r="E9" s="3">
        <v>800000</v>
      </c>
    </row>
    <row r="10" spans="4:6" x14ac:dyDescent="0.25">
      <c r="D10" t="s">
        <v>36</v>
      </c>
      <c r="E10" s="3">
        <f>SUM(E8:E9)</f>
        <v>4192000</v>
      </c>
      <c r="F10" s="3">
        <v>4000000</v>
      </c>
    </row>
    <row r="11" spans="4:6" x14ac:dyDescent="0.25">
      <c r="F11" s="3"/>
    </row>
    <row r="12" spans="4:6" x14ac:dyDescent="0.25">
      <c r="D12" t="s">
        <v>52</v>
      </c>
      <c r="E12" s="3">
        <v>900000</v>
      </c>
      <c r="F12" s="3" t="s">
        <v>53</v>
      </c>
    </row>
    <row r="13" spans="4:6" x14ac:dyDescent="0.25">
      <c r="D13" t="s">
        <v>56</v>
      </c>
      <c r="E13" s="23">
        <f>E12*E3</f>
        <v>7479000</v>
      </c>
      <c r="F13" s="3"/>
    </row>
    <row r="14" spans="4:6" x14ac:dyDescent="0.25">
      <c r="F14" s="3"/>
    </row>
    <row r="16" spans="4:6" x14ac:dyDescent="0.25">
      <c r="D16" t="s">
        <v>44</v>
      </c>
      <c r="E16" s="3">
        <f>Building!S23</f>
        <v>133383965.84615384</v>
      </c>
    </row>
    <row r="17" spans="4:13" x14ac:dyDescent="0.25">
      <c r="D17" t="s">
        <v>43</v>
      </c>
      <c r="E17" s="3">
        <v>195910421.94926736</v>
      </c>
    </row>
    <row r="18" spans="4:13" x14ac:dyDescent="0.25">
      <c r="D18" t="s">
        <v>36</v>
      </c>
      <c r="E18" s="23">
        <f>E16+F10+E5+E17</f>
        <v>441324387.79542124</v>
      </c>
    </row>
    <row r="19" spans="4:13" x14ac:dyDescent="0.25">
      <c r="E19" s="3">
        <v>440000000</v>
      </c>
      <c r="M19">
        <f>34597/4046</f>
        <v>8.5509144834404349</v>
      </c>
    </row>
    <row r="20" spans="4:13" x14ac:dyDescent="0.25">
      <c r="E20" s="3">
        <f>E19*0.85</f>
        <v>374000000</v>
      </c>
    </row>
    <row r="21" spans="4:13" x14ac:dyDescent="0.25">
      <c r="E21" s="3">
        <f>E19*0.75</f>
        <v>330000000</v>
      </c>
    </row>
    <row r="23" spans="4:13" x14ac:dyDescent="0.25">
      <c r="H23" s="3">
        <v>13000000</v>
      </c>
      <c r="I23" s="3">
        <f>135*43560</f>
        <v>5880600</v>
      </c>
    </row>
    <row r="24" spans="4:13" x14ac:dyDescent="0.25">
      <c r="H24" s="4">
        <f>H23/43560</f>
        <v>298.43893480257117</v>
      </c>
      <c r="K24">
        <f>700/3000</f>
        <v>0.23333333333333334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Building</vt:lpstr>
      <vt:lpstr>Land &amp; Total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Babul</dc:creator>
  <cp:lastModifiedBy>Manas Upmanyu</cp:lastModifiedBy>
  <dcterms:created xsi:type="dcterms:W3CDTF">2022-11-04T05:05:51Z</dcterms:created>
  <dcterms:modified xsi:type="dcterms:W3CDTF">2023-09-04T05:56:48Z</dcterms:modified>
</cp:coreProperties>
</file>