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In Progress Files\Babul\WTC Gurgaon Valuation\"/>
    </mc:Choice>
  </mc:AlternateContent>
  <bookViews>
    <workbookView xWindow="0" yWindow="0" windowWidth="21600" windowHeight="9735" tabRatio="891" activeTab="7"/>
  </bookViews>
  <sheets>
    <sheet name="Main_O+R_WTC" sheetId="20" r:id="rId1"/>
    <sheet name="PH1_O+R" sheetId="23" r:id="rId2"/>
    <sheet name="Cost %" sheetId="47" r:id="rId3"/>
    <sheet name="Cost Schedule" sheetId="49" r:id="rId4"/>
    <sheet name="True Land Cost" sheetId="51" r:id="rId5"/>
    <sheet name="Incurred+Future Cost" sheetId="52" r:id="rId6"/>
    <sheet name="Sheet2" sheetId="54" r:id="rId7"/>
    <sheet name="Sheet1" sheetId="56" r:id="rId8"/>
    <sheet name="Sheet2 (2)" sheetId="57" r:id="rId9"/>
  </sheets>
  <externalReferences>
    <externalReference r:id="rId10"/>
  </externalReferences>
  <definedNames>
    <definedName name="\a">#N/A</definedName>
    <definedName name="\b">#N/A</definedName>
    <definedName name="\c">#N/A</definedName>
    <definedName name="\z">#N/A</definedName>
    <definedName name="___INDEX_SHEET___ASAP_Utilities">#REF!</definedName>
    <definedName name="___key1" hidden="1">#REF!</definedName>
    <definedName name="__123Graph_A" hidden="1">#REF!</definedName>
    <definedName name="__123Graph_B" hidden="1">#REF!</definedName>
    <definedName name="__123Graph_X" hidden="1">#REF!</definedName>
    <definedName name="__1Excel_BuiltIn_Print_Area_1_1_1">#REF!</definedName>
    <definedName name="__aaa5">#REF!</definedName>
    <definedName name="__key1" hidden="1">#REF!</definedName>
    <definedName name="__key10" hidden="1">#REF!</definedName>
    <definedName name="__xlnm.Print_Area">#REF!</definedName>
    <definedName name="_1__123Graph_ACHART_2" hidden="1">#REF!</definedName>
    <definedName name="_1Excel_BuiltIn_Print_Area_1">#REF!</definedName>
    <definedName name="_1Excel_BuiltIn_Print_Area_1_1">#REF!</definedName>
    <definedName name="_1Excel_BuiltIn_Print_Area_1_1_1">#REF!</definedName>
    <definedName name="_1Excel_BuiltIn_Print_Titles_1_1_1">#REF!</definedName>
    <definedName name="_2__123Graph_BCHART_2" hidden="1">#REF!</definedName>
    <definedName name="_2Excel_BuiltIn_Print_Area_5_2_2_1_1">#REF!</definedName>
    <definedName name="_2Excel_BuiltIn_Print_Titles_1_1_1_1">#REF!</definedName>
    <definedName name="_3__123Graph_CCHART_2" hidden="1">#REF!</definedName>
    <definedName name="_4__123Graph_XCHART_2" hidden="1">#REF!</definedName>
    <definedName name="_5Excel_BuiltIn_Print_Area_5_2_2_1_1">#REF!</definedName>
    <definedName name="_6Excel_BuiltIn_Print_Area_5_2_2_1_1">#REF!</definedName>
    <definedName name="_A">#N/A</definedName>
    <definedName name="_aaa10">#REF!</definedName>
    <definedName name="_aaa11">#REF!</definedName>
    <definedName name="_AAA12">#REF!</definedName>
    <definedName name="_AAA21">#REF!</definedName>
    <definedName name="_aaa5">#REF!</definedName>
    <definedName name="_AAA51">#REF!</definedName>
    <definedName name="_AAA53">#REF!</definedName>
    <definedName name="_aaa54">#REF!</definedName>
    <definedName name="_aaa545">#REF!</definedName>
    <definedName name="_aaa55">#REF!</definedName>
    <definedName name="_aaa56">#REF!</definedName>
    <definedName name="_AAA57">#REF!</definedName>
    <definedName name="_aaa59">#REF!</definedName>
    <definedName name="_AAA6">#REF!</definedName>
    <definedName name="_AAA7">#REF!</definedName>
    <definedName name="_AAD5">#REF!</definedName>
    <definedName name="_aad55">#REF!</definedName>
    <definedName name="_AAD56">#REF!</definedName>
    <definedName name="_AAD57">#REF!</definedName>
    <definedName name="_am1">#REF!</definedName>
    <definedName name="_B">#N/A</definedName>
    <definedName name="_BKC1">#REF!</definedName>
    <definedName name="_COL10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10">#REF!</definedName>
    <definedName name="_COL111">#REF!</definedName>
    <definedName name="_col112">#REF!</definedName>
    <definedName name="_col113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2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ill" hidden="1">#REF!</definedName>
    <definedName name="_foo1">#REF!</definedName>
    <definedName name="_foo2">#REF!</definedName>
    <definedName name="_foo3">#REF!</definedName>
    <definedName name="_FOO4">#REF!</definedName>
    <definedName name="_gm10">#REF!</definedName>
    <definedName name="_gm11">#REF!</definedName>
    <definedName name="_gm12">#REF!</definedName>
    <definedName name="_GM13">#REF!</definedName>
    <definedName name="_GM2">#REF!</definedName>
    <definedName name="_ind1">#REF!</definedName>
    <definedName name="_IND11">#REF!</definedName>
    <definedName name="_IND31">#REF!</definedName>
    <definedName name="_Key1" hidden="1">#REF!</definedName>
    <definedName name="_lsc44">#REF!</definedName>
    <definedName name="_NNN3">#REF!</definedName>
    <definedName name="_nnn45">#REF!</definedName>
    <definedName name="_nnn5">#REF!</definedName>
    <definedName name="_NNN55">#REF!</definedName>
    <definedName name="_ok1">#REF!</definedName>
    <definedName name="_ok10">#REF!</definedName>
    <definedName name="_Order1" hidden="1">255</definedName>
    <definedName name="_Parse_Out" hidden="1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_RAM12">#REF!</definedName>
    <definedName name="_RNN1">#REF!</definedName>
    <definedName name="_S12">#REF!</definedName>
    <definedName name="_sec1">#REF!</definedName>
    <definedName name="_sec111">#REF!</definedName>
    <definedName name="_sec12">#REF!</definedName>
    <definedName name="_SEC13">#REF!</definedName>
    <definedName name="_SEC15">#REF!</definedName>
    <definedName name="_Sec2">#REF!</definedName>
    <definedName name="_sec22">#REF!</definedName>
    <definedName name="_SEC23">#REF!</definedName>
    <definedName name="_sec3">#REF!</definedName>
    <definedName name="_SEC32">#REF!</definedName>
    <definedName name="_sec33">#REF!</definedName>
    <definedName name="_Sec4">#REF!</definedName>
    <definedName name="_sec44">#REF!</definedName>
    <definedName name="_sec45">#REF!</definedName>
    <definedName name="_SEC46">#REF!</definedName>
    <definedName name="_sec5">#REF!</definedName>
    <definedName name="_sec55">#REF!</definedName>
    <definedName name="_SEC56">#REF!</definedName>
    <definedName name="_sec6">#REF!</definedName>
    <definedName name="_sec66">#REF!</definedName>
    <definedName name="_SEC67">#REF!</definedName>
    <definedName name="_sec7">#REF!</definedName>
    <definedName name="_sec71">#REF!</definedName>
    <definedName name="_SEC72">#REF!</definedName>
    <definedName name="_SEC74">#REF!</definedName>
    <definedName name="_SEC75">#REF!</definedName>
    <definedName name="_SEC77">#REF!</definedName>
    <definedName name="_sec777">#REF!</definedName>
    <definedName name="_sec78">#REF!</definedName>
    <definedName name="_sec79">#REF!</definedName>
    <definedName name="_sec8">#REF!</definedName>
    <definedName name="_sec81">#REF!</definedName>
    <definedName name="_SEC82">#REF!</definedName>
    <definedName name="_SEC83">#REF!</definedName>
    <definedName name="_SEC87">#REF!</definedName>
    <definedName name="_SEC88">#REF!</definedName>
    <definedName name="_sec888">#REF!</definedName>
    <definedName name="_sec89">#REF!</definedName>
    <definedName name="_sec899">#REF!</definedName>
    <definedName name="_SEC9">#REF!</definedName>
    <definedName name="_SEC91">#REF!</definedName>
    <definedName name="_see2">#REF!</definedName>
    <definedName name="_SEE23">#REF!</definedName>
    <definedName name="_see44">#REF!</definedName>
    <definedName name="_SS2">#REF!</definedName>
    <definedName name="_sss1">#REF!</definedName>
    <definedName name="_sss10">#REF!</definedName>
    <definedName name="_sss11">#REF!</definedName>
    <definedName name="_SSS2">#REF!</definedName>
    <definedName name="_SSS3">#REF!</definedName>
    <definedName name="_SSS32">#REF!</definedName>
    <definedName name="_TB2">#REF!</definedName>
    <definedName name="_tk1">#REF!</definedName>
    <definedName name="_tk11">#REF!</definedName>
    <definedName name="_tk2">#REF!</definedName>
    <definedName name="a">#REF!</definedName>
    <definedName name="aa">#REF!</definedName>
    <definedName name="aaa">#REF!</definedName>
    <definedName name="AAA5A">#REF!</definedName>
    <definedName name="aaaa">#REF!</definedName>
    <definedName name="aaaa5">#REF!</definedName>
    <definedName name="aaaa55">#REF!</definedName>
    <definedName name="AAAA56">#REF!</definedName>
    <definedName name="aaaa59">#REF!</definedName>
    <definedName name="aaaaa">#REF!</definedName>
    <definedName name="AAAAA5">#REF!</definedName>
    <definedName name="additional">#REF!</definedName>
    <definedName name="additional1">#REF!</definedName>
    <definedName name="ADDITIONAL2">#REF!</definedName>
    <definedName name="Ag">#REF!</definedName>
    <definedName name="am">#REF!</definedName>
    <definedName name="amort">#REF!</definedName>
    <definedName name="amort2">#REF!</definedName>
    <definedName name="amortref">#REF!</definedName>
    <definedName name="AnnualInterestRate">#REF!</definedName>
    <definedName name="arp">#REF!</definedName>
    <definedName name="AS2DocOpenMode" hidden="1">"AS2DocumentEdit"</definedName>
    <definedName name="average_fit_out_charge_psf">#REF!</definedName>
    <definedName name="average_hire_charge_psf">#REF!</definedName>
    <definedName name="average_maintenance_charge_psf">#REF!</definedName>
    <definedName name="average_rental_charge_psf">#REF!</definedName>
    <definedName name="B">#REF!</definedName>
    <definedName name="Back">#REF!</definedName>
    <definedName name="bay">#REF!</definedName>
    <definedName name="beam">#REF!</definedName>
    <definedName name="beam1">#REF!</definedName>
    <definedName name="beam11">#REF!</definedName>
    <definedName name="beam2">#REF!</definedName>
    <definedName name="BEAM3">#REF!</definedName>
    <definedName name="BEAM5">#REF!</definedName>
    <definedName name="BEAMS">#REF!</definedName>
    <definedName name="bjlc">#REF!</definedName>
    <definedName name="bol">#REF!</definedName>
    <definedName name="boml">#REF!</definedName>
    <definedName name="botc">#REF!</definedName>
    <definedName name="botl">#REF!</definedName>
    <definedName name="botn">#REF!</definedName>
    <definedName name="Breaks">#REF!</definedName>
    <definedName name="bsec1">#REF!</definedName>
    <definedName name="BSEC11">#REF!</definedName>
    <definedName name="BSEC12">#REF!</definedName>
    <definedName name="bsec2">#REF!</definedName>
    <definedName name="bsec22">#REF!</definedName>
    <definedName name="bsec3">#REF!</definedName>
    <definedName name="BSEC31">#REF!</definedName>
    <definedName name="bsec33">#REF!</definedName>
    <definedName name="bsec35">#REF!</definedName>
    <definedName name="bsec4">#REF!</definedName>
    <definedName name="bsec44">#REF!</definedName>
    <definedName name="bsec45">#REF!</definedName>
    <definedName name="bsec5">#REF!</definedName>
    <definedName name="BSEC56">#REF!</definedName>
    <definedName name="bsec6">#REF!</definedName>
    <definedName name="bsec66">#REF!</definedName>
    <definedName name="BSEC67">#REF!</definedName>
    <definedName name="BSEC7">#REF!</definedName>
    <definedName name="bua">#REF!</definedName>
    <definedName name="C.L.WALL">#REF!</definedName>
    <definedName name="C.S.WALL">#REF!</definedName>
    <definedName name="Cashflow">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heck">#REF!</definedName>
    <definedName name="CHECK12">#REF!</definedName>
    <definedName name="check22">#REF!</definedName>
    <definedName name="checked">#REF!</definedName>
    <definedName name="ckeck1">#REF!</definedName>
    <definedName name="ckeck11">#REF!</definedName>
    <definedName name="CKECK12">#REF!</definedName>
    <definedName name="clintels">#REF!</definedName>
    <definedName name="Colbgl">#REF!</definedName>
    <definedName name="colbgl2">#REF!</definedName>
    <definedName name="COLSK10">#REF!</definedName>
    <definedName name="COLSK11">#REF!</definedName>
    <definedName name="COLSK16">#REF!</definedName>
    <definedName name="Columns">#REF!</definedName>
    <definedName name="construction_cost">#REF!</definedName>
    <definedName name="construction_loan_interest_rate">#REF!</definedName>
    <definedName name="Contents">#REF!</definedName>
    <definedName name="corp_income_tax">#REF!</definedName>
    <definedName name="Corporate_Income_Tax">#REF!</definedName>
    <definedName name="crores">#REF!</definedName>
    <definedName name="csshade">#REF!</definedName>
    <definedName name="cst">#REF!</definedName>
    <definedName name="D">#REF!</definedName>
    <definedName name="_xlnm.Database">#REF!</definedName>
    <definedName name="dc">#REF!</definedName>
    <definedName name="DDEEERERERE">#REF!</definedName>
    <definedName name="debt_cb">#REF!</definedName>
    <definedName name="debt_equity_ratio">#REF!</definedName>
    <definedName name="designed">#REF!</definedName>
    <definedName name="df">#REF!</definedName>
    <definedName name="dg">#REF!</definedName>
    <definedName name="docu">#REF!</definedName>
    <definedName name="dq">#REF!</definedName>
    <definedName name="dwdexcece">#REF!</definedName>
    <definedName name="E">#REF!</definedName>
    <definedName name="ee">#REF!</definedName>
    <definedName name="end">#REF!</definedName>
    <definedName name="End_Bal">#REF!</definedName>
    <definedName name="endbay">#REF!</definedName>
    <definedName name="EnteredEndDate">#REF!</definedName>
    <definedName name="ewewe">#REF!</definedName>
    <definedName name="ex_rate">#REF!</definedName>
    <definedName name="Excavation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5">#REF!</definedName>
    <definedName name="Excel_BuiltIn_Print_Area_1_6">#REF!</definedName>
    <definedName name="Excel_BuiltIn_Print_Area_2">#REF!</definedName>
    <definedName name="Excel_BuiltIn_Print_Area_2_1">#REF!</definedName>
    <definedName name="Excel_BuiltIn_Print_Area_5">#REF!</definedName>
    <definedName name="Excel_BuiltIn_Print_Area_5_2">#REF!</definedName>
    <definedName name="Excel_BuiltIn_Print_Area_5_2_1">#REF!</definedName>
    <definedName name="Excel_BuiltIn_Print_Area_5_2_1_1">#REF!</definedName>
    <definedName name="Excel_BuiltIn_Print_Area_5_2_2">#REF!</definedName>
    <definedName name="Excel_BuiltIn_Print_Area_5_2_2_1">#REF!</definedName>
    <definedName name="Excel_BuiltIn_Print_Area_5_2_2_1_1">#REF!</definedName>
    <definedName name="Excel_BuiltIn_Print_Area_5_2_2_1_1_1">#REF!</definedName>
    <definedName name="Excel_BuiltIn_Print_Area_5_2_2_2">#REF!</definedName>
    <definedName name="Excel_BuiltIn_Print_Area_5_2_2_2_1">#REF!</definedName>
    <definedName name="Excel_BuiltIn_Print_Area_5_2_2_3">#REF!</definedName>
    <definedName name="Excel_BuiltIn_Print_Area_5_2_2_3_1">#REF!</definedName>
    <definedName name="Excel_BuiltIn_Print_Area_5_2_2_4">#REF!</definedName>
    <definedName name="Excel_BuiltIn_Print_Area_5_2_2_4_1">#REF!</definedName>
    <definedName name="Excel_BuiltIn_Print_Area_5_2_2_5">#REF!</definedName>
    <definedName name="Excel_BuiltIn_Print_Area_5_2_2_5_1">#REF!</definedName>
    <definedName name="Excel_BuiltIn_Print_Area_5_3">#REF!</definedName>
    <definedName name="Excel_BuiltIn_Print_Area_5_4">#REF!</definedName>
    <definedName name="Excel_BuiltIn_Print_Titles_1">#REF!</definedName>
    <definedName name="Excel_BuiltIn_Print_Titles_1_1">#REF!</definedName>
    <definedName name="Excel_BuiltIn_Print_Titles_1_1_5">#REF!</definedName>
    <definedName name="excf">#REF!</definedName>
    <definedName name="EXIT">#REF!</definedName>
    <definedName name="fbeam">#REF!</definedName>
    <definedName name="FBEAM1">#REF!</definedName>
    <definedName name="fbeam10">#REF!</definedName>
    <definedName name="fbeam101">#REF!</definedName>
    <definedName name="FBEAM12">#REF!</definedName>
    <definedName name="FBEAM13">#REF!</definedName>
    <definedName name="fbeam2">#REF!</definedName>
    <definedName name="FBEAM23">#REF!</definedName>
    <definedName name="fdrop">#REF!</definedName>
    <definedName name="fdrop1">#REF!</definedName>
    <definedName name="fdrop10">#REF!</definedName>
    <definedName name="fdrop101">#REF!</definedName>
    <definedName name="fdrop102">#REF!</definedName>
    <definedName name="FDROP11">#REF!</definedName>
    <definedName name="fdrop111">#REF!</definedName>
    <definedName name="fdrop12">#REF!</definedName>
    <definedName name="FDROP121">#REF!</definedName>
    <definedName name="FDROP13">#REF!</definedName>
    <definedName name="FDROP14">#REF!</definedName>
    <definedName name="FDROP15">#REF!</definedName>
    <definedName name="FDROP16">#REF!</definedName>
    <definedName name="FDROP17">#REF!</definedName>
    <definedName name="FDROP2">#REF!</definedName>
    <definedName name="fdrop3">#REF!</definedName>
    <definedName name="feeschedule_HOK">#REF!</definedName>
    <definedName name="FFGB28">#REF!</definedName>
    <definedName name="FFGB5">#REF!</definedName>
    <definedName name="FFGB51">#REF!</definedName>
    <definedName name="ffgb52">#REF!</definedName>
    <definedName name="FFGB55">#REF!</definedName>
    <definedName name="FFGB56">#REF!</definedName>
    <definedName name="FFGB57">#REF!</definedName>
    <definedName name="FFGB58">#REF!</definedName>
    <definedName name="FFGB59">#REF!</definedName>
    <definedName name="fill" hidden="1">#REF!</definedName>
    <definedName name="footing">#REF!</definedName>
    <definedName name="Footings">#REF!</definedName>
    <definedName name="fron11">#REF!</definedName>
    <definedName name="front">#REF!</definedName>
    <definedName name="front1">#REF!</definedName>
    <definedName name="front10">#REF!</definedName>
    <definedName name="FRONT11">#REF!</definedName>
    <definedName name="FRONT12">#REF!</definedName>
    <definedName name="FRONT2">#REF!</definedName>
    <definedName name="front4">#REF!</definedName>
    <definedName name="fslab">#REF!</definedName>
    <definedName name="FSLAB1">#REF!</definedName>
    <definedName name="fslab10">#REF!</definedName>
    <definedName name="fslab11">#REF!</definedName>
    <definedName name="FSLAB12">#REF!</definedName>
    <definedName name="FSLAB13">#REF!</definedName>
    <definedName name="fslab2">#REF!</definedName>
    <definedName name="FSLAB23">#REF!</definedName>
    <definedName name="Full_Print">#REF!</definedName>
    <definedName name="g">#REF!</definedName>
    <definedName name="geeth">#REF!</definedName>
    <definedName name="gfbeams">#REF!</definedName>
    <definedName name="GM">#REF!</definedName>
    <definedName name="GMM">#REF!</definedName>
    <definedName name="gmmmm12">#REF!</definedName>
    <definedName name="gmmmmm13">#REF!</definedName>
    <definedName name="gmmmmmm2">#REF!</definedName>
    <definedName name="gs">#REF!</definedName>
    <definedName name="Header_Row">ROW(#REF!)</definedName>
    <definedName name="hf">#REF!</definedName>
    <definedName name="HoldingPeriod">#REF!</definedName>
    <definedName name="inc_Cwip_move">#REF!</definedName>
    <definedName name="income_tax_bts">#REF!</definedName>
    <definedName name="income_tax_SEZ">#REF!</definedName>
    <definedName name="ind">#REF!</definedName>
    <definedName name="indu">#REF!</definedName>
    <definedName name="insurance_psf">#REF!</definedName>
    <definedName name="int">#REF!</definedName>
    <definedName name="Interest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44288.2316666667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Z_SCORE" hidden="1">"c1339"</definedName>
    <definedName name="isec12">#REF!</definedName>
    <definedName name="ISEC22">#REF!</definedName>
    <definedName name="ISEC7">#REF!</definedName>
    <definedName name="isec71">#REF!</definedName>
    <definedName name="ISEC72">#REF!</definedName>
    <definedName name="ISEC77">#REF!</definedName>
    <definedName name="ISEC78">#REF!</definedName>
    <definedName name="isec8">#REF!</definedName>
    <definedName name="jay">#REF!</definedName>
    <definedName name="JobID">#REF!</definedName>
    <definedName name="k1_table">#REF!</definedName>
    <definedName name="k1x">#REF!</definedName>
    <definedName name="k1y">#REF!</definedName>
    <definedName name="k2x">#REF!</definedName>
    <definedName name="k2y">#REF!</definedName>
    <definedName name="l">#REF!</definedName>
    <definedName name="L.WALL">#REF!</definedName>
    <definedName name="Land_details">#REF!</definedName>
    <definedName name="lease_commission_months">#REF!</definedName>
    <definedName name="lef">#REF!</definedName>
    <definedName name="lel">#REF!</definedName>
    <definedName name="Loan_Amount">#REF!</definedName>
    <definedName name="Loan_Start">#REF!</definedName>
    <definedName name="Loan_Years">#REF!</definedName>
    <definedName name="lrd_loan_duration">#REF!</definedName>
    <definedName name="lrd_loan_interest_rate">#REF!</definedName>
    <definedName name="lsec">#REF!</definedName>
    <definedName name="Lsec1">#REF!</definedName>
    <definedName name="lsec12">#REF!</definedName>
    <definedName name="LSEC13">#REF!</definedName>
    <definedName name="Lsec2">#REF!</definedName>
    <definedName name="lsec22">#REF!</definedName>
    <definedName name="LSEC23">#REF!</definedName>
    <definedName name="Lsec3">#REF!</definedName>
    <definedName name="LSEC31">#REF!</definedName>
    <definedName name="lsec33">#REF!</definedName>
    <definedName name="Lsec4">#REF!</definedName>
    <definedName name="LSEC45">#REF!</definedName>
    <definedName name="Lsec5">#REF!</definedName>
    <definedName name="LSEC54">#REF!</definedName>
    <definedName name="lsec55">#REF!</definedName>
    <definedName name="Lsec6">#REF!</definedName>
    <definedName name="lsec66">#REF!</definedName>
    <definedName name="LSEC67">#REF!</definedName>
    <definedName name="lsec7">#REF!</definedName>
    <definedName name="lsec77">#REF!</definedName>
    <definedName name="M1x">#REF!</definedName>
    <definedName name="M1y">#REF!</definedName>
    <definedName name="M2x">#REF!</definedName>
    <definedName name="M2y">#REF!</definedName>
    <definedName name="maintenance_cost_psf">#REF!</definedName>
    <definedName name="maintenance_expense_per_sales">#REF!</definedName>
    <definedName name="maintenance_margin">#REF!</definedName>
    <definedName name="marketing_expense_wtc_residential">#REF!</definedName>
    <definedName name="mid">#REF!</definedName>
    <definedName name="midc">#REF!</definedName>
    <definedName name="Million">#REF!</definedName>
    <definedName name="Mn">#REF!</definedName>
    <definedName name="months_year">#REF!</definedName>
    <definedName name="municipal_tax_psf">#REF!</definedName>
    <definedName name="N">#REF!</definedName>
    <definedName name="NAR">#REF!</definedName>
    <definedName name="Nitin" hidden="1">#REF!</definedName>
    <definedName name="NN">#REF!</definedName>
    <definedName name="NNN">#REF!</definedName>
    <definedName name="NNNN">#REF!</definedName>
    <definedName name="nnnn5">#REF!</definedName>
    <definedName name="NNNNN">#REF!</definedName>
    <definedName name="nonmodular">#REF!</definedName>
    <definedName name="Note_Cap_Crit">#REF!</definedName>
    <definedName name="Note_inc_Exp">#REF!</definedName>
    <definedName name="Note_to_Auditors">#REF!</definedName>
    <definedName name="notok">#REF!</definedName>
    <definedName name="notok1">#REF!</definedName>
    <definedName name="notok12">#REF!</definedName>
    <definedName name="occupancy_bandra_kurla">#REF!</definedName>
    <definedName name="occupancy_chembiotech">#REF!</definedName>
    <definedName name="occupancy_fsp_ch_phii">#REF!</definedName>
    <definedName name="occupancy_fsp_ch_phiii">#REF!</definedName>
    <definedName name="occupancy_techna">#REF!</definedName>
    <definedName name="occupancy_wtc_commercial">#REF!</definedName>
    <definedName name="offshore_interest_rate">#REF!</definedName>
    <definedName name="offshore_loan_amount">#REF!</definedName>
    <definedName name="offshore_loan_date">#REF!</definedName>
    <definedName name="offshore_repayment">#REF!</definedName>
    <definedName name="ok">#REF!</definedName>
    <definedName name="overhead_per_sales">#REF!</definedName>
    <definedName name="p">#REF!</definedName>
    <definedName name="parse" hidden="1">#REF!</definedName>
    <definedName name="Pbx">#REF!</definedName>
    <definedName name="Pby">#REF!</definedName>
    <definedName name="PCC">#REF!</definedName>
    <definedName name="pccut">#REF!</definedName>
    <definedName name="pillers">#REF!</definedName>
    <definedName name="PK">#REF!</definedName>
    <definedName name="PKK">#REF!</definedName>
    <definedName name="plbeams">#REF!</definedName>
    <definedName name="prince">#REF!</definedName>
    <definedName name="prince1">#REF!</definedName>
    <definedName name="PRINCE2">#REF!</definedName>
    <definedName name="PRINCE22">#REF!</definedName>
    <definedName name="prince25">#REF!</definedName>
    <definedName name="_xlnm.Print_Area" localSheetId="0">'Main_O+R_WTC'!$B$2:$AL$89</definedName>
    <definedName name="_xlnm.Print_Area" localSheetId="4">'True Land Cost'!$B$2:$H$84</definedName>
    <definedName name="PRINT_AREA_MI">#REF!</definedName>
    <definedName name="project">#REF!</definedName>
    <definedName name="property_tax">#REF!</definedName>
    <definedName name="Puz">#REF!</definedName>
    <definedName name="raams">#REF!</definedName>
    <definedName name="RAAMS12">#REF!</definedName>
    <definedName name="raams23">#REF!</definedName>
    <definedName name="ram">#REF!</definedName>
    <definedName name="rcwbgl">#REF!</definedName>
    <definedName name="rcwbgl2">#REF!</definedName>
    <definedName name="Rear">#REF!</definedName>
    <definedName name="rear1">#REF!</definedName>
    <definedName name="rear10">#REF!</definedName>
    <definedName name="rear11">#REF!</definedName>
    <definedName name="REAR12">#REF!</definedName>
    <definedName name="REAR2">#REF!</definedName>
    <definedName name="rear23">#REF!</definedName>
    <definedName name="REAR31">#REF!</definedName>
    <definedName name="REARS">#REF!</definedName>
    <definedName name="rect_4_415">#REF!</definedName>
    <definedName name="rel">#REF!</definedName>
    <definedName name="rental_area">#REF!</definedName>
    <definedName name="rental_loan_debt">#REF!</definedName>
    <definedName name="repayment_offshore">#REF!</definedName>
    <definedName name="Rev">#REF!</definedName>
    <definedName name="Revision">#REF!</definedName>
    <definedName name="revision1">#REF!</definedName>
    <definedName name="REVISION12">#REF!</definedName>
    <definedName name="REVISION23">#REF!</definedName>
    <definedName name="rig">#REF!</definedName>
    <definedName name="RNN">#REF!</definedName>
    <definedName name="robot">#REF!</definedName>
    <definedName name="rosid">#REF!</definedName>
    <definedName name="S">#REF!</definedName>
    <definedName name="S.L.WALL">#REF!</definedName>
    <definedName name="S.S.WALL">#REF!</definedName>
    <definedName name="S.WALL">#REF!</definedName>
    <definedName name="schools">#REF!</definedName>
    <definedName name="Sdate">#REF!</definedName>
    <definedName name="sdfdf">#REF!</definedName>
    <definedName name="sec">#REF!</definedName>
    <definedName name="security_deposit_months">#REF!</definedName>
    <definedName name="see">#REF!</definedName>
    <definedName name="slab">#REF!</definedName>
    <definedName name="SLAB1">#REF!</definedName>
    <definedName name="SLAB12">#REF!</definedName>
    <definedName name="SLAB13">#REF!</definedName>
    <definedName name="slab2">#REF!</definedName>
    <definedName name="slab22">#REF!</definedName>
    <definedName name="SLAB31">#REF!</definedName>
    <definedName name="slab7">#REF!</definedName>
    <definedName name="smmmm12">#REF!</definedName>
    <definedName name="ss">#REF!</definedName>
    <definedName name="Ssec1">#REF!</definedName>
    <definedName name="ssec12">#REF!</definedName>
    <definedName name="SSEC13">#REF!</definedName>
    <definedName name="Ssec2">#REF!</definedName>
    <definedName name="ssec22">#REF!</definedName>
    <definedName name="SSEC23">#REF!</definedName>
    <definedName name="Ssec3">#REF!</definedName>
    <definedName name="ssec34">#REF!</definedName>
    <definedName name="SSEC35">#REF!</definedName>
    <definedName name="Ssec4">#REF!</definedName>
    <definedName name="SSEC43">#REF!</definedName>
    <definedName name="ssec45">#REF!</definedName>
    <definedName name="Ssec5">#REF!</definedName>
    <definedName name="SSEC54">#REF!</definedName>
    <definedName name="ssec55">#REF!</definedName>
    <definedName name="Ssec6">#REF!</definedName>
    <definedName name="SSEC65">#REF!</definedName>
    <definedName name="ssec66">#REF!</definedName>
    <definedName name="SSS">#REF!</definedName>
    <definedName name="ssss">#REF!</definedName>
    <definedName name="sssss">#REF!</definedName>
    <definedName name="sstype3drop">#REF!</definedName>
    <definedName name="SSTYPE3DROP1">#REF!</definedName>
    <definedName name="sstype3drop2">#REF!</definedName>
    <definedName name="SSTYPE3DROP3">#REF!</definedName>
    <definedName name="sstype3drop33">#REF!</definedName>
    <definedName name="SSTYPE3DROP35">#REF!</definedName>
    <definedName name="sstype3dropp">#REF!</definedName>
    <definedName name="SSTYPE3DROPP1">#REF!</definedName>
    <definedName name="sstype3slab">#REF!</definedName>
    <definedName name="SSTYPE3SLAB121">#REF!</definedName>
    <definedName name="sstype3slab2">#REF!</definedName>
    <definedName name="SSTYPE3SLAB3">#REF!</definedName>
    <definedName name="SSTYPE3SLAB32">#REF!</definedName>
    <definedName name="sstype3slab6">#REF!</definedName>
    <definedName name="sstype3slabb">#REF!</definedName>
    <definedName name="SSTYPESLAB1">#REF!</definedName>
    <definedName name="Standard_Deduction">#REF!</definedName>
    <definedName name="StartDate">#REF!</definedName>
    <definedName name="StrID">#REF!</definedName>
    <definedName name="structure">#REF!</definedName>
    <definedName name="stype2drop">#REF!</definedName>
    <definedName name="STYPE2DROP1">#REF!</definedName>
    <definedName name="stype2drop11">#REF!</definedName>
    <definedName name="stype2drop2">#REF!</definedName>
    <definedName name="STYPE2DROP23">#REF!</definedName>
    <definedName name="STYPE2DROP3">#REF!</definedName>
    <definedName name="STYPE2DROP4">#REF!</definedName>
    <definedName name="stype2drop6">#REF!</definedName>
    <definedName name="stype2slab">#REF!</definedName>
    <definedName name="STYPE2SLAB1">#REF!</definedName>
    <definedName name="STYPE2SLAB12">#REF!</definedName>
    <definedName name="STYPE2SLAB2">#REF!</definedName>
    <definedName name="stype2slab22">#REF!</definedName>
    <definedName name="STYPE2SLAB23">#REF!</definedName>
    <definedName name="stype2slab3">#REF!</definedName>
    <definedName name="stype2slab6">#REF!</definedName>
    <definedName name="stype3drop">#REF!</definedName>
    <definedName name="STYPE3DROP2">#REF!</definedName>
    <definedName name="STYPE3DROP21">#REF!</definedName>
    <definedName name="STYPE3DROP23">#REF!</definedName>
    <definedName name="stype3drop3">#REF!</definedName>
    <definedName name="stype3drop33">#REF!</definedName>
    <definedName name="STYPE3DROP4">#REF!</definedName>
    <definedName name="stype3drop6">#REF!</definedName>
    <definedName name="stype3slab">#REF!</definedName>
    <definedName name="STYPE3SLAB1">#REF!</definedName>
    <definedName name="STYPE3SLAB12">#REF!</definedName>
    <definedName name="STYPE3SLAB13">#REF!</definedName>
    <definedName name="stype3slab22">#REF!</definedName>
    <definedName name="STYPE3SLAB23">#REF!</definedName>
    <definedName name="stype3slab3">#REF!</definedName>
    <definedName name="stype3slab6">#REF!</definedName>
    <definedName name="Subject">#REF!</definedName>
    <definedName name="SWALL">#REF!</definedName>
    <definedName name="Table">#REF!</definedName>
    <definedName name="table_occupancy">#REF!</definedName>
    <definedName name="table1">#REF!</definedName>
    <definedName name="TABLE2">#REF!</definedName>
    <definedName name="TableRange">#REF!</definedName>
    <definedName name="tds_income">#REF!</definedName>
    <definedName name="temp">#REF!</definedName>
    <definedName name="temp1">#REF!</definedName>
    <definedName name="temp11">#REF!</definedName>
    <definedName name="TEMP12">#REF!</definedName>
    <definedName name="TEMP13">#REF!</definedName>
    <definedName name="temp2">#REF!</definedName>
    <definedName name="TEMP23">#REF!</definedName>
    <definedName name="temp6">#REF!</definedName>
    <definedName name="TextRefCopy2" localSheetId="4">#REF!</definedName>
    <definedName name="TextRefCopy2">#REF!</definedName>
    <definedName name="TextRefCopyRangeCount" hidden="1">5</definedName>
    <definedName name="Title">#REF!</definedName>
    <definedName name="Title1">#REF!</definedName>
    <definedName name="Title2">#REF!</definedName>
    <definedName name="tol">#REF!</definedName>
    <definedName name="topc">#REF!</definedName>
    <definedName name="topl">#REF!</definedName>
    <definedName name="topn">#REF!</definedName>
    <definedName name="type1">#REF!</definedName>
    <definedName name="type11">#REF!</definedName>
    <definedName name="type12">#REF!</definedName>
    <definedName name="TYPE13">#REF!</definedName>
    <definedName name="type1drop">#REF!</definedName>
    <definedName name="type1drop11">#REF!</definedName>
    <definedName name="type1drop12">#REF!</definedName>
    <definedName name="type1drop2">#REF!</definedName>
    <definedName name="TYPE1DROP212">#REF!</definedName>
    <definedName name="TYPE1DROP23">#REF!</definedName>
    <definedName name="TYPE1DROP3">#REF!</definedName>
    <definedName name="type1slab">#REF!</definedName>
    <definedName name="type1slab11">#REF!</definedName>
    <definedName name="TYPE1SLAB12">#REF!</definedName>
    <definedName name="TYPE1SLAB13">#REF!</definedName>
    <definedName name="type1slab2">#REF!</definedName>
    <definedName name="TYPE1SLAB21">#REF!</definedName>
    <definedName name="type1slab6">#REF!</definedName>
    <definedName name="TYPE2">#REF!</definedName>
    <definedName name="type22">#REF!</definedName>
    <definedName name="TYPE23">#REF!</definedName>
    <definedName name="type2drop">#REF!</definedName>
    <definedName name="type2drop2">#REF!</definedName>
    <definedName name="type2drop22">#REF!</definedName>
    <definedName name="type2drop23">#REF!</definedName>
    <definedName name="TYPE2DROP24">#REF!</definedName>
    <definedName name="TYPE2DROP3">#REF!</definedName>
    <definedName name="TYPE2DROP32">#REF!</definedName>
    <definedName name="type2slab">#REF!</definedName>
    <definedName name="TYPE2SLAB12">#REF!</definedName>
    <definedName name="type2slab2">#REF!</definedName>
    <definedName name="TYPE2SLAB21">#REF!</definedName>
    <definedName name="type2slab22">#REF!</definedName>
    <definedName name="TYPE2SLAB24">#REF!</definedName>
    <definedName name="type2slab3">#REF!</definedName>
    <definedName name="TYPE3">#REF!</definedName>
    <definedName name="type3drop">#REF!</definedName>
    <definedName name="type3drop2">#REF!</definedName>
    <definedName name="type3drop22">#REF!</definedName>
    <definedName name="TYPE3DROP23">#REF!</definedName>
    <definedName name="TYPE3DROP43">#REF!</definedName>
    <definedName name="TYPE3DROP56">#REF!</definedName>
    <definedName name="type3drop6">#REF!</definedName>
    <definedName name="type3slab">#REF!</definedName>
    <definedName name="TYPE3SLAB12">#REF!</definedName>
    <definedName name="type3slab2">#REF!</definedName>
    <definedName name="TYPE3SLAB23">#REF!</definedName>
    <definedName name="type3slab3">#REF!</definedName>
    <definedName name="TYPE3SLAB32">#REF!</definedName>
    <definedName name="type3slab4">#REF!</definedName>
    <definedName name="type3slab6">#REF!</definedName>
    <definedName name="type4">#REF!</definedName>
    <definedName name="type44">#REF!</definedName>
    <definedName name="type45">#REF!</definedName>
    <definedName name="type46">#REF!</definedName>
    <definedName name="TYPE47">#REF!</definedName>
    <definedName name="TYPE48">#REF!</definedName>
    <definedName name="type4drop">#REF!</definedName>
    <definedName name="TYPE4DROP12">#REF!</definedName>
    <definedName name="type4drop2">#REF!</definedName>
    <definedName name="TYPE4DROP23">#REF!</definedName>
    <definedName name="type4drop4">#REF!</definedName>
    <definedName name="TYPE4DROP54">#REF!</definedName>
    <definedName name="type4drops">#REF!</definedName>
    <definedName name="type4slab">#REF!</definedName>
    <definedName name="TYPE4SLAB12">#REF!</definedName>
    <definedName name="type4slab22">#REF!</definedName>
    <definedName name="TYPE4SLAB23">#REF!</definedName>
    <definedName name="TYPE4SLAB32">#REF!</definedName>
    <definedName name="type4slab6">#REF!</definedName>
    <definedName name="type5">#REF!</definedName>
    <definedName name="type6">#REF!</definedName>
    <definedName name="TYPE64">#REF!</definedName>
    <definedName name="VHTPL">#REF!</definedName>
    <definedName name="wacc_bkc_hotel">#REF!</definedName>
    <definedName name="wacc_developed">#REF!</definedName>
    <definedName name="wacc_modifier">#REF!</definedName>
    <definedName name="wacc_under_construction">#REF!</definedName>
    <definedName name="work">#REF!</definedName>
    <definedName name="WWEWEWEW">#REF!</definedName>
    <definedName name="wwww">#REF!</definedName>
    <definedName name="yield">#REF!</definedName>
    <definedName name="yield_hotel">#REF!</definedName>
    <definedName name="yyy">#REF!</definedName>
    <definedName name="Z_D0116DD3_EF6B_4C23_8929_6FADDD3CBDB4_.wvu.Rows" localSheetId="0" hidden="1">'Main_O+R_WTC'!$58:$58</definedName>
    <definedName name="Z_D0116DD3_EF6B_4C23_8929_6FADDD3CBDB4_.wvu.Rows" localSheetId="1" hidden="1">'PH1_O+R'!$35:$39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6" l="1"/>
  <c r="K14" i="56"/>
  <c r="L14" i="56"/>
  <c r="M14" i="56"/>
  <c r="N14" i="56"/>
  <c r="I14" i="56"/>
  <c r="L12" i="56"/>
  <c r="J12" i="56"/>
  <c r="I12" i="56"/>
  <c r="I6" i="54"/>
  <c r="H6" i="54"/>
  <c r="N5" i="54"/>
  <c r="N7" i="54"/>
  <c r="K7" i="54"/>
  <c r="L7" i="54"/>
  <c r="M7" i="54" s="1"/>
  <c r="H18" i="54" l="1"/>
  <c r="M6" i="56"/>
  <c r="K6" i="56"/>
  <c r="K12" i="56" s="1"/>
  <c r="N20" i="56"/>
  <c r="E2" i="56"/>
  <c r="N6" i="56" l="1"/>
  <c r="N12" i="56" s="1"/>
  <c r="M12" i="56"/>
  <c r="X46" i="23" l="1"/>
  <c r="Q6" i="20"/>
  <c r="X36" i="23"/>
  <c r="G43" i="20"/>
  <c r="G44" i="20"/>
  <c r="E40" i="56"/>
  <c r="E39" i="56"/>
  <c r="E32" i="56"/>
  <c r="F32" i="56" l="1"/>
  <c r="G32" i="56" s="1"/>
  <c r="H32" i="56" s="1"/>
  <c r="I32" i="56" s="1"/>
  <c r="J32" i="56" s="1"/>
  <c r="K32" i="56" s="1"/>
  <c r="L32" i="56" s="1"/>
  <c r="M32" i="56" s="1"/>
  <c r="N32" i="56" s="1"/>
  <c r="F9" i="56"/>
  <c r="F2" i="56" l="1"/>
  <c r="F1" i="56"/>
  <c r="G9" i="56"/>
  <c r="G1" i="56" l="1"/>
  <c r="G2" i="56"/>
  <c r="H9" i="56"/>
  <c r="H2" i="56" l="1"/>
  <c r="H1" i="56"/>
  <c r="I9" i="56"/>
  <c r="I1" i="56" l="1"/>
  <c r="I2" i="56"/>
  <c r="J9" i="56"/>
  <c r="J2" i="56" l="1"/>
  <c r="J1" i="56"/>
  <c r="K9" i="56"/>
  <c r="K1" i="56" l="1"/>
  <c r="K2" i="56"/>
  <c r="L9" i="56"/>
  <c r="L2" i="56" l="1"/>
  <c r="L1" i="56"/>
  <c r="M9" i="56"/>
  <c r="N9" i="56" s="1"/>
  <c r="M1" i="56" l="1"/>
  <c r="M2" i="56"/>
  <c r="M20" i="56"/>
  <c r="J6" i="54" l="1"/>
  <c r="K6" i="54" s="1"/>
  <c r="L6" i="54" s="1"/>
  <c r="M6" i="54" s="1"/>
  <c r="J5" i="54"/>
  <c r="K5" i="54" s="1"/>
  <c r="L5" i="54" s="1"/>
  <c r="M5" i="54" s="1"/>
  <c r="S5" i="56" s="1"/>
  <c r="T5" i="56" s="1"/>
  <c r="N6" i="54" l="1"/>
  <c r="S6" i="56" s="1"/>
  <c r="T6" i="56" s="1"/>
  <c r="T7" i="56" s="1"/>
  <c r="E21" i="52"/>
  <c r="E33" i="52"/>
  <c r="E37" i="52"/>
  <c r="E5" i="52"/>
  <c r="E17" i="52"/>
  <c r="G17" i="52" s="1"/>
  <c r="F21" i="52"/>
  <c r="E22" i="52"/>
  <c r="F22" i="52"/>
  <c r="E23" i="52"/>
  <c r="F23" i="52"/>
  <c r="E24" i="52"/>
  <c r="F24" i="52"/>
  <c r="E25" i="52"/>
  <c r="F25" i="52"/>
  <c r="E26" i="52"/>
  <c r="F26" i="52"/>
  <c r="E27" i="52"/>
  <c r="F27" i="52"/>
  <c r="E28" i="52"/>
  <c r="G28" i="52" s="1"/>
  <c r="F28" i="52"/>
  <c r="E29" i="52"/>
  <c r="F29" i="52"/>
  <c r="E30" i="52"/>
  <c r="F30" i="52"/>
  <c r="E31" i="52"/>
  <c r="F31" i="52"/>
  <c r="G31" i="52"/>
  <c r="E32" i="52"/>
  <c r="F32" i="52"/>
  <c r="F33" i="52"/>
  <c r="E34" i="52"/>
  <c r="F34" i="52"/>
  <c r="G34" i="52"/>
  <c r="E35" i="52"/>
  <c r="F35" i="52"/>
  <c r="E36" i="52"/>
  <c r="F36" i="52"/>
  <c r="F8" i="51"/>
  <c r="D10" i="51"/>
  <c r="F10" i="51" s="1"/>
  <c r="D23" i="51"/>
  <c r="F23" i="51" s="1"/>
  <c r="D27" i="51"/>
  <c r="F27" i="51"/>
  <c r="D38" i="51"/>
  <c r="D40" i="51"/>
  <c r="F40" i="51"/>
  <c r="E40" i="52" s="1"/>
  <c r="D51" i="51"/>
  <c r="D63" i="51"/>
  <c r="D64" i="51"/>
  <c r="D66" i="51"/>
  <c r="F66" i="51"/>
  <c r="F72" i="51"/>
  <c r="F74" i="51"/>
  <c r="D78" i="51"/>
  <c r="F78" i="51"/>
  <c r="AQ33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J14" i="20"/>
  <c r="Z18" i="20"/>
  <c r="AA18" i="20" s="1"/>
  <c r="Z17" i="20"/>
  <c r="AA17" i="20" s="1"/>
  <c r="Z16" i="20"/>
  <c r="AA16" i="20" s="1"/>
  <c r="AA13" i="20"/>
  <c r="Z13" i="20"/>
  <c r="AA12" i="20"/>
  <c r="Z12" i="20"/>
  <c r="Z11" i="20"/>
  <c r="AA11" i="20" s="1"/>
  <c r="AA6" i="20"/>
  <c r="Z6" i="20"/>
  <c r="L18" i="56" l="1"/>
  <c r="J18" i="56"/>
  <c r="F53" i="56"/>
  <c r="I18" i="56"/>
  <c r="K18" i="56"/>
  <c r="G53" i="56"/>
  <c r="E53" i="56"/>
  <c r="D53" i="56"/>
  <c r="D55" i="56" s="1"/>
  <c r="I13" i="56" s="1"/>
  <c r="T8" i="56"/>
  <c r="D54" i="56"/>
  <c r="J11" i="56"/>
  <c r="I11" i="56"/>
  <c r="I17" i="56" s="1"/>
  <c r="G23" i="52"/>
  <c r="G30" i="52"/>
  <c r="G33" i="52"/>
  <c r="G26" i="52"/>
  <c r="G36" i="52"/>
  <c r="G35" i="52"/>
  <c r="G32" i="52"/>
  <c r="G25" i="52"/>
  <c r="G27" i="52"/>
  <c r="G24" i="52"/>
  <c r="G16" i="52"/>
  <c r="D54" i="51"/>
  <c r="F38" i="52"/>
  <c r="G29" i="52"/>
  <c r="G22" i="52"/>
  <c r="E4" i="52"/>
  <c r="G21" i="52"/>
  <c r="G34" i="20"/>
  <c r="E54" i="56" l="1"/>
  <c r="F54" i="56" s="1"/>
  <c r="K11" i="56"/>
  <c r="J17" i="56"/>
  <c r="J20" i="56" s="1"/>
  <c r="I20" i="56"/>
  <c r="G12" i="52"/>
  <c r="G10" i="52"/>
  <c r="G4" i="52"/>
  <c r="E6" i="52"/>
  <c r="G15" i="52"/>
  <c r="D76" i="51"/>
  <c r="D81" i="51" s="1"/>
  <c r="F54" i="51"/>
  <c r="A1" i="20"/>
  <c r="Y12" i="20"/>
  <c r="X18" i="20"/>
  <c r="X17" i="20"/>
  <c r="Y16" i="20"/>
  <c r="Y11" i="20"/>
  <c r="X16" i="20"/>
  <c r="X11" i="20"/>
  <c r="X13" i="20"/>
  <c r="X12" i="20"/>
  <c r="BG33" i="49"/>
  <c r="BG37" i="49" s="1"/>
  <c r="AS33" i="49"/>
  <c r="AI33" i="49"/>
  <c r="AA33" i="49"/>
  <c r="S33" i="49"/>
  <c r="K33" i="49"/>
  <c r="BK21" i="49"/>
  <c r="BJ21" i="49"/>
  <c r="BI21" i="49"/>
  <c r="BI33" i="49" s="1"/>
  <c r="BI37" i="49" s="1"/>
  <c r="BH21" i="49"/>
  <c r="BH33" i="49" s="1"/>
  <c r="BH37" i="49" s="1"/>
  <c r="BG21" i="49"/>
  <c r="BF21" i="49"/>
  <c r="BE21" i="49"/>
  <c r="BD21" i="49"/>
  <c r="BC21" i="49"/>
  <c r="BB21" i="49"/>
  <c r="BA21" i="49"/>
  <c r="BA33" i="49" s="1"/>
  <c r="BA37" i="49" s="1"/>
  <c r="AZ21" i="49"/>
  <c r="AZ33" i="49" s="1"/>
  <c r="AZ37" i="49" s="1"/>
  <c r="AY21" i="49"/>
  <c r="AX21" i="49"/>
  <c r="AW21" i="49"/>
  <c r="AV21" i="49"/>
  <c r="AU21" i="49"/>
  <c r="AT21" i="49"/>
  <c r="AS21" i="49"/>
  <c r="AR21" i="49"/>
  <c r="AR33" i="49" s="1"/>
  <c r="AQ21" i="49"/>
  <c r="AP21" i="49"/>
  <c r="AO21" i="49"/>
  <c r="AN21" i="49"/>
  <c r="AM21" i="49"/>
  <c r="AL21" i="49"/>
  <c r="AK21" i="49"/>
  <c r="AK33" i="49" s="1"/>
  <c r="AJ21" i="49"/>
  <c r="AJ33" i="49" s="1"/>
  <c r="AI21" i="49"/>
  <c r="AH21" i="49"/>
  <c r="AG21" i="49"/>
  <c r="AF21" i="49"/>
  <c r="AE21" i="49"/>
  <c r="AD21" i="49"/>
  <c r="AC21" i="49"/>
  <c r="AB21" i="49"/>
  <c r="AB33" i="49" s="1"/>
  <c r="AA21" i="49"/>
  <c r="Z21" i="49"/>
  <c r="Y21" i="49"/>
  <c r="X21" i="49"/>
  <c r="W21" i="49"/>
  <c r="V21" i="49"/>
  <c r="U21" i="49"/>
  <c r="T21" i="49"/>
  <c r="T33" i="49" s="1"/>
  <c r="S21" i="49"/>
  <c r="R21" i="49"/>
  <c r="Q21" i="49"/>
  <c r="P21" i="49"/>
  <c r="O21" i="49"/>
  <c r="N21" i="49"/>
  <c r="M21" i="49"/>
  <c r="L21" i="49"/>
  <c r="L33" i="49" s="1"/>
  <c r="K21" i="49"/>
  <c r="J21" i="49"/>
  <c r="I21" i="49"/>
  <c r="H21" i="49"/>
  <c r="G21" i="49"/>
  <c r="E35" i="49"/>
  <c r="E17" i="49"/>
  <c r="E16" i="49"/>
  <c r="E15" i="49"/>
  <c r="E14" i="49"/>
  <c r="E13" i="49"/>
  <c r="E12" i="49"/>
  <c r="E11" i="49"/>
  <c r="AD28" i="49"/>
  <c r="AD31" i="49" s="1"/>
  <c r="AD33" i="49" s="1"/>
  <c r="BK31" i="49"/>
  <c r="BK33" i="49" s="1"/>
  <c r="BK37" i="49" s="1"/>
  <c r="BJ31" i="49"/>
  <c r="BJ33" i="49" s="1"/>
  <c r="BJ37" i="49" s="1"/>
  <c r="BI31" i="49"/>
  <c r="BH31" i="49"/>
  <c r="BG31" i="49"/>
  <c r="BF31" i="49"/>
  <c r="BF33" i="49" s="1"/>
  <c r="BF37" i="49" s="1"/>
  <c r="BE31" i="49"/>
  <c r="BE33" i="49" s="1"/>
  <c r="BE37" i="49" s="1"/>
  <c r="BD31" i="49"/>
  <c r="BD33" i="49" s="1"/>
  <c r="BD37" i="49" s="1"/>
  <c r="BC31" i="49"/>
  <c r="BC33" i="49" s="1"/>
  <c r="BC37" i="49" s="1"/>
  <c r="BB31" i="49"/>
  <c r="BA31" i="49"/>
  <c r="AZ31" i="49"/>
  <c r="AY31" i="49"/>
  <c r="AX31" i="49"/>
  <c r="AX33" i="49" s="1"/>
  <c r="AW31" i="49"/>
  <c r="AV31" i="49"/>
  <c r="AU31" i="49"/>
  <c r="AU33" i="49" s="1"/>
  <c r="AT31" i="49"/>
  <c r="AT33" i="49" s="1"/>
  <c r="AS31" i="49"/>
  <c r="AR31" i="49"/>
  <c r="AQ31" i="49"/>
  <c r="AQ33" i="49" s="1"/>
  <c r="AP31" i="49"/>
  <c r="AO31" i="49"/>
  <c r="AO33" i="49" s="1"/>
  <c r="AN31" i="49"/>
  <c r="AN33" i="49" s="1"/>
  <c r="AM31" i="49"/>
  <c r="AM33" i="49" s="1"/>
  <c r="AL31" i="49"/>
  <c r="AL33" i="49" s="1"/>
  <c r="AK31" i="49"/>
  <c r="AJ31" i="49"/>
  <c r="AI31" i="49"/>
  <c r="AH31" i="49"/>
  <c r="AH33" i="49" s="1"/>
  <c r="AG31" i="49"/>
  <c r="AG33" i="49" s="1"/>
  <c r="AF31" i="49"/>
  <c r="AF33" i="49" s="1"/>
  <c r="AE31" i="49"/>
  <c r="AE33" i="49" s="1"/>
  <c r="AC31" i="49"/>
  <c r="AC33" i="49" s="1"/>
  <c r="AB31" i="49"/>
  <c r="AA31" i="49"/>
  <c r="Z31" i="49"/>
  <c r="Z33" i="49" s="1"/>
  <c r="Y31" i="49"/>
  <c r="Y33" i="49" s="1"/>
  <c r="X31" i="49"/>
  <c r="X33" i="49" s="1"/>
  <c r="W31" i="49"/>
  <c r="W33" i="49" s="1"/>
  <c r="V31" i="49"/>
  <c r="V33" i="49" s="1"/>
  <c r="U31" i="49"/>
  <c r="U33" i="49" s="1"/>
  <c r="T31" i="49"/>
  <c r="S31" i="49"/>
  <c r="R31" i="49"/>
  <c r="R33" i="49" s="1"/>
  <c r="Q31" i="49"/>
  <c r="Q33" i="49" s="1"/>
  <c r="P31" i="49"/>
  <c r="P33" i="49" s="1"/>
  <c r="O31" i="49"/>
  <c r="O33" i="49" s="1"/>
  <c r="N31" i="49"/>
  <c r="N33" i="49" s="1"/>
  <c r="M31" i="49"/>
  <c r="M33" i="49" s="1"/>
  <c r="L31" i="49"/>
  <c r="K31" i="49"/>
  <c r="J31" i="49"/>
  <c r="J33" i="49" s="1"/>
  <c r="I31" i="49"/>
  <c r="I33" i="49" s="1"/>
  <c r="H31" i="49"/>
  <c r="H33" i="49" s="1"/>
  <c r="G31" i="49"/>
  <c r="G33" i="49" s="1"/>
  <c r="P31" i="20"/>
  <c r="AQ8" i="23"/>
  <c r="AP8" i="23"/>
  <c r="AO8" i="23"/>
  <c r="AN8" i="23"/>
  <c r="AM8" i="23"/>
  <c r="AL8" i="23"/>
  <c r="AK8" i="23"/>
  <c r="AJ8" i="23"/>
  <c r="AI8" i="23"/>
  <c r="G63" i="20"/>
  <c r="E30" i="49"/>
  <c r="E29" i="49"/>
  <c r="E28" i="49"/>
  <c r="E27" i="49"/>
  <c r="E26" i="49"/>
  <c r="E25" i="49"/>
  <c r="E24" i="49"/>
  <c r="E20" i="49"/>
  <c r="E19" i="49"/>
  <c r="E18" i="49"/>
  <c r="E10" i="49"/>
  <c r="E9" i="49"/>
  <c r="E8" i="49"/>
  <c r="E7" i="49"/>
  <c r="E6" i="49"/>
  <c r="E55" i="56" l="1"/>
  <c r="J13" i="56" s="1"/>
  <c r="J21" i="56" s="1"/>
  <c r="L11" i="56"/>
  <c r="K17" i="56"/>
  <c r="K20" i="56" s="1"/>
  <c r="I21" i="56"/>
  <c r="G54" i="56"/>
  <c r="F55" i="56"/>
  <c r="K13" i="56" s="1"/>
  <c r="G14" i="52"/>
  <c r="F76" i="51"/>
  <c r="F81" i="51" s="1"/>
  <c r="G11" i="52"/>
  <c r="AW33" i="49"/>
  <c r="BB33" i="49"/>
  <c r="BB37" i="49" s="1"/>
  <c r="AP33" i="49"/>
  <c r="AV33" i="49"/>
  <c r="AY33" i="49"/>
  <c r="AY37" i="49" s="1"/>
  <c r="Y18" i="20"/>
  <c r="Y17" i="20"/>
  <c r="K21" i="56" l="1"/>
  <c r="M11" i="56"/>
  <c r="N11" i="56" s="1"/>
  <c r="L17" i="56"/>
  <c r="L20" i="56" s="1"/>
  <c r="H54" i="56"/>
  <c r="G55" i="56"/>
  <c r="L13" i="56" s="1"/>
  <c r="L21" i="56" s="1"/>
  <c r="G37" i="52"/>
  <c r="G38" i="52" s="1"/>
  <c r="E38" i="52"/>
  <c r="F6" i="52"/>
  <c r="G5" i="52"/>
  <c r="G6" i="52" s="1"/>
  <c r="G3" i="49"/>
  <c r="F6" i="47" s="1"/>
  <c r="G6" i="47" s="1"/>
  <c r="H6" i="47" s="1"/>
  <c r="I6" i="47" s="1"/>
  <c r="J6" i="47" s="1"/>
  <c r="K6" i="47" s="1"/>
  <c r="L6" i="47" s="1"/>
  <c r="M6" i="47" s="1"/>
  <c r="N6" i="47" s="1"/>
  <c r="O6" i="47" s="1"/>
  <c r="P6" i="47" s="1"/>
  <c r="Q6" i="47" s="1"/>
  <c r="R6" i="47" s="1"/>
  <c r="S6" i="47" s="1"/>
  <c r="T6" i="47" s="1"/>
  <c r="U6" i="47" s="1"/>
  <c r="V6" i="47" s="1"/>
  <c r="W6" i="47" s="1"/>
  <c r="X6" i="47" s="1"/>
  <c r="Y6" i="47" s="1"/>
  <c r="Z6" i="47" s="1"/>
  <c r="AA6" i="47" s="1"/>
  <c r="AB6" i="47" s="1"/>
  <c r="AC6" i="47" s="1"/>
  <c r="AD6" i="47" s="1"/>
  <c r="AE6" i="47" s="1"/>
  <c r="AF6" i="47" s="1"/>
  <c r="H55" i="56" l="1"/>
  <c r="M13" i="56" s="1"/>
  <c r="M21" i="56" s="1"/>
  <c r="I54" i="56"/>
  <c r="I55" i="56" s="1"/>
  <c r="N13" i="56" s="1"/>
  <c r="N21" i="56" s="1"/>
  <c r="H4" i="49"/>
  <c r="H3" i="49" s="1"/>
  <c r="C21" i="49"/>
  <c r="D21" i="49"/>
  <c r="E21" i="49"/>
  <c r="J37" i="49"/>
  <c r="J41" i="49" s="1"/>
  <c r="K37" i="49"/>
  <c r="K41" i="49" s="1"/>
  <c r="R37" i="49"/>
  <c r="R41" i="49" s="1"/>
  <c r="S37" i="49"/>
  <c r="S41" i="49" s="1"/>
  <c r="Z37" i="49"/>
  <c r="Z41" i="49" s="1"/>
  <c r="AA37" i="49"/>
  <c r="AA41" i="49" s="1"/>
  <c r="AH37" i="49"/>
  <c r="AH41" i="49" s="1"/>
  <c r="AI37" i="49"/>
  <c r="AI41" i="49" s="1"/>
  <c r="AP37" i="49"/>
  <c r="AP41" i="49" s="1"/>
  <c r="AQ37" i="49"/>
  <c r="AQ41" i="49" s="1"/>
  <c r="AX37" i="49"/>
  <c r="AX41" i="49" s="1"/>
  <c r="BF41" i="49"/>
  <c r="BG41" i="49"/>
  <c r="C31" i="49"/>
  <c r="D31" i="49"/>
  <c r="E31" i="49"/>
  <c r="AE37" i="49"/>
  <c r="AE41" i="49" s="1"/>
  <c r="AM37" i="49"/>
  <c r="AM41" i="49" s="1"/>
  <c r="AU37" i="49"/>
  <c r="AU41" i="49" s="1"/>
  <c r="AY41" i="49"/>
  <c r="H37" i="49"/>
  <c r="H41" i="49" s="1"/>
  <c r="P37" i="49"/>
  <c r="P41" i="49" s="1"/>
  <c r="AN37" i="49"/>
  <c r="AN41" i="49" s="1"/>
  <c r="AV37" i="49"/>
  <c r="AV41" i="49" s="1"/>
  <c r="G9" i="52" l="1"/>
  <c r="G37" i="20"/>
  <c r="C33" i="49"/>
  <c r="C37" i="49" s="1"/>
  <c r="C41" i="49" s="1"/>
  <c r="X20" i="20" s="1"/>
  <c r="I4" i="49"/>
  <c r="BK41" i="49"/>
  <c r="O37" i="49"/>
  <c r="O41" i="49" s="1"/>
  <c r="BI41" i="49"/>
  <c r="BA41" i="49"/>
  <c r="AS37" i="49"/>
  <c r="AS41" i="49" s="1"/>
  <c r="AK37" i="49"/>
  <c r="AK41" i="49" s="1"/>
  <c r="AC37" i="49"/>
  <c r="AC41" i="49" s="1"/>
  <c r="U37" i="49"/>
  <c r="U41" i="49" s="1"/>
  <c r="M37" i="49"/>
  <c r="M41" i="49" s="1"/>
  <c r="BC41" i="49"/>
  <c r="G37" i="49"/>
  <c r="G41" i="49" s="1"/>
  <c r="BD41" i="49"/>
  <c r="AF37" i="49"/>
  <c r="AF41" i="49" s="1"/>
  <c r="X37" i="49"/>
  <c r="X41" i="49" s="1"/>
  <c r="W37" i="49"/>
  <c r="W41" i="49" s="1"/>
  <c r="D33" i="49"/>
  <c r="D37" i="49" s="1"/>
  <c r="D41" i="49" s="1"/>
  <c r="AA29" i="20" s="1"/>
  <c r="BB41" i="49"/>
  <c r="AD37" i="49"/>
  <c r="AD41" i="49" s="1"/>
  <c r="BJ41" i="49"/>
  <c r="AT37" i="49"/>
  <c r="AT41" i="49" s="1"/>
  <c r="AL37" i="49"/>
  <c r="AL41" i="49" s="1"/>
  <c r="V37" i="49"/>
  <c r="V41" i="49" s="1"/>
  <c r="N37" i="49"/>
  <c r="N41" i="49" s="1"/>
  <c r="BH41" i="49"/>
  <c r="AZ41" i="49"/>
  <c r="AR37" i="49"/>
  <c r="AR41" i="49" s="1"/>
  <c r="BE41" i="49"/>
  <c r="AO37" i="49"/>
  <c r="AO41" i="49" s="1"/>
  <c r="AG37" i="49"/>
  <c r="AG41" i="49" s="1"/>
  <c r="Q37" i="49"/>
  <c r="Q41" i="49" s="1"/>
  <c r="AW37" i="49"/>
  <c r="AW41" i="49" s="1"/>
  <c r="Y37" i="49"/>
  <c r="Y41" i="49" s="1"/>
  <c r="I37" i="49"/>
  <c r="I41" i="49" s="1"/>
  <c r="E33" i="49"/>
  <c r="E37" i="49" s="1"/>
  <c r="E41" i="49" s="1"/>
  <c r="AJ37" i="49"/>
  <c r="AJ41" i="49" s="1"/>
  <c r="AB37" i="49"/>
  <c r="AB41" i="49" s="1"/>
  <c r="T37" i="49"/>
  <c r="T41" i="49" s="1"/>
  <c r="L37" i="49"/>
  <c r="L41" i="49" s="1"/>
  <c r="F18" i="52" l="1"/>
  <c r="E18" i="52"/>
  <c r="E42" i="52" s="1"/>
  <c r="C8" i="47"/>
  <c r="AA20" i="20"/>
  <c r="Y20" i="20"/>
  <c r="Z20" i="20"/>
  <c r="Y29" i="20"/>
  <c r="D8" i="47"/>
  <c r="Z29" i="20"/>
  <c r="X29" i="20"/>
  <c r="J4" i="49"/>
  <c r="I3" i="49"/>
  <c r="G64" i="20"/>
  <c r="G13" i="52" l="1"/>
  <c r="G18" i="52" s="1"/>
  <c r="E8" i="47"/>
  <c r="K4" i="49"/>
  <c r="J3" i="49"/>
  <c r="L4" i="49" l="1"/>
  <c r="K3" i="49"/>
  <c r="M4" i="49" l="1"/>
  <c r="L3" i="49"/>
  <c r="AA8" i="20"/>
  <c r="AA7" i="20"/>
  <c r="AA5" i="20"/>
  <c r="Z5" i="20"/>
  <c r="Z8" i="20"/>
  <c r="Z7" i="20"/>
  <c r="Y8" i="20"/>
  <c r="Y7" i="20"/>
  <c r="Y5" i="20"/>
  <c r="X8" i="20"/>
  <c r="X7" i="20"/>
  <c r="X5" i="20"/>
  <c r="N4" i="49" l="1"/>
  <c r="M3" i="49"/>
  <c r="Y15" i="20"/>
  <c r="AA15" i="20"/>
  <c r="Z15" i="20"/>
  <c r="AA10" i="20"/>
  <c r="Z10" i="20"/>
  <c r="Y10" i="20"/>
  <c r="X10" i="20"/>
  <c r="X15" i="20"/>
  <c r="O4" i="49" l="1"/>
  <c r="N3" i="49"/>
  <c r="X4" i="20"/>
  <c r="Y4" i="20"/>
  <c r="Z4" i="20"/>
  <c r="AA4" i="20"/>
  <c r="P4" i="49" l="1"/>
  <c r="O3" i="49"/>
  <c r="G57" i="23"/>
  <c r="G64" i="23"/>
  <c r="Q4" i="49" l="1"/>
  <c r="P3" i="49"/>
  <c r="AA28" i="20"/>
  <c r="AA30" i="20" s="1"/>
  <c r="AA46" i="20" s="1"/>
  <c r="Z28" i="20"/>
  <c r="Z30" i="20" s="1"/>
  <c r="Z46" i="20" s="1"/>
  <c r="Y28" i="20"/>
  <c r="Y30" i="20" s="1"/>
  <c r="Y46" i="20" s="1"/>
  <c r="X28" i="20"/>
  <c r="Y22" i="20"/>
  <c r="AA22" i="20"/>
  <c r="Z22" i="20"/>
  <c r="X22" i="20"/>
  <c r="Y3" i="20"/>
  <c r="R4" i="49" l="1"/>
  <c r="Q3" i="49"/>
  <c r="X30" i="20"/>
  <c r="Z3" i="20"/>
  <c r="AA3" i="20" s="1"/>
  <c r="I24" i="20" s="1"/>
  <c r="G24" i="20" s="1"/>
  <c r="G8" i="20"/>
  <c r="G9" i="20" s="1"/>
  <c r="Q14" i="20" s="1"/>
  <c r="X46" i="20" l="1"/>
  <c r="Q7" i="20"/>
  <c r="S4" i="49"/>
  <c r="R3" i="49"/>
  <c r="H15" i="20"/>
  <c r="I15" i="20"/>
  <c r="I13" i="20" s="1"/>
  <c r="J13" i="20"/>
  <c r="AH14" i="23"/>
  <c r="AH32" i="23" s="1"/>
  <c r="H25" i="20"/>
  <c r="H18" i="23" s="1"/>
  <c r="G15" i="20"/>
  <c r="I25" i="20"/>
  <c r="H24" i="23" s="1"/>
  <c r="G14" i="20"/>
  <c r="J25" i="20"/>
  <c r="H30" i="23" s="1"/>
  <c r="G32" i="20"/>
  <c r="H24" i="20"/>
  <c r="H6" i="23" s="1"/>
  <c r="G54" i="20"/>
  <c r="H14" i="20"/>
  <c r="J24" i="20"/>
  <c r="G19" i="20"/>
  <c r="G63" i="23"/>
  <c r="G56" i="23"/>
  <c r="G67" i="20"/>
  <c r="I4" i="23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T4" i="23" s="1"/>
  <c r="U4" i="23" s="1"/>
  <c r="V4" i="23" s="1"/>
  <c r="W4" i="23" s="1"/>
  <c r="X4" i="23" s="1"/>
  <c r="Y4" i="23" s="1"/>
  <c r="Z4" i="23" s="1"/>
  <c r="AA4" i="23" s="1"/>
  <c r="AB4" i="23" s="1"/>
  <c r="AC4" i="23" s="1"/>
  <c r="AD4" i="23" s="1"/>
  <c r="AE4" i="23" s="1"/>
  <c r="AF4" i="23" s="1"/>
  <c r="AG4" i="23" s="1"/>
  <c r="AH4" i="23" s="1"/>
  <c r="AI4" i="23" s="1"/>
  <c r="AJ4" i="23" s="1"/>
  <c r="AK4" i="23" s="1"/>
  <c r="AL4" i="23" s="1"/>
  <c r="AM4" i="23" s="1"/>
  <c r="AN4" i="23" s="1"/>
  <c r="AO4" i="23" s="1"/>
  <c r="AP4" i="23" s="1"/>
  <c r="AQ4" i="23" s="1"/>
  <c r="T4" i="49" l="1"/>
  <c r="S3" i="49"/>
  <c r="AQ10" i="23"/>
  <c r="AC14" i="23"/>
  <c r="AC32" i="23" s="1"/>
  <c r="AD14" i="23"/>
  <c r="AD32" i="23" s="1"/>
  <c r="AA14" i="23"/>
  <c r="AA32" i="23" s="1"/>
  <c r="H13" i="20"/>
  <c r="H21" i="23" s="1"/>
  <c r="O14" i="23"/>
  <c r="O32" i="23" s="1"/>
  <c r="V14" i="23"/>
  <c r="V32" i="23" s="1"/>
  <c r="AL14" i="23"/>
  <c r="AL32" i="23" s="1"/>
  <c r="P14" i="23"/>
  <c r="P32" i="23" s="1"/>
  <c r="K14" i="23"/>
  <c r="K32" i="23" s="1"/>
  <c r="AF14" i="23"/>
  <c r="AF32" i="23" s="1"/>
  <c r="M14" i="23"/>
  <c r="M32" i="23" s="1"/>
  <c r="Y14" i="23"/>
  <c r="Y32" i="23" s="1"/>
  <c r="Z14" i="23"/>
  <c r="Z32" i="23" s="1"/>
  <c r="AO14" i="23"/>
  <c r="AO32" i="23" s="1"/>
  <c r="T14" i="23"/>
  <c r="T32" i="23" s="1"/>
  <c r="AJ14" i="23"/>
  <c r="AJ32" i="23" s="1"/>
  <c r="AE14" i="23"/>
  <c r="AE32" i="23" s="1"/>
  <c r="I14" i="23"/>
  <c r="I32" i="23" s="1"/>
  <c r="S14" i="23"/>
  <c r="S32" i="23" s="1"/>
  <c r="AB14" i="23"/>
  <c r="AB32" i="23" s="1"/>
  <c r="AP14" i="23"/>
  <c r="AP32" i="23" s="1"/>
  <c r="AK14" i="23"/>
  <c r="AK32" i="23" s="1"/>
  <c r="X14" i="23"/>
  <c r="X32" i="23" s="1"/>
  <c r="L14" i="23"/>
  <c r="L32" i="23" s="1"/>
  <c r="AK11" i="23"/>
  <c r="N14" i="23"/>
  <c r="N32" i="23" s="1"/>
  <c r="AI14" i="23"/>
  <c r="AI32" i="23" s="1"/>
  <c r="AM14" i="23"/>
  <c r="AM32" i="23" s="1"/>
  <c r="AJ11" i="23"/>
  <c r="AN14" i="23"/>
  <c r="AN32" i="23" s="1"/>
  <c r="Q14" i="23"/>
  <c r="Q32" i="23" s="1"/>
  <c r="R14" i="23"/>
  <c r="R32" i="23" s="1"/>
  <c r="J14" i="23"/>
  <c r="J32" i="23" s="1"/>
  <c r="AG14" i="23"/>
  <c r="AG32" i="23" s="1"/>
  <c r="H14" i="23"/>
  <c r="H32" i="23" s="1"/>
  <c r="W14" i="23"/>
  <c r="W32" i="23" s="1"/>
  <c r="U14" i="23"/>
  <c r="U32" i="23" s="1"/>
  <c r="AQ14" i="23"/>
  <c r="AQ32" i="23" s="1"/>
  <c r="AL11" i="23"/>
  <c r="AO11" i="23"/>
  <c r="AQ11" i="23"/>
  <c r="AM11" i="23"/>
  <c r="AJ10" i="23"/>
  <c r="AP11" i="23"/>
  <c r="AO10" i="23"/>
  <c r="AN11" i="23"/>
  <c r="AI11" i="23"/>
  <c r="AK10" i="23"/>
  <c r="G25" i="20"/>
  <c r="AI10" i="23"/>
  <c r="AM10" i="23"/>
  <c r="AN10" i="23"/>
  <c r="AP10" i="23"/>
  <c r="AL10" i="23"/>
  <c r="AM106" i="23"/>
  <c r="P6" i="23"/>
  <c r="Y6" i="23"/>
  <c r="AQ106" i="23"/>
  <c r="AQ73" i="23"/>
  <c r="AH106" i="23"/>
  <c r="U6" i="23"/>
  <c r="K6" i="23"/>
  <c r="W6" i="23"/>
  <c r="AB6" i="23"/>
  <c r="AC6" i="23"/>
  <c r="AP106" i="23"/>
  <c r="AK73" i="23"/>
  <c r="AG106" i="23"/>
  <c r="AK6" i="23"/>
  <c r="AK13" i="23" s="1"/>
  <c r="AK31" i="23" s="1"/>
  <c r="X6" i="23"/>
  <c r="AO6" i="23"/>
  <c r="AO13" i="23" s="1"/>
  <c r="AO31" i="23" s="1"/>
  <c r="S6" i="23"/>
  <c r="AO73" i="23"/>
  <c r="AJ73" i="23"/>
  <c r="AG73" i="23"/>
  <c r="N6" i="23"/>
  <c r="AF6" i="23"/>
  <c r="AF15" i="23" s="1"/>
  <c r="J6" i="23"/>
  <c r="AA6" i="23"/>
  <c r="AO106" i="23"/>
  <c r="AJ106" i="23"/>
  <c r="V6" i="23"/>
  <c r="AN6" i="23"/>
  <c r="AN15" i="23" s="1"/>
  <c r="R6" i="23"/>
  <c r="AI6" i="23"/>
  <c r="AI15" i="23" s="1"/>
  <c r="AP73" i="23"/>
  <c r="AJ6" i="23"/>
  <c r="AJ15" i="23" s="1"/>
  <c r="AN73" i="23"/>
  <c r="AI106" i="23"/>
  <c r="AD6" i="23"/>
  <c r="AM6" i="23"/>
  <c r="AM15" i="23" s="1"/>
  <c r="Z6" i="23"/>
  <c r="AQ6" i="23"/>
  <c r="AQ13" i="23" s="1"/>
  <c r="AQ31" i="23" s="1"/>
  <c r="AN106" i="23"/>
  <c r="AI73" i="23"/>
  <c r="O6" i="23"/>
  <c r="AL6" i="23"/>
  <c r="AL15" i="23" s="1"/>
  <c r="I6" i="23"/>
  <c r="AH6" i="23"/>
  <c r="AH13" i="23" s="1"/>
  <c r="AH31" i="23" s="1"/>
  <c r="L6" i="23"/>
  <c r="AK106" i="23"/>
  <c r="AG6" i="23"/>
  <c r="AG15" i="23" s="1"/>
  <c r="AM73" i="23"/>
  <c r="AH73" i="23"/>
  <c r="M6" i="23"/>
  <c r="AE6" i="23"/>
  <c r="Q6" i="23"/>
  <c r="AP6" i="23"/>
  <c r="AP15" i="23" s="1"/>
  <c r="T6" i="23"/>
  <c r="AI35" i="23"/>
  <c r="AI51" i="23" s="1"/>
  <c r="AJ35" i="23"/>
  <c r="AJ51" i="23" s="1"/>
  <c r="AK35" i="23"/>
  <c r="AK51" i="23" s="1"/>
  <c r="AL35" i="23"/>
  <c r="AL51" i="23" s="1"/>
  <c r="AM35" i="23"/>
  <c r="AM51" i="23" s="1"/>
  <c r="AO35" i="23"/>
  <c r="AO51" i="23" s="1"/>
  <c r="AP35" i="23"/>
  <c r="AP51" i="23" s="1"/>
  <c r="AQ35" i="23"/>
  <c r="AQ51" i="23" s="1"/>
  <c r="I30" i="23"/>
  <c r="J30" i="23" s="1"/>
  <c r="K30" i="23" s="1"/>
  <c r="L30" i="23" s="1"/>
  <c r="M30" i="23" s="1"/>
  <c r="N30" i="23" s="1"/>
  <c r="O30" i="23" s="1"/>
  <c r="P30" i="23" s="1"/>
  <c r="Q30" i="23" s="1"/>
  <c r="R30" i="23" s="1"/>
  <c r="S30" i="23" s="1"/>
  <c r="T30" i="23" s="1"/>
  <c r="U30" i="23" s="1"/>
  <c r="V30" i="23" s="1"/>
  <c r="W30" i="23" s="1"/>
  <c r="X30" i="23" s="1"/>
  <c r="Y30" i="23" s="1"/>
  <c r="Z30" i="23" s="1"/>
  <c r="AA30" i="23" s="1"/>
  <c r="AB30" i="23" s="1"/>
  <c r="AC30" i="23" s="1"/>
  <c r="AD30" i="23" s="1"/>
  <c r="AE30" i="23" s="1"/>
  <c r="AF30" i="23" s="1"/>
  <c r="AG30" i="23" s="1"/>
  <c r="AH30" i="23" s="1"/>
  <c r="AI30" i="23" s="1"/>
  <c r="AJ30" i="23" s="1"/>
  <c r="AK30" i="23" s="1"/>
  <c r="AL30" i="23" s="1"/>
  <c r="AM30" i="23" s="1"/>
  <c r="AN30" i="23" s="1"/>
  <c r="AO30" i="23" s="1"/>
  <c r="AP30" i="23" s="1"/>
  <c r="AQ30" i="23" s="1"/>
  <c r="T35" i="23"/>
  <c r="L35" i="23"/>
  <c r="S35" i="23"/>
  <c r="R35" i="23"/>
  <c r="Q35" i="23"/>
  <c r="I35" i="23"/>
  <c r="X35" i="23"/>
  <c r="M35" i="23"/>
  <c r="J35" i="23"/>
  <c r="P35" i="23"/>
  <c r="H35" i="23"/>
  <c r="U35" i="23"/>
  <c r="K35" i="23"/>
  <c r="W35" i="23"/>
  <c r="O35" i="23"/>
  <c r="V35" i="23"/>
  <c r="N35" i="23"/>
  <c r="I24" i="23"/>
  <c r="J24" i="23" s="1"/>
  <c r="K24" i="23" s="1"/>
  <c r="L24" i="23" s="1"/>
  <c r="M24" i="23" s="1"/>
  <c r="N24" i="23" s="1"/>
  <c r="O24" i="23" s="1"/>
  <c r="P24" i="23" s="1"/>
  <c r="Q24" i="23" s="1"/>
  <c r="R24" i="23" s="1"/>
  <c r="S24" i="23" s="1"/>
  <c r="T24" i="23" s="1"/>
  <c r="U24" i="23" s="1"/>
  <c r="V24" i="23" s="1"/>
  <c r="W24" i="23" s="1"/>
  <c r="X24" i="23" s="1"/>
  <c r="Y24" i="23" s="1"/>
  <c r="Z24" i="23" s="1"/>
  <c r="AA24" i="23" s="1"/>
  <c r="AB24" i="23" s="1"/>
  <c r="I18" i="23"/>
  <c r="J18" i="23" s="1"/>
  <c r="K18" i="23" s="1"/>
  <c r="L18" i="23" s="1"/>
  <c r="M18" i="23" s="1"/>
  <c r="N18" i="23" s="1"/>
  <c r="O18" i="23" s="1"/>
  <c r="P18" i="23" s="1"/>
  <c r="Q18" i="23" s="1"/>
  <c r="R18" i="23" s="1"/>
  <c r="S18" i="23" s="1"/>
  <c r="T18" i="23" s="1"/>
  <c r="U18" i="23" s="1"/>
  <c r="V18" i="23" s="1"/>
  <c r="W18" i="23" s="1"/>
  <c r="X18" i="23" s="1"/>
  <c r="Y18" i="23" s="1"/>
  <c r="Z18" i="23" s="1"/>
  <c r="AA18" i="23" s="1"/>
  <c r="AB18" i="23" s="1"/>
  <c r="AC18" i="23" s="1"/>
  <c r="AD18" i="23" s="1"/>
  <c r="AE18" i="23" s="1"/>
  <c r="AF18" i="23" s="1"/>
  <c r="H27" i="23"/>
  <c r="J1" i="23"/>
  <c r="K1" i="23" s="1"/>
  <c r="L1" i="23" s="1"/>
  <c r="M1" i="23" s="1"/>
  <c r="N1" i="23" s="1"/>
  <c r="O1" i="23" s="1"/>
  <c r="P1" i="23" s="1"/>
  <c r="Q1" i="23" s="1"/>
  <c r="R1" i="23" s="1"/>
  <c r="S1" i="23" s="1"/>
  <c r="T1" i="23" s="1"/>
  <c r="U1" i="23" s="1"/>
  <c r="V1" i="23" s="1"/>
  <c r="W1" i="23" s="1"/>
  <c r="X1" i="23" s="1"/>
  <c r="Y1" i="23" s="1"/>
  <c r="G3" i="23"/>
  <c r="I5" i="23"/>
  <c r="H13" i="23"/>
  <c r="H31" i="23" s="1"/>
  <c r="H15" i="23"/>
  <c r="G5" i="20"/>
  <c r="G13" i="20"/>
  <c r="U4" i="49" l="1"/>
  <c r="T3" i="49"/>
  <c r="AE20" i="23"/>
  <c r="W26" i="23"/>
  <c r="W20" i="23"/>
  <c r="V20" i="23"/>
  <c r="V26" i="23"/>
  <c r="H26" i="23"/>
  <c r="H20" i="23"/>
  <c r="Z20" i="23"/>
  <c r="Z26" i="23"/>
  <c r="O26" i="23"/>
  <c r="O20" i="23"/>
  <c r="L20" i="23"/>
  <c r="L26" i="23"/>
  <c r="K20" i="23"/>
  <c r="K26" i="23"/>
  <c r="AB26" i="23"/>
  <c r="AB20" i="23"/>
  <c r="Q20" i="23"/>
  <c r="Q26" i="23"/>
  <c r="AC20" i="23"/>
  <c r="J20" i="23"/>
  <c r="J26" i="23"/>
  <c r="N20" i="23"/>
  <c r="N26" i="23"/>
  <c r="S26" i="23"/>
  <c r="S20" i="23"/>
  <c r="M20" i="23"/>
  <c r="M26" i="23"/>
  <c r="AA26" i="23"/>
  <c r="AA20" i="23"/>
  <c r="P26" i="23"/>
  <c r="P20" i="23"/>
  <c r="H37" i="23"/>
  <c r="H25" i="23"/>
  <c r="H19" i="23"/>
  <c r="Y20" i="23"/>
  <c r="Y26" i="23"/>
  <c r="R20" i="23"/>
  <c r="R26" i="23"/>
  <c r="I20" i="23"/>
  <c r="I26" i="23"/>
  <c r="AF20" i="23"/>
  <c r="AD20" i="23"/>
  <c r="X26" i="23"/>
  <c r="X20" i="23"/>
  <c r="U20" i="23"/>
  <c r="U26" i="23"/>
  <c r="T20" i="23"/>
  <c r="T26" i="23"/>
  <c r="AO15" i="23"/>
  <c r="AJ13" i="23"/>
  <c r="AJ31" i="23" s="1"/>
  <c r="AF13" i="23"/>
  <c r="AF31" i="23" s="1"/>
  <c r="AK15" i="23"/>
  <c r="AN13" i="23"/>
  <c r="AN31" i="23" s="1"/>
  <c r="AL13" i="23"/>
  <c r="AL31" i="23" s="1"/>
  <c r="AH15" i="23"/>
  <c r="AQ15" i="23"/>
  <c r="AP13" i="23"/>
  <c r="AP31" i="23" s="1"/>
  <c r="AI13" i="23"/>
  <c r="AI31" i="23" s="1"/>
  <c r="AG13" i="23"/>
  <c r="AG31" i="23" s="1"/>
  <c r="AM13" i="23"/>
  <c r="AM31" i="23" s="1"/>
  <c r="AG18" i="23"/>
  <c r="AG20" i="23" s="1"/>
  <c r="AF21" i="23"/>
  <c r="H36" i="23"/>
  <c r="AC24" i="23"/>
  <c r="J5" i="23"/>
  <c r="P27" i="23"/>
  <c r="P21" i="23"/>
  <c r="S27" i="23"/>
  <c r="S21" i="23"/>
  <c r="L27" i="23"/>
  <c r="L21" i="23"/>
  <c r="W27" i="23"/>
  <c r="W21" i="23"/>
  <c r="AD21" i="23"/>
  <c r="K27" i="23"/>
  <c r="K21" i="23"/>
  <c r="Y27" i="23"/>
  <c r="Y21" i="23"/>
  <c r="AE21" i="23"/>
  <c r="T27" i="23"/>
  <c r="T21" i="23"/>
  <c r="N27" i="23"/>
  <c r="N21" i="23"/>
  <c r="O27" i="23"/>
  <c r="O21" i="23"/>
  <c r="X27" i="23"/>
  <c r="X21" i="23"/>
  <c r="H47" i="23"/>
  <c r="H46" i="23"/>
  <c r="J27" i="23"/>
  <c r="J21" i="23"/>
  <c r="U27" i="23"/>
  <c r="U21" i="23"/>
  <c r="I27" i="23"/>
  <c r="I21" i="23"/>
  <c r="Z27" i="23"/>
  <c r="Z21" i="23"/>
  <c r="AC21" i="23"/>
  <c r="Q27" i="23"/>
  <c r="Q21" i="23"/>
  <c r="R27" i="23"/>
  <c r="R21" i="23"/>
  <c r="V27" i="23"/>
  <c r="V21" i="23"/>
  <c r="AA27" i="23"/>
  <c r="AA21" i="23"/>
  <c r="AB27" i="23"/>
  <c r="AB21" i="23"/>
  <c r="M27" i="23"/>
  <c r="M21" i="23"/>
  <c r="H3" i="23"/>
  <c r="I3" i="23" s="1"/>
  <c r="M13" i="23"/>
  <c r="M31" i="23" s="1"/>
  <c r="M15" i="23"/>
  <c r="I15" i="23"/>
  <c r="I13" i="23"/>
  <c r="I31" i="23" s="1"/>
  <c r="V4" i="49" l="1"/>
  <c r="U3" i="49"/>
  <c r="M19" i="23"/>
  <c r="M25" i="23"/>
  <c r="AG19" i="23"/>
  <c r="AF19" i="23"/>
  <c r="AC26" i="23"/>
  <c r="I25" i="23"/>
  <c r="I19" i="23"/>
  <c r="AH18" i="23"/>
  <c r="AG21" i="23"/>
  <c r="AC27" i="23"/>
  <c r="H38" i="23"/>
  <c r="M36" i="23"/>
  <c r="M37" i="23"/>
  <c r="I37" i="23"/>
  <c r="I36" i="23"/>
  <c r="AD24" i="23"/>
  <c r="AD26" i="23" s="1"/>
  <c r="K5" i="23"/>
  <c r="I47" i="23"/>
  <c r="H45" i="23"/>
  <c r="H52" i="23"/>
  <c r="I46" i="23"/>
  <c r="M46" i="23"/>
  <c r="M47" i="23"/>
  <c r="H2" i="23"/>
  <c r="I106" i="23"/>
  <c r="G106" i="23"/>
  <c r="I73" i="23"/>
  <c r="H106" i="23"/>
  <c r="H73" i="23"/>
  <c r="I51" i="23"/>
  <c r="J13" i="23"/>
  <c r="J31" i="23" s="1"/>
  <c r="L13" i="23"/>
  <c r="L31" i="23" s="1"/>
  <c r="K15" i="23"/>
  <c r="J15" i="23"/>
  <c r="K13" i="23"/>
  <c r="K31" i="23" s="1"/>
  <c r="N15" i="23"/>
  <c r="Q15" i="23"/>
  <c r="Q13" i="23"/>
  <c r="Q31" i="23" s="1"/>
  <c r="O13" i="23"/>
  <c r="O31" i="23" s="1"/>
  <c r="O15" i="23"/>
  <c r="I2" i="23"/>
  <c r="J3" i="23"/>
  <c r="W4" i="49" l="1"/>
  <c r="V3" i="49"/>
  <c r="K19" i="23"/>
  <c r="K25" i="23"/>
  <c r="AH20" i="23"/>
  <c r="AH19" i="23"/>
  <c r="L19" i="23"/>
  <c r="L25" i="23"/>
  <c r="O25" i="23"/>
  <c r="O19" i="23"/>
  <c r="J19" i="23"/>
  <c r="J25" i="23"/>
  <c r="Q25" i="23"/>
  <c r="Q19" i="23"/>
  <c r="AH21" i="23"/>
  <c r="AI18" i="23"/>
  <c r="G111" i="23"/>
  <c r="H111" i="23" s="1"/>
  <c r="I111" i="23" s="1"/>
  <c r="M38" i="23"/>
  <c r="I38" i="23"/>
  <c r="L36" i="23"/>
  <c r="L37" i="23"/>
  <c r="O36" i="23"/>
  <c r="O37" i="23"/>
  <c r="Q37" i="23"/>
  <c r="Q36" i="23"/>
  <c r="K37" i="23"/>
  <c r="K36" i="23"/>
  <c r="J37" i="23"/>
  <c r="J36" i="23"/>
  <c r="AE24" i="23"/>
  <c r="AD27" i="23"/>
  <c r="L5" i="23"/>
  <c r="O46" i="23"/>
  <c r="Q46" i="23"/>
  <c r="J46" i="23"/>
  <c r="K47" i="23"/>
  <c r="M45" i="23"/>
  <c r="M52" i="23"/>
  <c r="Q47" i="23"/>
  <c r="N47" i="23"/>
  <c r="I45" i="23"/>
  <c r="I52" i="23"/>
  <c r="J47" i="23"/>
  <c r="L46" i="23"/>
  <c r="K46" i="23"/>
  <c r="O47" i="23"/>
  <c r="H51" i="23"/>
  <c r="N13" i="23"/>
  <c r="N31" i="23" s="1"/>
  <c r="L15" i="23"/>
  <c r="U15" i="23"/>
  <c r="U13" i="23"/>
  <c r="U31" i="23" s="1"/>
  <c r="R15" i="23"/>
  <c r="R13" i="23"/>
  <c r="R31" i="23" s="1"/>
  <c r="J73" i="23"/>
  <c r="J106" i="23"/>
  <c r="J2" i="23"/>
  <c r="K3" i="23"/>
  <c r="S13" i="23"/>
  <c r="S31" i="23" s="1"/>
  <c r="S15" i="23"/>
  <c r="X4" i="49" l="1"/>
  <c r="W3" i="49"/>
  <c r="AI20" i="23"/>
  <c r="AI19" i="23"/>
  <c r="N19" i="23"/>
  <c r="N25" i="23"/>
  <c r="AF24" i="23"/>
  <c r="AF36" i="23" s="1"/>
  <c r="AE26" i="23"/>
  <c r="R19" i="23"/>
  <c r="R25" i="23"/>
  <c r="U19" i="23"/>
  <c r="U25" i="23"/>
  <c r="S19" i="23"/>
  <c r="S25" i="23"/>
  <c r="AJ18" i="23"/>
  <c r="AI21" i="23"/>
  <c r="K38" i="23"/>
  <c r="O38" i="23"/>
  <c r="J38" i="23"/>
  <c r="Q38" i="23"/>
  <c r="U36" i="23"/>
  <c r="U37" i="23"/>
  <c r="R37" i="23"/>
  <c r="R36" i="23"/>
  <c r="S37" i="23"/>
  <c r="S36" i="23"/>
  <c r="N36" i="23"/>
  <c r="N37" i="23"/>
  <c r="AE27" i="23"/>
  <c r="M5" i="23"/>
  <c r="S47" i="23"/>
  <c r="N46" i="23"/>
  <c r="R47" i="23"/>
  <c r="Q52" i="23"/>
  <c r="Q45" i="23"/>
  <c r="S46" i="23"/>
  <c r="U46" i="23"/>
  <c r="J45" i="23"/>
  <c r="J52" i="23"/>
  <c r="O45" i="23"/>
  <c r="O52" i="23"/>
  <c r="U47" i="23"/>
  <c r="R46" i="23"/>
  <c r="L47" i="23"/>
  <c r="K52" i="23"/>
  <c r="K45" i="23"/>
  <c r="P15" i="23"/>
  <c r="P13" i="23"/>
  <c r="P31" i="23" s="1"/>
  <c r="V13" i="23"/>
  <c r="V31" i="23" s="1"/>
  <c r="V15" i="23"/>
  <c r="Y13" i="23"/>
  <c r="Y31" i="23" s="1"/>
  <c r="Y15" i="23"/>
  <c r="K2" i="23"/>
  <c r="L3" i="23"/>
  <c r="W13" i="23"/>
  <c r="W31" i="23" s="1"/>
  <c r="W15" i="23"/>
  <c r="K73" i="23"/>
  <c r="K106" i="23"/>
  <c r="T13" i="23"/>
  <c r="T31" i="23" s="1"/>
  <c r="T15" i="23"/>
  <c r="J51" i="23"/>
  <c r="H53" i="23"/>
  <c r="J111" i="23"/>
  <c r="Y4" i="49" l="1"/>
  <c r="X3" i="49"/>
  <c r="AG24" i="23"/>
  <c r="AG26" i="23" s="1"/>
  <c r="AF37" i="23"/>
  <c r="V19" i="23"/>
  <c r="V25" i="23"/>
  <c r="W19" i="23"/>
  <c r="W25" i="23"/>
  <c r="AJ20" i="23"/>
  <c r="AJ19" i="23"/>
  <c r="AF26" i="23"/>
  <c r="AF25" i="23"/>
  <c r="P25" i="23"/>
  <c r="P19" i="23"/>
  <c r="AF47" i="23"/>
  <c r="T19" i="23"/>
  <c r="T25" i="23"/>
  <c r="AF46" i="23"/>
  <c r="Y25" i="23"/>
  <c r="Y19" i="23"/>
  <c r="AF27" i="23"/>
  <c r="AJ21" i="23"/>
  <c r="AK18" i="23"/>
  <c r="L38" i="23"/>
  <c r="U38" i="23"/>
  <c r="R38" i="23"/>
  <c r="S38" i="23"/>
  <c r="N38" i="23"/>
  <c r="W37" i="23"/>
  <c r="W36" i="23"/>
  <c r="T36" i="23"/>
  <c r="T37" i="23"/>
  <c r="P37" i="23"/>
  <c r="P36" i="23"/>
  <c r="Y37" i="23"/>
  <c r="Y36" i="23"/>
  <c r="V36" i="23"/>
  <c r="V37" i="23"/>
  <c r="N5" i="23"/>
  <c r="N52" i="23"/>
  <c r="L52" i="23"/>
  <c r="L45" i="23"/>
  <c r="N45" i="23"/>
  <c r="Y47" i="23"/>
  <c r="U45" i="23"/>
  <c r="U52" i="23"/>
  <c r="Y46" i="23"/>
  <c r="W47" i="23"/>
  <c r="V46" i="23"/>
  <c r="W46" i="23"/>
  <c r="V47" i="23"/>
  <c r="P46" i="23"/>
  <c r="S52" i="23"/>
  <c r="S45" i="23"/>
  <c r="R52" i="23"/>
  <c r="R45" i="23"/>
  <c r="T46" i="23"/>
  <c r="T47" i="23"/>
  <c r="P47" i="23"/>
  <c r="K111" i="23"/>
  <c r="AC13" i="23"/>
  <c r="AC31" i="23" s="1"/>
  <c r="AC15" i="23"/>
  <c r="Z13" i="23"/>
  <c r="Z31" i="23" s="1"/>
  <c r="Z15" i="23"/>
  <c r="L73" i="23"/>
  <c r="L106" i="23"/>
  <c r="K51" i="23"/>
  <c r="AA13" i="23"/>
  <c r="AA31" i="23" s="1"/>
  <c r="AA15" i="23"/>
  <c r="X13" i="23"/>
  <c r="X31" i="23" s="1"/>
  <c r="X15" i="23"/>
  <c r="I53" i="23"/>
  <c r="L2" i="23"/>
  <c r="M3" i="23"/>
  <c r="Z4" i="49" l="1"/>
  <c r="Y3" i="49"/>
  <c r="AF35" i="23"/>
  <c r="AF38" i="23" s="1"/>
  <c r="AG36" i="23"/>
  <c r="AG27" i="23"/>
  <c r="AG46" i="23"/>
  <c r="AG37" i="23"/>
  <c r="AG47" i="23"/>
  <c r="AH24" i="23"/>
  <c r="AH37" i="23" s="1"/>
  <c r="AG25" i="23"/>
  <c r="AG52" i="23" s="1"/>
  <c r="AF45" i="23"/>
  <c r="AF52" i="23"/>
  <c r="Z19" i="23"/>
  <c r="Z25" i="23"/>
  <c r="AC25" i="23"/>
  <c r="AC19" i="23"/>
  <c r="AA19" i="23"/>
  <c r="AA25" i="23"/>
  <c r="AK20" i="23"/>
  <c r="AK19" i="23"/>
  <c r="X25" i="23"/>
  <c r="X19" i="23"/>
  <c r="AK21" i="23"/>
  <c r="AL18" i="23"/>
  <c r="Y35" i="23"/>
  <c r="W38" i="23"/>
  <c r="P38" i="23"/>
  <c r="T38" i="23"/>
  <c r="V38" i="23"/>
  <c r="Z37" i="23"/>
  <c r="Z36" i="23"/>
  <c r="X37" i="23"/>
  <c r="AA37" i="23"/>
  <c r="AA36" i="23"/>
  <c r="AC36" i="23"/>
  <c r="AC37" i="23"/>
  <c r="O5" i="23"/>
  <c r="V45" i="23"/>
  <c r="V52" i="23"/>
  <c r="Y52" i="23"/>
  <c r="Y45" i="23"/>
  <c r="W45" i="23"/>
  <c r="W52" i="23"/>
  <c r="AC46" i="23"/>
  <c r="T45" i="23"/>
  <c r="T52" i="23"/>
  <c r="AA46" i="23"/>
  <c r="X47" i="23"/>
  <c r="Z46" i="23"/>
  <c r="P52" i="23"/>
  <c r="P45" i="23"/>
  <c r="AC47" i="23"/>
  <c r="AA47" i="23"/>
  <c r="Z47" i="23"/>
  <c r="AD15" i="23"/>
  <c r="AD13" i="23"/>
  <c r="AD31" i="23" s="1"/>
  <c r="AE13" i="23"/>
  <c r="AE31" i="23" s="1"/>
  <c r="AE15" i="23"/>
  <c r="AB13" i="23"/>
  <c r="AB31" i="23" s="1"/>
  <c r="AB15" i="23"/>
  <c r="L51" i="23"/>
  <c r="J53" i="23"/>
  <c r="M2" i="23"/>
  <c r="N3" i="23"/>
  <c r="M73" i="23"/>
  <c r="M106" i="23"/>
  <c r="L111" i="23"/>
  <c r="AA4" i="49" l="1"/>
  <c r="Z3" i="49"/>
  <c r="AG35" i="23"/>
  <c r="AG38" i="23" s="1"/>
  <c r="Y38" i="23"/>
  <c r="AC35" i="23"/>
  <c r="AC38" i="23" s="1"/>
  <c r="AH36" i="23"/>
  <c r="AG45" i="23"/>
  <c r="AH46" i="23"/>
  <c r="AH25" i="23"/>
  <c r="AH27" i="23"/>
  <c r="AH26" i="23"/>
  <c r="AI24" i="23"/>
  <c r="AI25" i="23" s="1"/>
  <c r="AH47" i="23"/>
  <c r="AB25" i="23"/>
  <c r="AB19" i="23"/>
  <c r="AD25" i="23"/>
  <c r="AD19" i="23"/>
  <c r="AL20" i="23"/>
  <c r="AL19" i="23"/>
  <c r="AE25" i="23"/>
  <c r="AE19" i="23"/>
  <c r="AL21" i="23"/>
  <c r="AM18" i="23"/>
  <c r="Z35" i="23"/>
  <c r="Z38" i="23" s="1"/>
  <c r="X38" i="23"/>
  <c r="AE37" i="23"/>
  <c r="AE36" i="23"/>
  <c r="AB36" i="23"/>
  <c r="AB37" i="23"/>
  <c r="AD36" i="23"/>
  <c r="AD37" i="23"/>
  <c r="AA35" i="23"/>
  <c r="AA38" i="23" s="1"/>
  <c r="P5" i="23"/>
  <c r="AD47" i="23"/>
  <c r="AE47" i="23"/>
  <c r="AC45" i="23"/>
  <c r="AC52" i="23"/>
  <c r="AA52" i="23"/>
  <c r="AA45" i="23"/>
  <c r="AE46" i="23"/>
  <c r="AD46" i="23"/>
  <c r="AB46" i="23"/>
  <c r="AB47" i="23"/>
  <c r="Z52" i="23"/>
  <c r="Z45" i="23"/>
  <c r="X45" i="23"/>
  <c r="X52" i="23"/>
  <c r="M111" i="23"/>
  <c r="K53" i="23"/>
  <c r="N2" i="23"/>
  <c r="O3" i="23"/>
  <c r="M51" i="23"/>
  <c r="N73" i="23"/>
  <c r="N106" i="23"/>
  <c r="AB35" i="23" l="1"/>
  <c r="AB38" i="23" s="1"/>
  <c r="AB4" i="49"/>
  <c r="AA3" i="49"/>
  <c r="AH35" i="23"/>
  <c r="AH38" i="23" s="1"/>
  <c r="AE35" i="23"/>
  <c r="AE38" i="23" s="1"/>
  <c r="AH52" i="23"/>
  <c r="AI47" i="23"/>
  <c r="AJ24" i="23"/>
  <c r="AJ25" i="23" s="1"/>
  <c r="AI27" i="23"/>
  <c r="AI37" i="23"/>
  <c r="AI26" i="23"/>
  <c r="AI52" i="23" s="1"/>
  <c r="AI53" i="23" s="1"/>
  <c r="AI36" i="23"/>
  <c r="AI46" i="23"/>
  <c r="AH45" i="23"/>
  <c r="AM20" i="23"/>
  <c r="AM19" i="23"/>
  <c r="AD35" i="23"/>
  <c r="AD38" i="23" s="1"/>
  <c r="AN18" i="23"/>
  <c r="AM21" i="23"/>
  <c r="Q5" i="23"/>
  <c r="AD52" i="23"/>
  <c r="AD45" i="23"/>
  <c r="AB45" i="23"/>
  <c r="AB52" i="23"/>
  <c r="AE45" i="23"/>
  <c r="AE52" i="23"/>
  <c r="L53" i="23"/>
  <c r="O73" i="23"/>
  <c r="O106" i="23"/>
  <c r="O2" i="23"/>
  <c r="P3" i="23"/>
  <c r="N51" i="23"/>
  <c r="N111" i="23"/>
  <c r="AC4" i="49" l="1"/>
  <c r="AB3" i="49"/>
  <c r="AJ46" i="23"/>
  <c r="AJ37" i="23"/>
  <c r="AJ36" i="23"/>
  <c r="AJ47" i="23"/>
  <c r="AJ26" i="23"/>
  <c r="AJ52" i="23" s="1"/>
  <c r="AJ53" i="23" s="1"/>
  <c r="AK24" i="23"/>
  <c r="AK36" i="23" s="1"/>
  <c r="AJ27" i="23"/>
  <c r="AI45" i="23"/>
  <c r="AI38" i="23"/>
  <c r="AN20" i="23"/>
  <c r="AN19" i="23"/>
  <c r="AO18" i="23"/>
  <c r="AN21" i="23"/>
  <c r="R5" i="23"/>
  <c r="O111" i="23"/>
  <c r="M53" i="23"/>
  <c r="P73" i="23"/>
  <c r="P106" i="23"/>
  <c r="P2" i="23"/>
  <c r="Q3" i="23"/>
  <c r="O51" i="23"/>
  <c r="AD4" i="49" l="1"/>
  <c r="AC3" i="49"/>
  <c r="AJ45" i="23"/>
  <c r="AK27" i="23"/>
  <c r="AL24" i="23"/>
  <c r="AK26" i="23"/>
  <c r="AK25" i="23"/>
  <c r="AK46" i="23"/>
  <c r="AK37" i="23"/>
  <c r="AK77" i="23"/>
  <c r="AK42" i="23" s="1"/>
  <c r="AK47" i="23"/>
  <c r="AJ38" i="23"/>
  <c r="AO19" i="23"/>
  <c r="AO20" i="23"/>
  <c r="AP18" i="23"/>
  <c r="AO21" i="23"/>
  <c r="S5" i="23"/>
  <c r="P51" i="23"/>
  <c r="Q2" i="23"/>
  <c r="R3" i="23"/>
  <c r="P111" i="23"/>
  <c r="N53" i="23"/>
  <c r="Q73" i="23"/>
  <c r="Q106" i="23"/>
  <c r="AE4" i="49" l="1"/>
  <c r="AD3" i="49"/>
  <c r="AK52" i="23"/>
  <c r="AK53" i="23" s="1"/>
  <c r="AK45" i="23"/>
  <c r="AL37" i="23"/>
  <c r="AL77" i="23"/>
  <c r="AL42" i="23" s="1"/>
  <c r="AL46" i="23"/>
  <c r="AL47" i="23"/>
  <c r="AL25" i="23"/>
  <c r="AL36" i="23"/>
  <c r="AL26" i="23"/>
  <c r="AL27" i="23"/>
  <c r="AM24" i="23"/>
  <c r="AK38" i="23"/>
  <c r="AP20" i="23"/>
  <c r="AP19" i="23"/>
  <c r="AQ18" i="23"/>
  <c r="AP21" i="23"/>
  <c r="T5" i="23"/>
  <c r="R73" i="23"/>
  <c r="R106" i="23"/>
  <c r="Q51" i="23"/>
  <c r="R2" i="23"/>
  <c r="S3" i="23"/>
  <c r="O53" i="23"/>
  <c r="Q111" i="23"/>
  <c r="AF4" i="49" l="1"/>
  <c r="AE3" i="49"/>
  <c r="AM36" i="23"/>
  <c r="AL45" i="23"/>
  <c r="AL38" i="23"/>
  <c r="AL52" i="23"/>
  <c r="AL53" i="23" s="1"/>
  <c r="AM27" i="23"/>
  <c r="AN24" i="23"/>
  <c r="AM25" i="23"/>
  <c r="AM46" i="23"/>
  <c r="AM37" i="23"/>
  <c r="AM77" i="23"/>
  <c r="AM42" i="23" s="1"/>
  <c r="AM26" i="23"/>
  <c r="AM47" i="23"/>
  <c r="AQ19" i="23"/>
  <c r="AQ20" i="23"/>
  <c r="AQ21" i="23"/>
  <c r="U5" i="23"/>
  <c r="P53" i="23"/>
  <c r="R51" i="23"/>
  <c r="R111" i="23"/>
  <c r="S73" i="23"/>
  <c r="S106" i="23"/>
  <c r="S2" i="23"/>
  <c r="T3" i="23"/>
  <c r="AG4" i="49" l="1"/>
  <c r="AF3" i="49"/>
  <c r="AN46" i="23"/>
  <c r="AN37" i="23"/>
  <c r="AN26" i="23"/>
  <c r="AN47" i="23"/>
  <c r="AO24" i="23"/>
  <c r="AP24" i="23" s="1"/>
  <c r="AN77" i="23"/>
  <c r="AN42" i="23" s="1"/>
  <c r="AN36" i="23"/>
  <c r="AN25" i="23"/>
  <c r="AN27" i="23"/>
  <c r="AM45" i="23"/>
  <c r="AM52" i="23"/>
  <c r="AM53" i="23" s="1"/>
  <c r="AM38" i="23"/>
  <c r="AN35" i="23"/>
  <c r="V5" i="23"/>
  <c r="Q53" i="23"/>
  <c r="S111" i="23"/>
  <c r="T73" i="23"/>
  <c r="T106" i="23"/>
  <c r="T2" i="23"/>
  <c r="U3" i="23"/>
  <c r="S51" i="23"/>
  <c r="AH4" i="49" l="1"/>
  <c r="AG3" i="49"/>
  <c r="AN52" i="23"/>
  <c r="AO36" i="23"/>
  <c r="AO37" i="23"/>
  <c r="AO47" i="23"/>
  <c r="AO27" i="23"/>
  <c r="AO77" i="23"/>
  <c r="AO42" i="23" s="1"/>
  <c r="AO46" i="23"/>
  <c r="AN45" i="23"/>
  <c r="AN38" i="23"/>
  <c r="AO25" i="23"/>
  <c r="AO26" i="23"/>
  <c r="AP26" i="23"/>
  <c r="AP25" i="23"/>
  <c r="AP77" i="23"/>
  <c r="AP42" i="23" s="1"/>
  <c r="AQ24" i="23"/>
  <c r="AP27" i="23"/>
  <c r="AP46" i="23"/>
  <c r="AP36" i="23"/>
  <c r="AP47" i="23"/>
  <c r="AP37" i="23"/>
  <c r="W5" i="23"/>
  <c r="T51" i="23"/>
  <c r="U2" i="23"/>
  <c r="V3" i="23"/>
  <c r="R53" i="23"/>
  <c r="T111" i="23"/>
  <c r="U73" i="23"/>
  <c r="U106" i="23"/>
  <c r="AI4" i="49" l="1"/>
  <c r="AH3" i="49"/>
  <c r="AO45" i="23"/>
  <c r="AO52" i="23"/>
  <c r="AO53" i="23" s="1"/>
  <c r="AO38" i="23"/>
  <c r="AQ25" i="23"/>
  <c r="AQ26" i="23"/>
  <c r="AP38" i="23"/>
  <c r="AP52" i="23"/>
  <c r="AP53" i="23" s="1"/>
  <c r="AP45" i="23"/>
  <c r="AQ77" i="23"/>
  <c r="AQ42" i="23" s="1"/>
  <c r="AQ27" i="23"/>
  <c r="AQ47" i="23"/>
  <c r="AQ37" i="23"/>
  <c r="AQ36" i="23"/>
  <c r="AQ46" i="23"/>
  <c r="X5" i="23"/>
  <c r="U51" i="23"/>
  <c r="U111" i="23"/>
  <c r="V2" i="23"/>
  <c r="W3" i="23"/>
  <c r="S53" i="23"/>
  <c r="AF51" i="23" l="1"/>
  <c r="AF53" i="23" s="1"/>
  <c r="AJ4" i="49"/>
  <c r="AI3" i="49"/>
  <c r="AH51" i="23"/>
  <c r="AH53" i="23" s="1"/>
  <c r="AN51" i="23"/>
  <c r="AN53" i="23" s="1"/>
  <c r="AG51" i="23"/>
  <c r="AG53" i="23" s="1"/>
  <c r="AQ38" i="23"/>
  <c r="AQ52" i="23"/>
  <c r="AQ53" i="23" s="1"/>
  <c r="AQ45" i="23"/>
  <c r="Y5" i="23"/>
  <c r="T53" i="23"/>
  <c r="W2" i="23"/>
  <c r="X3" i="23"/>
  <c r="V51" i="23"/>
  <c r="AK4" i="49" l="1"/>
  <c r="AJ3" i="49"/>
  <c r="Z5" i="23"/>
  <c r="W51" i="23"/>
  <c r="X2" i="23"/>
  <c r="Y3" i="23"/>
  <c r="U53" i="23"/>
  <c r="AL4" i="49" l="1"/>
  <c r="AK3" i="49"/>
  <c r="AA5" i="23"/>
  <c r="V53" i="23"/>
  <c r="X51" i="23"/>
  <c r="Y2" i="23"/>
  <c r="Z3" i="23"/>
  <c r="AM4" i="49" l="1"/>
  <c r="AL3" i="49"/>
  <c r="AB5" i="23"/>
  <c r="W53" i="23"/>
  <c r="Z2" i="23"/>
  <c r="AA3" i="23"/>
  <c r="AN4" i="49" l="1"/>
  <c r="AM3" i="49"/>
  <c r="AC5" i="23"/>
  <c r="AA2" i="23"/>
  <c r="AB3" i="23"/>
  <c r="Z51" i="23"/>
  <c r="X53" i="23"/>
  <c r="AO4" i="49" l="1"/>
  <c r="AN3" i="49"/>
  <c r="AD5" i="23"/>
  <c r="AB2" i="23"/>
  <c r="AC3" i="23"/>
  <c r="AP4" i="49" l="1"/>
  <c r="AO3" i="49"/>
  <c r="AE5" i="23"/>
  <c r="AF5" i="23" s="1"/>
  <c r="Z53" i="23"/>
  <c r="AC2" i="23"/>
  <c r="AD3" i="23"/>
  <c r="AQ4" i="49" l="1"/>
  <c r="AP3" i="49"/>
  <c r="AG5" i="23"/>
  <c r="AD2" i="23"/>
  <c r="AE3" i="23"/>
  <c r="AF3" i="23" s="1"/>
  <c r="AR4" i="49" l="1"/>
  <c r="AQ3" i="49"/>
  <c r="AF2" i="23"/>
  <c r="AG3" i="23"/>
  <c r="AH5" i="23"/>
  <c r="AE2" i="23"/>
  <c r="AS4" i="49" l="1"/>
  <c r="AR3" i="49"/>
  <c r="AI5" i="23"/>
  <c r="AH3" i="23"/>
  <c r="AG2" i="23"/>
  <c r="Q19" i="20"/>
  <c r="AT4" i="49" l="1"/>
  <c r="AS3" i="49"/>
  <c r="AH2" i="23"/>
  <c r="AI3" i="23"/>
  <c r="AJ5" i="23"/>
  <c r="AI40" i="23"/>
  <c r="AI41" i="23"/>
  <c r="AU4" i="49" l="1"/>
  <c r="AT3" i="49"/>
  <c r="AI55" i="23"/>
  <c r="AI56" i="23" s="1"/>
  <c r="AK5" i="23"/>
  <c r="AJ40" i="23"/>
  <c r="AJ41" i="23"/>
  <c r="AJ3" i="23"/>
  <c r="AI2" i="23"/>
  <c r="AV4" i="49" l="1"/>
  <c r="AU3" i="49"/>
  <c r="AJ2" i="23"/>
  <c r="AK3" i="23"/>
  <c r="AJ55" i="23"/>
  <c r="AJ56" i="23" s="1"/>
  <c r="AL5" i="23"/>
  <c r="AK40" i="23"/>
  <c r="AK41" i="23"/>
  <c r="AE51" i="23"/>
  <c r="AE53" i="23" s="1"/>
  <c r="AB51" i="23"/>
  <c r="AB53" i="23" s="1"/>
  <c r="AD51" i="23"/>
  <c r="AD53" i="23" s="1"/>
  <c r="AC51" i="23"/>
  <c r="AC53" i="23" s="1"/>
  <c r="Y51" i="23"/>
  <c r="Y53" i="23" s="1"/>
  <c r="AA51" i="23"/>
  <c r="AA53" i="23" s="1"/>
  <c r="AW4" i="49" l="1"/>
  <c r="AV3" i="49"/>
  <c r="AK43" i="23"/>
  <c r="AK80" i="23" s="1"/>
  <c r="AK55" i="23"/>
  <c r="AK56" i="23" s="1"/>
  <c r="AM5" i="23"/>
  <c r="AL40" i="23"/>
  <c r="AL41" i="23"/>
  <c r="AK2" i="23"/>
  <c r="AL3" i="23"/>
  <c r="AX4" i="49" l="1"/>
  <c r="AW3" i="49"/>
  <c r="AL43" i="23"/>
  <c r="AL80" i="23" s="1"/>
  <c r="AL55" i="23"/>
  <c r="AL56" i="23" s="1"/>
  <c r="AM3" i="23"/>
  <c r="AL2" i="23"/>
  <c r="AN5" i="23"/>
  <c r="AM40" i="23"/>
  <c r="AM41" i="23"/>
  <c r="G73" i="20"/>
  <c r="AY4" i="49" l="1"/>
  <c r="AX3" i="49"/>
  <c r="AM43" i="23"/>
  <c r="AM80" i="23" s="1"/>
  <c r="AM55" i="23"/>
  <c r="AO5" i="23"/>
  <c r="AN40" i="23"/>
  <c r="AN41" i="23"/>
  <c r="AM2" i="23"/>
  <c r="AN3" i="23"/>
  <c r="AZ4" i="49" l="1"/>
  <c r="AY3" i="49"/>
  <c r="AN43" i="23"/>
  <c r="AN80" i="23" s="1"/>
  <c r="AN55" i="23"/>
  <c r="AN56" i="23" s="1"/>
  <c r="AN2" i="23"/>
  <c r="AO3" i="23"/>
  <c r="AP5" i="23"/>
  <c r="AO40" i="23"/>
  <c r="AO41" i="23"/>
  <c r="AM56" i="23"/>
  <c r="BA4" i="49" l="1"/>
  <c r="AZ3" i="49"/>
  <c r="AP3" i="23"/>
  <c r="AO2" i="23"/>
  <c r="AQ5" i="23"/>
  <c r="AP40" i="23"/>
  <c r="AP41" i="23"/>
  <c r="AO43" i="23"/>
  <c r="AO80" i="23" s="1"/>
  <c r="AO55" i="23"/>
  <c r="AO56" i="23" s="1"/>
  <c r="BB4" i="49" l="1"/>
  <c r="BA3" i="49"/>
  <c r="AP43" i="23"/>
  <c r="AP80" i="23" s="1"/>
  <c r="AP55" i="23"/>
  <c r="AQ40" i="23"/>
  <c r="AQ41" i="23"/>
  <c r="AP2" i="23"/>
  <c r="AQ3" i="23"/>
  <c r="AQ2" i="23" s="1"/>
  <c r="BC4" i="49" l="1"/>
  <c r="BB3" i="49"/>
  <c r="AQ43" i="23"/>
  <c r="AQ80" i="23" s="1"/>
  <c r="AQ55" i="23"/>
  <c r="AQ56" i="23" s="1"/>
  <c r="AP56" i="23"/>
  <c r="BD4" i="49" l="1"/>
  <c r="BC3" i="49"/>
  <c r="BE4" i="49" l="1"/>
  <c r="BD3" i="49"/>
  <c r="BF4" i="49" l="1"/>
  <c r="BE3" i="49"/>
  <c r="BG4" i="49" l="1"/>
  <c r="BF3" i="49"/>
  <c r="BH4" i="49" l="1"/>
  <c r="BG3" i="49"/>
  <c r="BI4" i="49" l="1"/>
  <c r="BH3" i="49"/>
  <c r="BJ4" i="49" l="1"/>
  <c r="BI3" i="49"/>
  <c r="BK4" i="49" l="1"/>
  <c r="BK3" i="49" s="1"/>
  <c r="BJ3" i="49"/>
  <c r="AB8" i="47" l="1"/>
  <c r="AF8" i="47"/>
  <c r="AC8" i="47"/>
  <c r="R8" i="47"/>
  <c r="U8" i="47"/>
  <c r="Z8" i="47"/>
  <c r="K8" i="47"/>
  <c r="Y8" i="47"/>
  <c r="AD8" i="47"/>
  <c r="V8" i="47"/>
  <c r="X8" i="47"/>
  <c r="L8" i="47"/>
  <c r="P8" i="47"/>
  <c r="S8" i="47"/>
  <c r="AE8" i="47"/>
  <c r="W8" i="47"/>
  <c r="M8" i="47"/>
  <c r="Q8" i="47"/>
  <c r="AA8" i="47"/>
  <c r="N8" i="47"/>
  <c r="F8" i="47"/>
  <c r="G8" i="47"/>
  <c r="T8" i="47"/>
  <c r="I8" i="47"/>
  <c r="J8" i="47"/>
  <c r="H8" i="47"/>
  <c r="O8" i="47"/>
  <c r="AC9" i="47" l="1"/>
  <c r="AE8" i="23" s="1"/>
  <c r="AE41" i="23" s="1"/>
  <c r="I9" i="47"/>
  <c r="K8" i="23" s="1"/>
  <c r="T9" i="47"/>
  <c r="V8" i="23" s="1"/>
  <c r="AE9" i="47"/>
  <c r="AG8" i="23" s="1"/>
  <c r="K9" i="47"/>
  <c r="M8" i="23" s="1"/>
  <c r="X9" i="47"/>
  <c r="Z8" i="23" s="1"/>
  <c r="G9" i="47"/>
  <c r="I8" i="23" s="1"/>
  <c r="S9" i="47"/>
  <c r="U8" i="23" s="1"/>
  <c r="Z9" i="47"/>
  <c r="AB8" i="23" s="1"/>
  <c r="O9" i="47"/>
  <c r="Q8" i="23" s="1"/>
  <c r="W9" i="47"/>
  <c r="Y8" i="23" s="1"/>
  <c r="F9" i="47"/>
  <c r="H8" i="23" s="1"/>
  <c r="A8" i="47"/>
  <c r="P9" i="47"/>
  <c r="R8" i="23" s="1"/>
  <c r="U9" i="47"/>
  <c r="W8" i="23" s="1"/>
  <c r="AA9" i="47"/>
  <c r="AC8" i="23" s="1"/>
  <c r="Y9" i="47"/>
  <c r="AA8" i="23" s="1"/>
  <c r="N9" i="47"/>
  <c r="P8" i="23" s="1"/>
  <c r="L9" i="47"/>
  <c r="N8" i="23" s="1"/>
  <c r="R9" i="47"/>
  <c r="T8" i="23" s="1"/>
  <c r="H9" i="47"/>
  <c r="J8" i="23" s="1"/>
  <c r="Q9" i="47"/>
  <c r="S8" i="23" s="1"/>
  <c r="V9" i="47"/>
  <c r="X8" i="23" s="1"/>
  <c r="AF9" i="47"/>
  <c r="AH8" i="23" s="1"/>
  <c r="J9" i="47"/>
  <c r="L8" i="23" s="1"/>
  <c r="M9" i="47"/>
  <c r="O8" i="23" s="1"/>
  <c r="AD9" i="47"/>
  <c r="AF8" i="23" s="1"/>
  <c r="AB9" i="47"/>
  <c r="AD8" i="23" s="1"/>
  <c r="AE11" i="23" l="1"/>
  <c r="AE40" i="23"/>
  <c r="AE55" i="23" s="1"/>
  <c r="AE56" i="23" s="1"/>
  <c r="AE10" i="23"/>
  <c r="U41" i="23"/>
  <c r="U40" i="23"/>
  <c r="U10" i="23"/>
  <c r="U11" i="23"/>
  <c r="AA40" i="23"/>
  <c r="AA41" i="23"/>
  <c r="AA10" i="23"/>
  <c r="AA11" i="23"/>
  <c r="AF10" i="23"/>
  <c r="AF11" i="23"/>
  <c r="AF40" i="23"/>
  <c r="AF41" i="23"/>
  <c r="W40" i="23"/>
  <c r="W41" i="23"/>
  <c r="W11" i="23"/>
  <c r="W10" i="23"/>
  <c r="I40" i="23"/>
  <c r="I41" i="23"/>
  <c r="I10" i="23"/>
  <c r="I11" i="23"/>
  <c r="R41" i="23"/>
  <c r="R40" i="23"/>
  <c r="R11" i="23"/>
  <c r="R10" i="23"/>
  <c r="Z41" i="23"/>
  <c r="Z40" i="23"/>
  <c r="Z10" i="23"/>
  <c r="Z11" i="23"/>
  <c r="AD41" i="23"/>
  <c r="AD40" i="23"/>
  <c r="AD10" i="23"/>
  <c r="AD11" i="23"/>
  <c r="L40" i="23"/>
  <c r="L41" i="23"/>
  <c r="L10" i="23"/>
  <c r="L11" i="23"/>
  <c r="M41" i="23"/>
  <c r="M40" i="23"/>
  <c r="M10" i="23"/>
  <c r="M11" i="23"/>
  <c r="AC40" i="23"/>
  <c r="AC41" i="23"/>
  <c r="AC11" i="23"/>
  <c r="AC10" i="23"/>
  <c r="AH11" i="23"/>
  <c r="AH10" i="23"/>
  <c r="AH40" i="23"/>
  <c r="AH41" i="23"/>
  <c r="H40" i="23"/>
  <c r="H41" i="23"/>
  <c r="H11" i="23"/>
  <c r="H10" i="23"/>
  <c r="AG10" i="23"/>
  <c r="AG11" i="23"/>
  <c r="AG41" i="23"/>
  <c r="AG40" i="23"/>
  <c r="J41" i="23"/>
  <c r="J40" i="23"/>
  <c r="J11" i="23"/>
  <c r="J10" i="23"/>
  <c r="O40" i="23"/>
  <c r="O41" i="23"/>
  <c r="O10" i="23"/>
  <c r="O11" i="23"/>
  <c r="T40" i="23"/>
  <c r="T41" i="23"/>
  <c r="T10" i="23"/>
  <c r="T11" i="23"/>
  <c r="X40" i="23"/>
  <c r="X41" i="23"/>
  <c r="X10" i="23"/>
  <c r="X11" i="23"/>
  <c r="N40" i="23"/>
  <c r="N41" i="23"/>
  <c r="N11" i="23"/>
  <c r="N10" i="23"/>
  <c r="Y41" i="23"/>
  <c r="Y40" i="23"/>
  <c r="Y10" i="23"/>
  <c r="Y11" i="23"/>
  <c r="V41" i="23"/>
  <c r="V40" i="23"/>
  <c r="V11" i="23"/>
  <c r="V10" i="23"/>
  <c r="AB40" i="23"/>
  <c r="AB41" i="23"/>
  <c r="AB10" i="23"/>
  <c r="AB11" i="23"/>
  <c r="S40" i="23"/>
  <c r="S41" i="23"/>
  <c r="S10" i="23"/>
  <c r="S11" i="23"/>
  <c r="P41" i="23"/>
  <c r="P40" i="23"/>
  <c r="P10" i="23"/>
  <c r="P11" i="23"/>
  <c r="Q40" i="23"/>
  <c r="Q41" i="23"/>
  <c r="Q11" i="23"/>
  <c r="Q10" i="23"/>
  <c r="K40" i="23"/>
  <c r="K41" i="23"/>
  <c r="K11" i="23"/>
  <c r="K10" i="23"/>
  <c r="P55" i="23" l="1"/>
  <c r="P56" i="23" s="1"/>
  <c r="Y55" i="23"/>
  <c r="Y56" i="23" s="1"/>
  <c r="M55" i="23"/>
  <c r="M56" i="23" s="1"/>
  <c r="AD55" i="23"/>
  <c r="AD56" i="23" s="1"/>
  <c r="R55" i="23"/>
  <c r="R56" i="23" s="1"/>
  <c r="AG55" i="23"/>
  <c r="AG56" i="23" s="1"/>
  <c r="V55" i="23"/>
  <c r="V56" i="23" s="1"/>
  <c r="J55" i="23"/>
  <c r="J56" i="23" s="1"/>
  <c r="Z55" i="23"/>
  <c r="Z56" i="23" s="1"/>
  <c r="U55" i="23"/>
  <c r="U56" i="23" s="1"/>
  <c r="AH55" i="23"/>
  <c r="AH56" i="23" s="1"/>
  <c r="AB55" i="23"/>
  <c r="AB56" i="23" s="1"/>
  <c r="X55" i="23"/>
  <c r="X56" i="23" s="1"/>
  <c r="W55" i="23"/>
  <c r="W56" i="23" s="1"/>
  <c r="AA55" i="23"/>
  <c r="AA56" i="23" s="1"/>
  <c r="K55" i="23"/>
  <c r="K56" i="23" s="1"/>
  <c r="O55" i="23"/>
  <c r="O56" i="23" s="1"/>
  <c r="AF55" i="23"/>
  <c r="AF56" i="23" s="1"/>
  <c r="Q55" i="23"/>
  <c r="Q56" i="23" s="1"/>
  <c r="S55" i="23"/>
  <c r="S56" i="23" s="1"/>
  <c r="N55" i="23"/>
  <c r="N56" i="23" s="1"/>
  <c r="T55" i="23"/>
  <c r="T56" i="23" s="1"/>
  <c r="G68" i="20"/>
  <c r="G60" i="23" s="1"/>
  <c r="P26" i="20" s="1"/>
  <c r="H55" i="23"/>
  <c r="AC55" i="23"/>
  <c r="AC56" i="23" s="1"/>
  <c r="L55" i="23"/>
  <c r="L56" i="23" s="1"/>
  <c r="I55" i="23"/>
  <c r="I83" i="23" s="1"/>
  <c r="I56" i="23" l="1"/>
  <c r="H83" i="23"/>
  <c r="H56" i="23"/>
  <c r="H57" i="23"/>
  <c r="I57" i="23" s="1"/>
  <c r="J57" i="23" s="1"/>
  <c r="K57" i="23" s="1"/>
  <c r="L57" i="23" s="1"/>
  <c r="M57" i="23" s="1"/>
  <c r="N57" i="23" s="1"/>
  <c r="O57" i="23" s="1"/>
  <c r="P57" i="23" s="1"/>
  <c r="Q57" i="23" s="1"/>
  <c r="R57" i="23" s="1"/>
  <c r="S57" i="23" s="1"/>
  <c r="T57" i="23" s="1"/>
  <c r="U57" i="23" s="1"/>
  <c r="V57" i="23" s="1"/>
  <c r="W57" i="23" s="1"/>
  <c r="X57" i="23" s="1"/>
  <c r="Y57" i="23" s="1"/>
  <c r="Z57" i="23" s="1"/>
  <c r="AA57" i="23" s="1"/>
  <c r="AB57" i="23" s="1"/>
  <c r="AC57" i="23" s="1"/>
  <c r="AD57" i="23" s="1"/>
  <c r="AE57" i="23" s="1"/>
  <c r="AF57" i="23" s="1"/>
  <c r="AG57" i="23" s="1"/>
  <c r="AH57" i="23" s="1"/>
  <c r="AI57" i="23" s="1"/>
  <c r="AJ57" i="23" s="1"/>
  <c r="AK57" i="23" s="1"/>
  <c r="AL57" i="23" s="1"/>
  <c r="AM57" i="23" s="1"/>
  <c r="AN57" i="23" s="1"/>
  <c r="AO57" i="23" s="1"/>
  <c r="AP57" i="23" s="1"/>
  <c r="AQ57" i="23" s="1"/>
  <c r="P25" i="20" s="1"/>
  <c r="G59" i="23" l="1"/>
  <c r="P24" i="20" s="1"/>
  <c r="H84" i="23"/>
  <c r="I84" i="23" s="1"/>
  <c r="J84" i="23" s="1"/>
  <c r="K84" i="23" s="1"/>
  <c r="L84" i="23" s="1"/>
  <c r="M84" i="23" s="1"/>
  <c r="N84" i="23" s="1"/>
  <c r="O84" i="23" s="1"/>
  <c r="P84" i="23" s="1"/>
  <c r="Q84" i="23" s="1"/>
  <c r="R84" i="23" s="1"/>
  <c r="S84" i="23" s="1"/>
  <c r="T84" i="23" s="1"/>
  <c r="U84" i="23" s="1"/>
  <c r="V84" i="23" s="1"/>
  <c r="W84" i="23" s="1"/>
  <c r="X84" i="23" s="1"/>
  <c r="Y84" i="23" s="1"/>
  <c r="Z84" i="23" s="1"/>
  <c r="AA84" i="23" s="1"/>
  <c r="G75" i="20"/>
  <c r="G33" i="20" s="1"/>
  <c r="AB84" i="23" l="1"/>
  <c r="AC84" i="23" l="1"/>
  <c r="AD84" i="23" l="1"/>
  <c r="AE84" i="23" l="1"/>
  <c r="AF84" i="23" s="1"/>
  <c r="AG84" i="23" l="1"/>
  <c r="AH84" i="23" l="1"/>
  <c r="AI84" i="23" l="1"/>
  <c r="AJ84" i="23" l="1"/>
  <c r="AK84" i="23" l="1"/>
  <c r="V73" i="23"/>
  <c r="V106" i="23"/>
  <c r="V111" i="23" s="1"/>
  <c r="AL84" i="23" l="1"/>
  <c r="AM84" i="23" l="1"/>
  <c r="W73" i="23"/>
  <c r="W106" i="23"/>
  <c r="W111" i="23" s="1"/>
  <c r="AN84" i="23" l="1"/>
  <c r="AO84" i="23" l="1"/>
  <c r="AP84" i="23" l="1"/>
  <c r="X73" i="23"/>
  <c r="X106" i="23"/>
  <c r="X111" i="23" l="1"/>
  <c r="AQ84" i="23"/>
  <c r="AL73" i="23" l="1"/>
  <c r="AD77" i="23"/>
  <c r="AD42" i="23" s="1"/>
  <c r="AE77" i="23"/>
  <c r="AE42" i="23" s="1"/>
  <c r="AF77" i="23"/>
  <c r="AG77" i="23"/>
  <c r="AG42" i="23" s="1"/>
  <c r="AH77" i="23"/>
  <c r="AI77" i="23"/>
  <c r="AI42" i="23" s="1"/>
  <c r="AJ77" i="23"/>
  <c r="AJ42" i="23" s="1"/>
  <c r="AL106" i="23"/>
  <c r="AH42" i="23" l="1"/>
  <c r="AH43" i="23" s="1"/>
  <c r="AH80" i="23" s="1"/>
  <c r="AF42" i="23"/>
  <c r="AF43" i="23" s="1"/>
  <c r="AF80" i="23" s="1"/>
  <c r="AG43" i="23"/>
  <c r="AG80" i="23" s="1"/>
  <c r="AE43" i="23"/>
  <c r="AE80" i="23" s="1"/>
  <c r="AD43" i="23"/>
  <c r="AD80" i="23" s="1"/>
  <c r="AJ43" i="23"/>
  <c r="AJ80" i="23" s="1"/>
  <c r="AI43" i="23"/>
  <c r="AI80" i="23" s="1"/>
  <c r="AB73" i="23" l="1"/>
  <c r="AB106" i="23"/>
  <c r="AC73" i="23" l="1"/>
  <c r="AC106" i="23"/>
  <c r="AF73" i="23" l="1"/>
  <c r="AC77" i="23"/>
  <c r="AC42" i="23" s="1"/>
  <c r="AF106" i="23"/>
  <c r="AC43" i="23" l="1"/>
  <c r="AC80" i="23" s="1"/>
  <c r="AE73" i="23"/>
  <c r="AE106" i="23"/>
  <c r="AA73" i="23" l="1"/>
  <c r="AA106" i="23"/>
  <c r="AD73" i="23"/>
  <c r="Z77" i="23"/>
  <c r="Z42" i="23" s="1"/>
  <c r="AA77" i="23"/>
  <c r="AA42" i="23" s="1"/>
  <c r="AB77" i="23"/>
  <c r="AB42" i="23" s="1"/>
  <c r="AD106" i="23"/>
  <c r="AB43" i="23" l="1"/>
  <c r="AB80" i="23" s="1"/>
  <c r="AA43" i="23"/>
  <c r="AA80" i="23" s="1"/>
  <c r="Z43" i="23"/>
  <c r="Z80" i="23" s="1"/>
  <c r="Y73" i="23" l="1"/>
  <c r="Y106" i="23"/>
  <c r="Y111" i="23" s="1"/>
  <c r="F40" i="52"/>
  <c r="G40" i="52"/>
  <c r="F42" i="52"/>
  <c r="G42" i="52"/>
  <c r="AF8" i="20"/>
  <c r="Q10" i="20"/>
  <c r="Q11" i="20"/>
  <c r="Q15" i="20"/>
  <c r="Q16" i="20"/>
  <c r="Q17" i="20"/>
  <c r="AF19" i="20"/>
  <c r="P23" i="20"/>
  <c r="Q23" i="20"/>
  <c r="Q24" i="20"/>
  <c r="Q25" i="20"/>
  <c r="Q26" i="20"/>
  <c r="AF30" i="20"/>
  <c r="P32" i="20"/>
  <c r="P33" i="20"/>
  <c r="X33" i="20"/>
  <c r="Y33" i="20"/>
  <c r="Z33" i="20"/>
  <c r="AA33" i="20"/>
  <c r="G35" i="20"/>
  <c r="AF41" i="20"/>
  <c r="G52" i="20"/>
  <c r="G69" i="20"/>
  <c r="G70" i="20"/>
  <c r="G74" i="20"/>
  <c r="G76" i="20"/>
  <c r="G77" i="20"/>
  <c r="G80" i="20"/>
  <c r="G81" i="20"/>
  <c r="H42" i="23"/>
  <c r="I42" i="23"/>
  <c r="J42" i="23"/>
  <c r="K42" i="23"/>
  <c r="L42" i="23"/>
  <c r="M42" i="23"/>
  <c r="N42" i="23"/>
  <c r="O42" i="23"/>
  <c r="P42" i="23"/>
  <c r="Q42" i="23"/>
  <c r="R42" i="23"/>
  <c r="S42" i="23"/>
  <c r="T42" i="23"/>
  <c r="U42" i="23"/>
  <c r="V42" i="23"/>
  <c r="W42" i="23"/>
  <c r="X42" i="23"/>
  <c r="Y42" i="23"/>
  <c r="H43" i="23"/>
  <c r="I43" i="23"/>
  <c r="J43" i="23"/>
  <c r="K43" i="23"/>
  <c r="L43" i="23"/>
  <c r="M43" i="23"/>
  <c r="N43" i="23"/>
  <c r="O43" i="23"/>
  <c r="P43" i="23"/>
  <c r="Q43" i="23"/>
  <c r="R43" i="23"/>
  <c r="S43" i="23"/>
  <c r="T43" i="23"/>
  <c r="U43" i="23"/>
  <c r="V43" i="23"/>
  <c r="W43" i="23"/>
  <c r="X43" i="23"/>
  <c r="Y43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W48" i="23"/>
  <c r="X48" i="23"/>
  <c r="Y48" i="23"/>
  <c r="Z48" i="23"/>
  <c r="AA48" i="23"/>
  <c r="AB48" i="23"/>
  <c r="AC48" i="23"/>
  <c r="AD48" i="23"/>
  <c r="AE48" i="23"/>
  <c r="AF48" i="23"/>
  <c r="AG48" i="23"/>
  <c r="AH48" i="23"/>
  <c r="AI48" i="23"/>
  <c r="AJ48" i="23"/>
  <c r="AK48" i="23"/>
  <c r="AL48" i="23"/>
  <c r="AM48" i="23"/>
  <c r="AN48" i="23"/>
  <c r="AO48" i="23"/>
  <c r="AP48" i="23"/>
  <c r="AQ48" i="23"/>
  <c r="H49" i="23"/>
  <c r="I49" i="23"/>
  <c r="J49" i="23"/>
  <c r="K49" i="23"/>
  <c r="L49" i="23"/>
  <c r="M49" i="23"/>
  <c r="N49" i="23"/>
  <c r="O49" i="23"/>
  <c r="P49" i="23"/>
  <c r="Q49" i="23"/>
  <c r="R49" i="23"/>
  <c r="S49" i="23"/>
  <c r="T49" i="23"/>
  <c r="U49" i="23"/>
  <c r="V49" i="23"/>
  <c r="W49" i="23"/>
  <c r="X49" i="23"/>
  <c r="Y49" i="23"/>
  <c r="Z49" i="23"/>
  <c r="AA49" i="23"/>
  <c r="AB49" i="23"/>
  <c r="AC49" i="23"/>
  <c r="AD49" i="23"/>
  <c r="AE49" i="23"/>
  <c r="AF49" i="23"/>
  <c r="AG49" i="23"/>
  <c r="AH49" i="23"/>
  <c r="AI49" i="23"/>
  <c r="AJ49" i="23"/>
  <c r="AK49" i="23"/>
  <c r="AL49" i="23"/>
  <c r="AM49" i="23"/>
  <c r="AN49" i="23"/>
  <c r="AO49" i="23"/>
  <c r="AP49" i="23"/>
  <c r="AQ49" i="23"/>
  <c r="G58" i="23"/>
  <c r="H62" i="23"/>
  <c r="I62" i="23"/>
  <c r="J62" i="23"/>
  <c r="K62" i="23"/>
  <c r="L62" i="23"/>
  <c r="M62" i="23"/>
  <c r="N62" i="23"/>
  <c r="O62" i="23"/>
  <c r="P62" i="23"/>
  <c r="Q62" i="23"/>
  <c r="R62" i="23"/>
  <c r="S62" i="23"/>
  <c r="T62" i="23"/>
  <c r="U62" i="23"/>
  <c r="V62" i="23"/>
  <c r="W62" i="23"/>
  <c r="X62" i="23"/>
  <c r="Y62" i="23"/>
  <c r="Z62" i="23"/>
  <c r="AA62" i="23"/>
  <c r="AB62" i="23"/>
  <c r="AC62" i="23"/>
  <c r="AD62" i="23"/>
  <c r="AE62" i="23"/>
  <c r="AF62" i="23"/>
  <c r="AG62" i="23"/>
  <c r="AH62" i="23"/>
  <c r="AI62" i="23"/>
  <c r="AJ62" i="23"/>
  <c r="AK62" i="23"/>
  <c r="AL62" i="23"/>
  <c r="AM62" i="23"/>
  <c r="AN62" i="23"/>
  <c r="AO62" i="23"/>
  <c r="AP62" i="23"/>
  <c r="AQ62" i="23"/>
  <c r="H63" i="23"/>
  <c r="I63" i="23"/>
  <c r="J63" i="23"/>
  <c r="K63" i="23"/>
  <c r="L63" i="23"/>
  <c r="M63" i="23"/>
  <c r="N63" i="23"/>
  <c r="O63" i="23"/>
  <c r="P63" i="23"/>
  <c r="Q63" i="23"/>
  <c r="R63" i="23"/>
  <c r="S63" i="23"/>
  <c r="T63" i="23"/>
  <c r="U63" i="23"/>
  <c r="V63" i="23"/>
  <c r="W63" i="23"/>
  <c r="X63" i="23"/>
  <c r="Y63" i="23"/>
  <c r="Z63" i="23"/>
  <c r="AA63" i="23"/>
  <c r="AB63" i="23"/>
  <c r="AC63" i="23"/>
  <c r="AD63" i="23"/>
  <c r="AE63" i="23"/>
  <c r="AF63" i="23"/>
  <c r="AG63" i="23"/>
  <c r="AH63" i="23"/>
  <c r="AI63" i="23"/>
  <c r="AJ63" i="23"/>
  <c r="AK63" i="23"/>
  <c r="AL63" i="23"/>
  <c r="AM63" i="23"/>
  <c r="AN63" i="23"/>
  <c r="AO63" i="23"/>
  <c r="AP63" i="23"/>
  <c r="AQ63" i="23"/>
  <c r="H64" i="23"/>
  <c r="I64" i="23"/>
  <c r="J64" i="23"/>
  <c r="K64" i="23"/>
  <c r="L64" i="23"/>
  <c r="M64" i="23"/>
  <c r="N64" i="23"/>
  <c r="O64" i="23"/>
  <c r="P64" i="23"/>
  <c r="Q64" i="23"/>
  <c r="R64" i="23"/>
  <c r="S64" i="23"/>
  <c r="T64" i="23"/>
  <c r="U64" i="23"/>
  <c r="V64" i="23"/>
  <c r="W64" i="23"/>
  <c r="X64" i="23"/>
  <c r="Y64" i="23"/>
  <c r="Z64" i="23"/>
  <c r="AA64" i="23"/>
  <c r="AB64" i="23"/>
  <c r="AC64" i="23"/>
  <c r="AD64" i="23"/>
  <c r="AE64" i="23"/>
  <c r="AF64" i="23"/>
  <c r="AG64" i="23"/>
  <c r="AH64" i="23"/>
  <c r="AI64" i="23"/>
  <c r="AJ64" i="23"/>
  <c r="AK64" i="23"/>
  <c r="AL64" i="23"/>
  <c r="AM64" i="23"/>
  <c r="AN64" i="23"/>
  <c r="AO64" i="23"/>
  <c r="AP64" i="23"/>
  <c r="AQ64" i="23"/>
  <c r="G65" i="23"/>
  <c r="G66" i="23"/>
  <c r="G67" i="23"/>
  <c r="I71" i="23"/>
  <c r="J71" i="23"/>
  <c r="K71" i="23"/>
  <c r="L71" i="23"/>
  <c r="M71" i="23"/>
  <c r="N71" i="23"/>
  <c r="O71" i="23"/>
  <c r="P71" i="23"/>
  <c r="Q71" i="23"/>
  <c r="R71" i="23"/>
  <c r="S71" i="23"/>
  <c r="T71" i="23"/>
  <c r="U71" i="23"/>
  <c r="V71" i="23"/>
  <c r="W71" i="23"/>
  <c r="X71" i="23"/>
  <c r="Y71" i="23"/>
  <c r="Z71" i="23"/>
  <c r="AA71" i="23"/>
  <c r="AB71" i="23"/>
  <c r="AC71" i="23"/>
  <c r="AD71" i="23"/>
  <c r="AE71" i="23"/>
  <c r="AF71" i="23"/>
  <c r="AG71" i="23"/>
  <c r="AH71" i="23"/>
  <c r="AI71" i="23"/>
  <c r="AJ71" i="23"/>
  <c r="AK71" i="23"/>
  <c r="AL71" i="23"/>
  <c r="AM71" i="23"/>
  <c r="AN71" i="23"/>
  <c r="AO71" i="23"/>
  <c r="AP71" i="23"/>
  <c r="AQ71" i="23"/>
  <c r="H72" i="23"/>
  <c r="I72" i="23"/>
  <c r="J72" i="23"/>
  <c r="K72" i="23"/>
  <c r="L72" i="23"/>
  <c r="M72" i="23"/>
  <c r="N72" i="23"/>
  <c r="O72" i="23"/>
  <c r="P72" i="23"/>
  <c r="Q72" i="23"/>
  <c r="R72" i="23"/>
  <c r="S72" i="23"/>
  <c r="T72" i="23"/>
  <c r="U72" i="23"/>
  <c r="V72" i="23"/>
  <c r="W72" i="23"/>
  <c r="X72" i="23"/>
  <c r="Y72" i="23"/>
  <c r="Z72" i="23"/>
  <c r="AA72" i="23"/>
  <c r="AB72" i="23"/>
  <c r="AC72" i="23"/>
  <c r="AD72" i="23"/>
  <c r="AE72" i="23"/>
  <c r="AF72" i="23"/>
  <c r="AG72" i="23"/>
  <c r="AH72" i="23"/>
  <c r="AI72" i="23"/>
  <c r="AJ72" i="23"/>
  <c r="AK72" i="23"/>
  <c r="AL72" i="23"/>
  <c r="AM72" i="23"/>
  <c r="AN72" i="23"/>
  <c r="AO72" i="23"/>
  <c r="AP72" i="23"/>
  <c r="AQ72" i="23"/>
  <c r="Z73" i="23"/>
  <c r="H74" i="23"/>
  <c r="I74" i="23"/>
  <c r="J74" i="23"/>
  <c r="K74" i="23"/>
  <c r="L74" i="23"/>
  <c r="M74" i="23"/>
  <c r="N74" i="23"/>
  <c r="O74" i="23"/>
  <c r="P74" i="23"/>
  <c r="Q74" i="23"/>
  <c r="R74" i="23"/>
  <c r="S74" i="23"/>
  <c r="T74" i="23"/>
  <c r="U74" i="23"/>
  <c r="V74" i="23"/>
  <c r="W74" i="23"/>
  <c r="X74" i="23"/>
  <c r="Y74" i="23"/>
  <c r="Z74" i="23"/>
  <c r="AA74" i="23"/>
  <c r="AB74" i="23"/>
  <c r="AC74" i="23"/>
  <c r="AD74" i="23"/>
  <c r="AE74" i="23"/>
  <c r="AF74" i="23"/>
  <c r="AG74" i="23"/>
  <c r="AH74" i="23"/>
  <c r="AI74" i="23"/>
  <c r="AJ74" i="23"/>
  <c r="AK74" i="23"/>
  <c r="AL74" i="23"/>
  <c r="AM74" i="23"/>
  <c r="AN74" i="23"/>
  <c r="AO74" i="23"/>
  <c r="AP74" i="23"/>
  <c r="AQ74" i="23"/>
  <c r="H75" i="23"/>
  <c r="I75" i="23"/>
  <c r="J75" i="23"/>
  <c r="K75" i="23"/>
  <c r="L75" i="23"/>
  <c r="M75" i="23"/>
  <c r="N75" i="23"/>
  <c r="O75" i="23"/>
  <c r="P75" i="23"/>
  <c r="Q75" i="23"/>
  <c r="R75" i="23"/>
  <c r="S75" i="23"/>
  <c r="T75" i="23"/>
  <c r="U75" i="23"/>
  <c r="V75" i="23"/>
  <c r="W75" i="23"/>
  <c r="X75" i="23"/>
  <c r="Y75" i="23"/>
  <c r="Z75" i="23"/>
  <c r="AA75" i="23"/>
  <c r="AB75" i="23"/>
  <c r="AC75" i="23"/>
  <c r="AD75" i="23"/>
  <c r="AE75" i="23"/>
  <c r="AF75" i="23"/>
  <c r="AG75" i="23"/>
  <c r="AH75" i="23"/>
  <c r="AI75" i="23"/>
  <c r="AJ75" i="23"/>
  <c r="AK75" i="23"/>
  <c r="AL75" i="23"/>
  <c r="AM75" i="23"/>
  <c r="AN75" i="23"/>
  <c r="AO75" i="23"/>
  <c r="AP75" i="23"/>
  <c r="AQ75" i="23"/>
  <c r="H76" i="23"/>
  <c r="I76" i="23"/>
  <c r="J76" i="23"/>
  <c r="K76" i="23"/>
  <c r="L76" i="23"/>
  <c r="M76" i="23"/>
  <c r="N76" i="23"/>
  <c r="O76" i="23"/>
  <c r="P76" i="23"/>
  <c r="Q76" i="23"/>
  <c r="R76" i="23"/>
  <c r="S76" i="23"/>
  <c r="T76" i="23"/>
  <c r="U76" i="23"/>
  <c r="V76" i="23"/>
  <c r="W76" i="23"/>
  <c r="X76" i="23"/>
  <c r="Y76" i="23"/>
  <c r="Z76" i="23"/>
  <c r="AA76" i="23"/>
  <c r="AB76" i="23"/>
  <c r="AC76" i="23"/>
  <c r="AD76" i="23"/>
  <c r="AE76" i="23"/>
  <c r="AF76" i="23"/>
  <c r="AG76" i="23"/>
  <c r="AH76" i="23"/>
  <c r="AI76" i="23"/>
  <c r="AJ76" i="23"/>
  <c r="AK76" i="23"/>
  <c r="AL76" i="23"/>
  <c r="AM76" i="23"/>
  <c r="AN76" i="23"/>
  <c r="AO76" i="23"/>
  <c r="AP76" i="23"/>
  <c r="AQ76" i="23"/>
  <c r="H77" i="23"/>
  <c r="I77" i="23"/>
  <c r="J77" i="23"/>
  <c r="K77" i="23"/>
  <c r="L77" i="23"/>
  <c r="M77" i="23"/>
  <c r="N77" i="23"/>
  <c r="O77" i="23"/>
  <c r="P77" i="23"/>
  <c r="Q77" i="23"/>
  <c r="R77" i="23"/>
  <c r="S77" i="23"/>
  <c r="T77" i="23"/>
  <c r="U77" i="23"/>
  <c r="V77" i="23"/>
  <c r="W77" i="23"/>
  <c r="X77" i="23"/>
  <c r="Y77" i="23"/>
  <c r="H78" i="23"/>
  <c r="I78" i="23"/>
  <c r="J78" i="23"/>
  <c r="K78" i="23"/>
  <c r="L78" i="23"/>
  <c r="M78" i="23"/>
  <c r="N78" i="23"/>
  <c r="O78" i="23"/>
  <c r="P78" i="23"/>
  <c r="Q78" i="23"/>
  <c r="R78" i="23"/>
  <c r="S78" i="23"/>
  <c r="T78" i="23"/>
  <c r="U78" i="23"/>
  <c r="V78" i="23"/>
  <c r="W78" i="23"/>
  <c r="X78" i="23"/>
  <c r="Y78" i="23"/>
  <c r="Z78" i="23"/>
  <c r="AA78" i="23"/>
  <c r="AB78" i="23"/>
  <c r="AC78" i="23"/>
  <c r="AD78" i="23"/>
  <c r="AE78" i="23"/>
  <c r="AF78" i="23"/>
  <c r="AG78" i="23"/>
  <c r="AH78" i="23"/>
  <c r="AI78" i="23"/>
  <c r="AJ78" i="23"/>
  <c r="AK78" i="23"/>
  <c r="AL78" i="23"/>
  <c r="AM78" i="23"/>
  <c r="AN78" i="23"/>
  <c r="AO78" i="23"/>
  <c r="AP78" i="23"/>
  <c r="AQ78" i="23"/>
  <c r="H80" i="23"/>
  <c r="I80" i="23"/>
  <c r="J80" i="23"/>
  <c r="K80" i="23"/>
  <c r="L80" i="23"/>
  <c r="M80" i="23"/>
  <c r="N80" i="23"/>
  <c r="O80" i="23"/>
  <c r="P80" i="23"/>
  <c r="Q80" i="23"/>
  <c r="R80" i="23"/>
  <c r="S80" i="23"/>
  <c r="T80" i="23"/>
  <c r="U80" i="23"/>
  <c r="V80" i="23"/>
  <c r="W80" i="23"/>
  <c r="X80" i="23"/>
  <c r="Y80" i="23"/>
  <c r="H81" i="23"/>
  <c r="I81" i="23"/>
  <c r="J81" i="23"/>
  <c r="K81" i="23"/>
  <c r="L81" i="23"/>
  <c r="M81" i="23"/>
  <c r="N81" i="23"/>
  <c r="O81" i="23"/>
  <c r="P81" i="23"/>
  <c r="Q81" i="23"/>
  <c r="R81" i="23"/>
  <c r="S81" i="23"/>
  <c r="T81" i="23"/>
  <c r="U81" i="23"/>
  <c r="V81" i="23"/>
  <c r="W81" i="23"/>
  <c r="X81" i="23"/>
  <c r="Y81" i="23"/>
  <c r="Z81" i="23"/>
  <c r="AA81" i="23"/>
  <c r="AB81" i="23"/>
  <c r="AC81" i="23"/>
  <c r="AD81" i="23"/>
  <c r="AE81" i="23"/>
  <c r="AF81" i="23"/>
  <c r="AG81" i="23"/>
  <c r="AH81" i="23"/>
  <c r="AI81" i="23"/>
  <c r="AJ81" i="23"/>
  <c r="AK81" i="23"/>
  <c r="AL81" i="23"/>
  <c r="AM81" i="23"/>
  <c r="AN81" i="23"/>
  <c r="AO81" i="23"/>
  <c r="AP81" i="23"/>
  <c r="AQ81" i="23"/>
  <c r="H86" i="23"/>
  <c r="I86" i="23"/>
  <c r="J86" i="23"/>
  <c r="K86" i="23"/>
  <c r="L86" i="23"/>
  <c r="M86" i="23"/>
  <c r="N86" i="23"/>
  <c r="O86" i="23"/>
  <c r="P86" i="23"/>
  <c r="Q86" i="23"/>
  <c r="R86" i="23"/>
  <c r="S86" i="23"/>
  <c r="T86" i="23"/>
  <c r="U86" i="23"/>
  <c r="V86" i="23"/>
  <c r="W86" i="23"/>
  <c r="X86" i="23"/>
  <c r="Y86" i="23"/>
  <c r="Z86" i="23"/>
  <c r="AA86" i="23"/>
  <c r="AB86" i="23"/>
  <c r="AC86" i="23"/>
  <c r="AD86" i="23"/>
  <c r="AE86" i="23"/>
  <c r="AF86" i="23"/>
  <c r="AG86" i="23"/>
  <c r="AH86" i="23"/>
  <c r="AI86" i="23"/>
  <c r="AJ86" i="23"/>
  <c r="AK86" i="23"/>
  <c r="AL86" i="23"/>
  <c r="AM86" i="23"/>
  <c r="AN86" i="23"/>
  <c r="AO86" i="23"/>
  <c r="AP86" i="23"/>
  <c r="AQ86" i="23"/>
  <c r="H87" i="23"/>
  <c r="I87" i="23"/>
  <c r="J87" i="23"/>
  <c r="K87" i="23"/>
  <c r="L87" i="23"/>
  <c r="M87" i="23"/>
  <c r="N87" i="23"/>
  <c r="O87" i="23"/>
  <c r="P87" i="23"/>
  <c r="Q87" i="23"/>
  <c r="R87" i="23"/>
  <c r="S87" i="23"/>
  <c r="T87" i="23"/>
  <c r="U87" i="23"/>
  <c r="V87" i="23"/>
  <c r="W87" i="23"/>
  <c r="X87" i="23"/>
  <c r="Y87" i="23"/>
  <c r="Z87" i="23"/>
  <c r="AA87" i="23"/>
  <c r="AB87" i="23"/>
  <c r="AC87" i="23"/>
  <c r="AD87" i="23"/>
  <c r="AE87" i="23"/>
  <c r="AF87" i="23"/>
  <c r="AG87" i="23"/>
  <c r="AH87" i="23"/>
  <c r="AI87" i="23"/>
  <c r="AJ87" i="23"/>
  <c r="AK87" i="23"/>
  <c r="AL87" i="23"/>
  <c r="AM87" i="23"/>
  <c r="AN87" i="23"/>
  <c r="AO87" i="23"/>
  <c r="AP87" i="23"/>
  <c r="AQ87" i="23"/>
  <c r="H88" i="23"/>
  <c r="I88" i="23"/>
  <c r="J88" i="23"/>
  <c r="K88" i="23"/>
  <c r="L88" i="23"/>
  <c r="M88" i="23"/>
  <c r="N88" i="23"/>
  <c r="O88" i="23"/>
  <c r="P88" i="23"/>
  <c r="Q88" i="23"/>
  <c r="R88" i="23"/>
  <c r="S88" i="23"/>
  <c r="T88" i="23"/>
  <c r="U88" i="23"/>
  <c r="V88" i="23"/>
  <c r="W88" i="23"/>
  <c r="X88" i="23"/>
  <c r="Y88" i="23"/>
  <c r="Z88" i="23"/>
  <c r="AA88" i="23"/>
  <c r="AB88" i="23"/>
  <c r="AC88" i="23"/>
  <c r="AD88" i="23"/>
  <c r="AE88" i="23"/>
  <c r="AF88" i="23"/>
  <c r="AG88" i="23"/>
  <c r="AH88" i="23"/>
  <c r="AI88" i="23"/>
  <c r="AJ88" i="23"/>
  <c r="AK88" i="23"/>
  <c r="AL88" i="23"/>
  <c r="AM88" i="23"/>
  <c r="AN88" i="23"/>
  <c r="AO88" i="23"/>
  <c r="AP88" i="23"/>
  <c r="AQ88" i="23"/>
  <c r="H90" i="23"/>
  <c r="I90" i="23"/>
  <c r="J90" i="23"/>
  <c r="K90" i="23"/>
  <c r="L90" i="23"/>
  <c r="M90" i="23"/>
  <c r="N90" i="23"/>
  <c r="O90" i="23"/>
  <c r="P90" i="23"/>
  <c r="Q90" i="23"/>
  <c r="R90" i="23"/>
  <c r="S90" i="23"/>
  <c r="T90" i="23"/>
  <c r="U90" i="23"/>
  <c r="V90" i="23"/>
  <c r="W90" i="23"/>
  <c r="X90" i="23"/>
  <c r="Y90" i="23"/>
  <c r="Z90" i="23"/>
  <c r="AA90" i="23"/>
  <c r="AB90" i="23"/>
  <c r="AC90" i="23"/>
  <c r="AD90" i="23"/>
  <c r="AE90" i="23"/>
  <c r="AF90" i="23"/>
  <c r="AG90" i="23"/>
  <c r="AH90" i="23"/>
  <c r="AI90" i="23"/>
  <c r="AJ90" i="23"/>
  <c r="AK90" i="23"/>
  <c r="AL90" i="23"/>
  <c r="AM90" i="23"/>
  <c r="AN90" i="23"/>
  <c r="AO90" i="23"/>
  <c r="AP90" i="23"/>
  <c r="AQ90" i="23"/>
  <c r="H92" i="23"/>
  <c r="I92" i="23"/>
  <c r="J92" i="23"/>
  <c r="K92" i="23"/>
  <c r="L92" i="23"/>
  <c r="M92" i="23"/>
  <c r="N92" i="23"/>
  <c r="O92" i="23"/>
  <c r="P92" i="23"/>
  <c r="Q92" i="23"/>
  <c r="R92" i="23"/>
  <c r="S92" i="23"/>
  <c r="T92" i="23"/>
  <c r="U92" i="23"/>
  <c r="V92" i="23"/>
  <c r="W92" i="23"/>
  <c r="X92" i="23"/>
  <c r="Y92" i="23"/>
  <c r="Z92" i="23"/>
  <c r="AA92" i="23"/>
  <c r="AB92" i="23"/>
  <c r="AC92" i="23"/>
  <c r="AD92" i="23"/>
  <c r="AE92" i="23"/>
  <c r="AF92" i="23"/>
  <c r="AG92" i="23"/>
  <c r="AH92" i="23"/>
  <c r="AI92" i="23"/>
  <c r="AJ92" i="23"/>
  <c r="AK92" i="23"/>
  <c r="AL92" i="23"/>
  <c r="AM92" i="23"/>
  <c r="AN92" i="23"/>
  <c r="AO92" i="23"/>
  <c r="AP92" i="23"/>
  <c r="AQ92" i="23"/>
  <c r="H93" i="23"/>
  <c r="I93" i="23"/>
  <c r="J93" i="23"/>
  <c r="K93" i="23"/>
  <c r="L93" i="23"/>
  <c r="M93" i="23"/>
  <c r="N93" i="23"/>
  <c r="O93" i="23"/>
  <c r="P93" i="23"/>
  <c r="Q93" i="23"/>
  <c r="R93" i="23"/>
  <c r="S93" i="23"/>
  <c r="T93" i="23"/>
  <c r="U93" i="23"/>
  <c r="V93" i="23"/>
  <c r="W93" i="23"/>
  <c r="X93" i="23"/>
  <c r="Y93" i="23"/>
  <c r="Z93" i="23"/>
  <c r="AA93" i="23"/>
  <c r="AB93" i="23"/>
  <c r="AC93" i="23"/>
  <c r="AD93" i="23"/>
  <c r="AE93" i="23"/>
  <c r="AF93" i="23"/>
  <c r="AG93" i="23"/>
  <c r="AH93" i="23"/>
  <c r="AI93" i="23"/>
  <c r="AJ93" i="23"/>
  <c r="AK93" i="23"/>
  <c r="AL93" i="23"/>
  <c r="AM93" i="23"/>
  <c r="AN93" i="23"/>
  <c r="AO93" i="23"/>
  <c r="AP93" i="23"/>
  <c r="AQ93" i="23"/>
  <c r="H95" i="23"/>
  <c r="I95" i="23"/>
  <c r="J95" i="23"/>
  <c r="K95" i="23"/>
  <c r="L95" i="23"/>
  <c r="M95" i="23"/>
  <c r="N95" i="23"/>
  <c r="O95" i="23"/>
  <c r="P95" i="23"/>
  <c r="Q95" i="23"/>
  <c r="R95" i="23"/>
  <c r="S95" i="23"/>
  <c r="T95" i="23"/>
  <c r="U95" i="23"/>
  <c r="V95" i="23"/>
  <c r="W95" i="23"/>
  <c r="X95" i="23"/>
  <c r="Y95" i="23"/>
  <c r="Z95" i="23"/>
  <c r="AA95" i="23"/>
  <c r="AB95" i="23"/>
  <c r="AC95" i="23"/>
  <c r="AD95" i="23"/>
  <c r="AE95" i="23"/>
  <c r="AF95" i="23"/>
  <c r="AG95" i="23"/>
  <c r="AH95" i="23"/>
  <c r="AI95" i="23"/>
  <c r="AJ95" i="23"/>
  <c r="AK95" i="23"/>
  <c r="AL95" i="23"/>
  <c r="AM95" i="23"/>
  <c r="AN95" i="23"/>
  <c r="AO95" i="23"/>
  <c r="AP95" i="23"/>
  <c r="AQ95" i="23"/>
  <c r="H96" i="23"/>
  <c r="I96" i="23"/>
  <c r="J96" i="23"/>
  <c r="K96" i="23"/>
  <c r="L96" i="23"/>
  <c r="M96" i="23"/>
  <c r="N96" i="23"/>
  <c r="O96" i="23"/>
  <c r="P96" i="23"/>
  <c r="Q96" i="23"/>
  <c r="R96" i="23"/>
  <c r="S96" i="23"/>
  <c r="T96" i="23"/>
  <c r="U96" i="23"/>
  <c r="V96" i="23"/>
  <c r="W96" i="23"/>
  <c r="X96" i="23"/>
  <c r="Y96" i="23"/>
  <c r="Z96" i="23"/>
  <c r="AA96" i="23"/>
  <c r="AB96" i="23"/>
  <c r="AC96" i="23"/>
  <c r="AD96" i="23"/>
  <c r="AE96" i="23"/>
  <c r="AF96" i="23"/>
  <c r="AG96" i="23"/>
  <c r="AH96" i="23"/>
  <c r="AI96" i="23"/>
  <c r="AJ96" i="23"/>
  <c r="AK96" i="23"/>
  <c r="AL96" i="23"/>
  <c r="AM96" i="23"/>
  <c r="AN96" i="23"/>
  <c r="AO96" i="23"/>
  <c r="AP96" i="23"/>
  <c r="AQ96" i="23"/>
  <c r="H98" i="23"/>
  <c r="I98" i="23"/>
  <c r="J98" i="23"/>
  <c r="K98" i="23"/>
  <c r="L98" i="23"/>
  <c r="M98" i="23"/>
  <c r="N98" i="23"/>
  <c r="O98" i="23"/>
  <c r="P98" i="23"/>
  <c r="Q98" i="23"/>
  <c r="R98" i="23"/>
  <c r="S98" i="23"/>
  <c r="T98" i="23"/>
  <c r="U98" i="23"/>
  <c r="V98" i="23"/>
  <c r="W98" i="23"/>
  <c r="X98" i="23"/>
  <c r="Y98" i="23"/>
  <c r="Z98" i="23"/>
  <c r="AA98" i="23"/>
  <c r="AB98" i="23"/>
  <c r="AC98" i="23"/>
  <c r="AD98" i="23"/>
  <c r="AE98" i="23"/>
  <c r="AF98" i="23"/>
  <c r="AG98" i="23"/>
  <c r="AH98" i="23"/>
  <c r="AI98" i="23"/>
  <c r="AJ98" i="23"/>
  <c r="AK98" i="23"/>
  <c r="AL98" i="23"/>
  <c r="AM98" i="23"/>
  <c r="AN98" i="23"/>
  <c r="AO98" i="23"/>
  <c r="AP98" i="23"/>
  <c r="AQ98" i="23"/>
  <c r="H99" i="23"/>
  <c r="I99" i="23"/>
  <c r="J99" i="23"/>
  <c r="K99" i="23"/>
  <c r="L99" i="23"/>
  <c r="M99" i="23"/>
  <c r="N99" i="23"/>
  <c r="O99" i="23"/>
  <c r="P99" i="23"/>
  <c r="Q99" i="23"/>
  <c r="R99" i="23"/>
  <c r="S99" i="23"/>
  <c r="T99" i="23"/>
  <c r="U99" i="23"/>
  <c r="V99" i="23"/>
  <c r="W99" i="23"/>
  <c r="X99" i="23"/>
  <c r="Y99" i="23"/>
  <c r="Z99" i="23"/>
  <c r="AA99" i="23"/>
  <c r="AB99" i="23"/>
  <c r="AC99" i="23"/>
  <c r="AD99" i="23"/>
  <c r="AE99" i="23"/>
  <c r="AF99" i="23"/>
  <c r="AG99" i="23"/>
  <c r="AH99" i="23"/>
  <c r="AI99" i="23"/>
  <c r="AJ99" i="23"/>
  <c r="AK99" i="23"/>
  <c r="AL99" i="23"/>
  <c r="AM99" i="23"/>
  <c r="AN99" i="23"/>
  <c r="AO99" i="23"/>
  <c r="AP99" i="23"/>
  <c r="AQ99" i="23"/>
  <c r="H105" i="23"/>
  <c r="I105" i="23"/>
  <c r="J105" i="23"/>
  <c r="K105" i="23"/>
  <c r="L105" i="23"/>
  <c r="M105" i="23"/>
  <c r="N105" i="23"/>
  <c r="O105" i="23"/>
  <c r="P105" i="23"/>
  <c r="Q105" i="23"/>
  <c r="R105" i="23"/>
  <c r="S105" i="23"/>
  <c r="T105" i="23"/>
  <c r="U105" i="23"/>
  <c r="V105" i="23"/>
  <c r="W105" i="23"/>
  <c r="X105" i="23"/>
  <c r="Y105" i="23"/>
  <c r="Z105" i="23"/>
  <c r="AA105" i="23"/>
  <c r="AB105" i="23"/>
  <c r="AC105" i="23"/>
  <c r="AD105" i="23"/>
  <c r="AE105" i="23"/>
  <c r="AF105" i="23"/>
  <c r="AG105" i="23"/>
  <c r="AH105" i="23"/>
  <c r="AI105" i="23"/>
  <c r="AJ105" i="23"/>
  <c r="AK105" i="23"/>
  <c r="AL105" i="23"/>
  <c r="AM105" i="23"/>
  <c r="AN105" i="23"/>
  <c r="AO105" i="23"/>
  <c r="AP105" i="23"/>
  <c r="AQ105" i="23"/>
  <c r="Z106" i="23"/>
  <c r="G107" i="23"/>
  <c r="H107" i="23"/>
  <c r="I107" i="23"/>
  <c r="J107" i="23"/>
  <c r="K107" i="23"/>
  <c r="L107" i="23"/>
  <c r="M107" i="23"/>
  <c r="N107" i="23"/>
  <c r="O107" i="23"/>
  <c r="P107" i="23"/>
  <c r="Q107" i="23"/>
  <c r="R107" i="23"/>
  <c r="S107" i="23"/>
  <c r="T107" i="23"/>
  <c r="U107" i="23"/>
  <c r="V107" i="23"/>
  <c r="W107" i="23"/>
  <c r="X107" i="23"/>
  <c r="Y107" i="23"/>
  <c r="Z107" i="23"/>
  <c r="AA107" i="23"/>
  <c r="AB107" i="23"/>
  <c r="AC107" i="23"/>
  <c r="AD107" i="23"/>
  <c r="AE107" i="23"/>
  <c r="AF107" i="23"/>
  <c r="AG107" i="23"/>
  <c r="AH107" i="23"/>
  <c r="AI107" i="23"/>
  <c r="AJ107" i="23"/>
  <c r="AK107" i="23"/>
  <c r="AL107" i="23"/>
  <c r="AM107" i="23"/>
  <c r="AN107" i="23"/>
  <c r="AO107" i="23"/>
  <c r="AP107" i="23"/>
  <c r="AQ107" i="23"/>
  <c r="G108" i="23"/>
  <c r="H108" i="23"/>
  <c r="I108" i="23"/>
  <c r="J108" i="23"/>
  <c r="K108" i="23"/>
  <c r="L108" i="23"/>
  <c r="M108" i="23"/>
  <c r="N108" i="23"/>
  <c r="O108" i="23"/>
  <c r="P108" i="23"/>
  <c r="Q108" i="23"/>
  <c r="R108" i="23"/>
  <c r="S108" i="23"/>
  <c r="T108" i="23"/>
  <c r="U108" i="23"/>
  <c r="V108" i="23"/>
  <c r="W108" i="23"/>
  <c r="X108" i="23"/>
  <c r="Y108" i="23"/>
  <c r="Z108" i="23"/>
  <c r="AA108" i="23"/>
  <c r="AB108" i="23"/>
  <c r="AC108" i="23"/>
  <c r="AD108" i="23"/>
  <c r="AE108" i="23"/>
  <c r="AF108" i="23"/>
  <c r="AG108" i="23"/>
  <c r="AH108" i="23"/>
  <c r="AI108" i="23"/>
  <c r="AJ108" i="23"/>
  <c r="AK108" i="23"/>
  <c r="AL108" i="23"/>
  <c r="AM108" i="23"/>
  <c r="AN108" i="23"/>
  <c r="AO108" i="23"/>
  <c r="AP108" i="23"/>
  <c r="AQ108" i="23"/>
  <c r="G109" i="23"/>
  <c r="H109" i="23"/>
  <c r="I109" i="23"/>
  <c r="J109" i="23"/>
  <c r="K109" i="23"/>
  <c r="L109" i="23"/>
  <c r="M109" i="23"/>
  <c r="N109" i="23"/>
  <c r="O109" i="23"/>
  <c r="P109" i="23"/>
  <c r="Q109" i="23"/>
  <c r="R109" i="23"/>
  <c r="S109" i="23"/>
  <c r="T109" i="23"/>
  <c r="U109" i="23"/>
  <c r="V109" i="23"/>
  <c r="W109" i="23"/>
  <c r="X109" i="23"/>
  <c r="Y109" i="23"/>
  <c r="Z109" i="23"/>
  <c r="AA109" i="23"/>
  <c r="AB109" i="23"/>
  <c r="AC109" i="23"/>
  <c r="AD109" i="23"/>
  <c r="AE109" i="23"/>
  <c r="AF109" i="23"/>
  <c r="AG109" i="23"/>
  <c r="AH109" i="23"/>
  <c r="AI109" i="23"/>
  <c r="AJ109" i="23"/>
  <c r="AK109" i="23"/>
  <c r="AL109" i="23"/>
  <c r="AM109" i="23"/>
  <c r="AN109" i="23"/>
  <c r="AO109" i="23"/>
  <c r="AP109" i="23"/>
  <c r="AQ109" i="23"/>
  <c r="Z111" i="23"/>
  <c r="AA111" i="23"/>
  <c r="AB111" i="23"/>
  <c r="AC111" i="23"/>
  <c r="AD111" i="23"/>
  <c r="AE111" i="23"/>
  <c r="AF111" i="23"/>
  <c r="AG111" i="23"/>
  <c r="AH111" i="23"/>
  <c r="AI111" i="23"/>
  <c r="AJ111" i="23"/>
  <c r="AK111" i="23"/>
  <c r="AL111" i="23"/>
  <c r="AM111" i="23"/>
  <c r="AN111" i="23"/>
  <c r="AO111" i="23"/>
  <c r="AP111" i="23"/>
  <c r="AQ111" i="23"/>
  <c r="G113" i="23"/>
  <c r="H113" i="23"/>
  <c r="I113" i="23"/>
  <c r="J113" i="23"/>
  <c r="K113" i="23"/>
  <c r="L113" i="23"/>
  <c r="M113" i="23"/>
  <c r="N113" i="23"/>
  <c r="O113" i="23"/>
  <c r="P113" i="23"/>
  <c r="Q113" i="23"/>
  <c r="R113" i="23"/>
  <c r="S113" i="23"/>
  <c r="T113" i="23"/>
  <c r="U113" i="23"/>
  <c r="V113" i="23"/>
  <c r="W113" i="23"/>
  <c r="X113" i="23"/>
  <c r="Y113" i="23"/>
  <c r="Z113" i="23"/>
  <c r="AA113" i="23"/>
  <c r="AB113" i="23"/>
  <c r="AC113" i="23"/>
  <c r="AD113" i="23"/>
  <c r="AE113" i="23"/>
  <c r="AF113" i="23"/>
  <c r="AG113" i="23"/>
  <c r="AH113" i="23"/>
  <c r="AI113" i="23"/>
  <c r="AJ113" i="23"/>
  <c r="AK113" i="23"/>
  <c r="AL113" i="23"/>
  <c r="AM113" i="23"/>
  <c r="AN113" i="23"/>
  <c r="AO113" i="23"/>
  <c r="AP113" i="23"/>
  <c r="AQ113" i="23"/>
  <c r="G114" i="23"/>
  <c r="H114" i="23"/>
  <c r="I114" i="23"/>
  <c r="J114" i="23"/>
  <c r="K114" i="23"/>
  <c r="L114" i="23"/>
  <c r="M114" i="23"/>
  <c r="N114" i="23"/>
  <c r="O114" i="23"/>
  <c r="P114" i="23"/>
  <c r="Q114" i="23"/>
  <c r="R114" i="23"/>
  <c r="S114" i="23"/>
  <c r="T114" i="23"/>
  <c r="U114" i="23"/>
  <c r="V114" i="23"/>
  <c r="W114" i="23"/>
  <c r="X114" i="23"/>
  <c r="Y114" i="23"/>
  <c r="Z114" i="23"/>
  <c r="AA114" i="23"/>
  <c r="AB114" i="23"/>
  <c r="AC114" i="23"/>
  <c r="AD114" i="23"/>
  <c r="AE114" i="23"/>
  <c r="AF114" i="23"/>
  <c r="AG114" i="23"/>
  <c r="AH114" i="23"/>
  <c r="AI114" i="23"/>
  <c r="AJ114" i="23"/>
  <c r="AK114" i="23"/>
  <c r="AL114" i="23"/>
  <c r="AM114" i="23"/>
  <c r="AN114" i="23"/>
  <c r="AO114" i="23"/>
  <c r="AP114" i="23"/>
  <c r="AQ114" i="23"/>
  <c r="G115" i="23"/>
  <c r="H115" i="23"/>
  <c r="I115" i="23"/>
  <c r="J115" i="23"/>
  <c r="K115" i="23"/>
  <c r="L115" i="23"/>
  <c r="M115" i="23"/>
  <c r="N115" i="23"/>
  <c r="O115" i="23"/>
  <c r="P115" i="23"/>
  <c r="Q115" i="23"/>
  <c r="R115" i="23"/>
  <c r="S115" i="23"/>
  <c r="T115" i="23"/>
  <c r="U115" i="23"/>
  <c r="V115" i="23"/>
  <c r="W115" i="23"/>
  <c r="X115" i="23"/>
  <c r="Y115" i="23"/>
  <c r="Z115" i="23"/>
  <c r="AA115" i="23"/>
  <c r="AB115" i="23"/>
  <c r="AC115" i="23"/>
  <c r="AD115" i="23"/>
  <c r="AE115" i="23"/>
  <c r="AF115" i="23"/>
  <c r="AG115" i="23"/>
  <c r="AH115" i="23"/>
  <c r="AI115" i="23"/>
  <c r="AJ115" i="23"/>
  <c r="AK115" i="23"/>
  <c r="AL115" i="23"/>
  <c r="AM115" i="23"/>
  <c r="AN115" i="23"/>
  <c r="AO115" i="23"/>
  <c r="AP115" i="23"/>
  <c r="AQ115" i="23"/>
  <c r="I22" i="56"/>
  <c r="J22" i="56"/>
  <c r="K22" i="56"/>
  <c r="L22" i="56"/>
  <c r="M22" i="56"/>
  <c r="N22" i="56"/>
  <c r="I23" i="56"/>
  <c r="J23" i="56"/>
  <c r="K23" i="56"/>
  <c r="L23" i="56"/>
  <c r="M23" i="56"/>
  <c r="N23" i="56"/>
  <c r="I25" i="56"/>
  <c r="J25" i="56"/>
  <c r="K25" i="56"/>
  <c r="L25" i="56"/>
  <c r="M25" i="56"/>
  <c r="N25" i="56"/>
  <c r="I26" i="56"/>
  <c r="J26" i="56"/>
  <c r="K26" i="56"/>
  <c r="L26" i="56"/>
  <c r="M26" i="56"/>
  <c r="N26" i="56"/>
  <c r="E27" i="56"/>
  <c r="F27" i="56"/>
  <c r="G27" i="56"/>
  <c r="H27" i="56"/>
  <c r="I27" i="56"/>
  <c r="E28" i="56"/>
  <c r="F28" i="56"/>
  <c r="G28" i="56"/>
  <c r="H28" i="56"/>
  <c r="I28" i="56"/>
  <c r="J28" i="56"/>
  <c r="K28" i="56"/>
  <c r="L28" i="56"/>
  <c r="M28" i="56"/>
  <c r="N28" i="56"/>
  <c r="D30" i="56"/>
  <c r="N31" i="56"/>
  <c r="E33" i="56"/>
  <c r="F33" i="56"/>
  <c r="G33" i="56"/>
  <c r="H33" i="56"/>
  <c r="I33" i="56"/>
  <c r="J33" i="56"/>
  <c r="K33" i="56"/>
  <c r="L33" i="56"/>
  <c r="M33" i="56"/>
  <c r="N33" i="56"/>
  <c r="E34" i="56"/>
  <c r="F34" i="56"/>
  <c r="G34" i="56"/>
  <c r="H34" i="56"/>
  <c r="I34" i="56"/>
  <c r="J34" i="56"/>
  <c r="K34" i="56"/>
  <c r="L34" i="56"/>
  <c r="M34" i="56"/>
  <c r="N34" i="56"/>
  <c r="N35" i="56"/>
  <c r="E36" i="56"/>
  <c r="E37" i="56"/>
  <c r="B5" i="57"/>
  <c r="D5" i="57"/>
  <c r="F5" i="57"/>
  <c r="B6" i="57"/>
  <c r="D6" i="57"/>
  <c r="F6" i="57"/>
  <c r="D7" i="57"/>
  <c r="F7" i="57"/>
  <c r="F9" i="57"/>
</calcChain>
</file>

<file path=xl/sharedStrings.xml><?xml version="1.0" encoding="utf-8"?>
<sst xmlns="http://schemas.openxmlformats.org/spreadsheetml/2006/main" count="493" uniqueCount="398">
  <si>
    <t>Total</t>
  </si>
  <si>
    <t>TOTAL</t>
  </si>
  <si>
    <t>IDC</t>
  </si>
  <si>
    <t>D/E</t>
  </si>
  <si>
    <t>ROI, LRD</t>
  </si>
  <si>
    <t>ROI, TL</t>
  </si>
  <si>
    <t>Project Cost</t>
  </si>
  <si>
    <t>Cash Outflow</t>
  </si>
  <si>
    <t>Income Tax</t>
  </si>
  <si>
    <t>Reimbursement of Security Deposit</t>
  </si>
  <si>
    <t>Total Operating Cost</t>
  </si>
  <si>
    <t>Total Development Costs</t>
  </si>
  <si>
    <t>Cash Inflow, net</t>
  </si>
  <si>
    <t>Security Deposit, Retail</t>
  </si>
  <si>
    <t>Security Deposit, Office</t>
  </si>
  <si>
    <t>Inflow, Net Maintenance</t>
  </si>
  <si>
    <t>Retail Rental Revenue</t>
  </si>
  <si>
    <t>Office Rental Revenue</t>
  </si>
  <si>
    <t>Project Period (Quarters)</t>
  </si>
  <si>
    <t>Project Period (Quarter Ending)</t>
  </si>
  <si>
    <t>Interest on LRD loan</t>
  </si>
  <si>
    <t>Closing balance</t>
  </si>
  <si>
    <t>Debt repaid</t>
  </si>
  <si>
    <t>Debt drawn</t>
  </si>
  <si>
    <t>Opening balance</t>
  </si>
  <si>
    <t>LRD</t>
  </si>
  <si>
    <t>Cumu. Debt Drawdown</t>
  </si>
  <si>
    <t xml:space="preserve">Total Debt Drawdown </t>
  </si>
  <si>
    <t>Cumu. Promoter Contribution</t>
  </si>
  <si>
    <t>Balance Debt Drawdown</t>
  </si>
  <si>
    <t>Balance Promoter Cont.</t>
  </si>
  <si>
    <t>Adj Project Deficit</t>
  </si>
  <si>
    <t>D/E Ratio</t>
  </si>
  <si>
    <t>Cumulative Debt</t>
  </si>
  <si>
    <t>Debt upto Current Promoter Cont. Ratio</t>
  </si>
  <si>
    <t>Upfront Promoter Cont.</t>
  </si>
  <si>
    <t>Cumu. Project Cost</t>
  </si>
  <si>
    <t>Interest Post Construction</t>
  </si>
  <si>
    <t>Interest Pre-Construction</t>
  </si>
  <si>
    <t>Interest Funded</t>
  </si>
  <si>
    <t>Average Balance</t>
  </si>
  <si>
    <t>Closing Balance</t>
  </si>
  <si>
    <t>Loan Repaid</t>
  </si>
  <si>
    <t>Loan Drawdown</t>
  </si>
  <si>
    <t>Opening Balance</t>
  </si>
  <si>
    <t>Leverage</t>
  </si>
  <si>
    <t>LRD Counter</t>
  </si>
  <si>
    <t>CAM/ per Sq.ft)</t>
  </si>
  <si>
    <t>Retail Rental/ Sq.ft</t>
  </si>
  <si>
    <t>Office Rentals/ Sq.ft.</t>
  </si>
  <si>
    <t>Occupancy (% Terms)</t>
  </si>
  <si>
    <t>Project Schedule in Sq.ft.</t>
  </si>
  <si>
    <t>TOTAL FAR</t>
  </si>
  <si>
    <t>DEBT (Upto Promoter Contribution)</t>
  </si>
  <si>
    <t>{ # of QTR }</t>
  </si>
  <si>
    <t>{ QTR }</t>
  </si>
  <si>
    <t>{ Variable }</t>
  </si>
  <si>
    <t>{ # of Months }</t>
  </si>
  <si>
    <t>Admin Expenses</t>
  </si>
  <si>
    <t>Marketing Expenses, Office</t>
  </si>
  <si>
    <t>Marketing Expenses, Retail</t>
  </si>
  <si>
    <t>Exit, Post Stabilization</t>
  </si>
  <si>
    <t>DELAY</t>
  </si>
  <si>
    <t>{ # of Qtr }</t>
  </si>
  <si>
    <t>FAR, GBC</t>
  </si>
  <si>
    <t>FAR, TOD</t>
  </si>
  <si>
    <t>Inflation Index, cost</t>
  </si>
  <si>
    <t>Inflation Index, rent</t>
  </si>
  <si>
    <t>Interest Cost, unfunded</t>
  </si>
  <si>
    <t>Dev Cost, Soft</t>
  </si>
  <si>
    <t>Dev Cost, Hard+Cont.+Gen Cond.</t>
  </si>
  <si>
    <t>Balance</t>
  </si>
  <si>
    <t>INFLATION P.A.</t>
  </si>
  <si>
    <t>COST / SOFT_ GLA / SQF</t>
  </si>
  <si>
    <t>LEASABLE, TOTAL</t>
  </si>
  <si>
    <t>LEASABLE, RETAIL</t>
  </si>
  <si>
    <t>LEASABLE, OFFICE</t>
  </si>
  <si>
    <t>QUARTER, START</t>
  </si>
  <si>
    <t>QUARTER, END</t>
  </si>
  <si>
    <t>QUARTER, BASE</t>
  </si>
  <si>
    <t>LAND</t>
  </si>
  <si>
    <t>DTCP LICENSE</t>
  </si>
  <si>
    <t>DEVELOPMENT COST</t>
  </si>
  <si>
    <t>FUNDING COST</t>
  </si>
  <si>
    <t>USE OF FUNDS</t>
  </si>
  <si>
    <t>SOURCE OF FUNDS</t>
  </si>
  <si>
    <t>SECURED DEBT</t>
  </si>
  <si>
    <t>WTC, Rub-off</t>
  </si>
  <si>
    <t>CAM/ SQF P.M.</t>
  </si>
  <si>
    <t>CAM MARGIN</t>
  </si>
  <si>
    <t>TENANT DEPOSITS</t>
  </si>
  <si>
    <t>EXIT YIELD</t>
  </si>
  <si>
    <t>DISCOUNT RATE</t>
  </si>
  <si>
    <t>STABILIZED OCCUPANCY</t>
  </si>
  <si>
    <t>QUARTER, EXIT</t>
  </si>
  <si>
    <t>TDS, LEASE</t>
  </si>
  <si>
    <t>LAND AREA</t>
  </si>
  <si>
    <t>FAR, CURRENT</t>
  </si>
  <si>
    <t>LRD, QTR</t>
  </si>
  <si>
    <t>LRD/ STABILIZED NOI</t>
  </si>
  <si>
    <t>LRD TENOR</t>
  </si>
  <si>
    <t>LRD REPAYMENT START</t>
  </si>
  <si>
    <t>LEASE TIMELINE</t>
  </si>
  <si>
    <t>LAND, BOOK VALUE</t>
  </si>
  <si>
    <t>{ ACRE }</t>
  </si>
  <si>
    <t>{ SQM }</t>
  </si>
  <si>
    <t>{ SQF }</t>
  </si>
  <si>
    <t>UPFRONT INFUSION (Till Mar'23)</t>
  </si>
  <si>
    <t>Project Cost Ex Interest Cost</t>
  </si>
  <si>
    <t>Spent</t>
  </si>
  <si>
    <t>% Cost</t>
  </si>
  <si>
    <t>Office Phasing / % of Dev</t>
  </si>
  <si>
    <t>LAND, FMV</t>
  </si>
  <si>
    <t>Total Promoter Contribution</t>
  </si>
  <si>
    <t>Dev Cost Rs Cr</t>
  </si>
  <si>
    <t>Stacker/ EV Point Rs Cr</t>
  </si>
  <si>
    <t>Project Cost Rs Cr</t>
  </si>
  <si>
    <t>DTCP License Rs Cr</t>
  </si>
  <si>
    <t>TOD Cost Rs Cr</t>
  </si>
  <si>
    <t>Cost Ex Interest Rs Cr</t>
  </si>
  <si>
    <t>Balance Cost Rs Cr</t>
  </si>
  <si>
    <t>Spent Rs Cr</t>
  </si>
  <si>
    <t>COST / HARD_ GLA / SQF ( Future Spend )</t>
  </si>
  <si>
    <t>RENT/ SQF P.M. | OFFICE, Post Completion</t>
  </si>
  <si>
    <t>RENT/ SQF P.M. | RETAIL, Post Completion</t>
  </si>
  <si>
    <t>RENT INFLATION, # Quarter</t>
  </si>
  <si>
    <t>RENT INFLATION %</t>
  </si>
  <si>
    <t>D / E ( overall )</t>
  </si>
  <si>
    <t>D / E ( future )</t>
  </si>
  <si>
    <t>LRD Principal Reduction</t>
  </si>
  <si>
    <t>LRD Principal Reduction, net</t>
  </si>
  <si>
    <t>Post Tax Unlevered Cash Flow</t>
  </si>
  <si>
    <t>PV, Rs Cr</t>
  </si>
  <si>
    <t>Unlevered PV, Rs Cr</t>
  </si>
  <si>
    <t>Post Tax Levered Cash Flow</t>
  </si>
  <si>
    <t>Cash On Cost %</t>
  </si>
  <si>
    <t>Use &amp; Source Of Funds</t>
  </si>
  <si>
    <t>Exit GAV</t>
  </si>
  <si>
    <t>Unlev.,</t>
  </si>
  <si>
    <t>Lev.,</t>
  </si>
  <si>
    <t>Peak Equity</t>
  </si>
  <si>
    <t>Peak Eq</t>
  </si>
  <si>
    <t>Post Tax Unlevered Cash Flow+ Land</t>
  </si>
  <si>
    <t>Unlevered IRR %</t>
  </si>
  <si>
    <t>Unlevered, Cash On Cost %</t>
  </si>
  <si>
    <t>Levered, PV, Rs Cr</t>
  </si>
  <si>
    <t>Levered IRR %</t>
  </si>
  <si>
    <t>Levered, Cash On Cost %</t>
  </si>
  <si>
    <t>Post Tax Levered Cash Flow+ Land</t>
  </si>
  <si>
    <t>MARKETING EXPENSE, # months</t>
  </si>
  <si>
    <t>VARIABLE OVERHEADS, % rent</t>
  </si>
  <si>
    <t>Cost Check ----&gt;&gt;</t>
  </si>
  <si>
    <t>IRR %</t>
  </si>
  <si>
    <t>P1_ GLA</t>
  </si>
  <si>
    <t>P1_ BUA</t>
  </si>
  <si>
    <t>P1_ GLA_O</t>
  </si>
  <si>
    <t>P1_ GLA_R</t>
  </si>
  <si>
    <t>P2_ GLA</t>
  </si>
  <si>
    <t>P2_ BUA</t>
  </si>
  <si>
    <t>P2_ GLA_O</t>
  </si>
  <si>
    <t>P2_ GLA_R</t>
  </si>
  <si>
    <t>FAR Value, Notional</t>
  </si>
  <si>
    <t>{ INR / SQF }</t>
  </si>
  <si>
    <t>Target D/E*</t>
  </si>
  <si>
    <t>* assuming no inflation on cost</t>
  </si>
  <si>
    <t>GLA</t>
  </si>
  <si>
    <t>BUA</t>
  </si>
  <si>
    <t>FAR</t>
  </si>
  <si>
    <t>GLA | Office</t>
  </si>
  <si>
    <t>GLA | Retail</t>
  </si>
  <si>
    <t>Lac SQF</t>
  </si>
  <si>
    <t>-do-</t>
  </si>
  <si>
    <t>Dev Scenario(s)</t>
  </si>
  <si>
    <t>C-o-C, Eq**</t>
  </si>
  <si>
    <t>** debt service/ quarter (term = 144m)</t>
  </si>
  <si>
    <t>Sensitivity Table</t>
  </si>
  <si>
    <t>Levered PV, Rs Cr</t>
  </si>
  <si>
    <t>Dev Cost, %age Change</t>
  </si>
  <si>
    <t>Office Rent</t>
  </si>
  <si>
    <t>/ SF</t>
  </si>
  <si>
    <t>Exit Yield, %age</t>
  </si>
  <si>
    <t>| -Cost Escalation- |</t>
  </si>
  <si>
    <t>| -Cost Save- |</t>
  </si>
  <si>
    <t>Rent/ SQF P.M., Office</t>
  </si>
  <si>
    <t>Rent/ SQF P.M., Retail</t>
  </si>
  <si>
    <t>" End QTr - 1 Qtr</t>
  </si>
  <si>
    <t>GRIHA, Dev Premium Rs Cr</t>
  </si>
  <si>
    <t>LEASE/ RENT START, END</t>
  </si>
  <si>
    <t>Lease Start, P1</t>
  </si>
  <si>
    <t>Lease Start, P2</t>
  </si>
  <si>
    <t>Qtr To Completion, P1</t>
  </si>
  <si>
    <t>Qtr To Completion, P2</t>
  </si>
  <si>
    <t>LRD Start</t>
  </si>
  <si>
    <t>DEV PREMIUM</t>
  </si>
  <si>
    <t>T_1</t>
  </si>
  <si>
    <t>T_2</t>
  </si>
  <si>
    <t>T_3/ T_4</t>
  </si>
  <si>
    <t>T1</t>
  </si>
  <si>
    <t>T2</t>
  </si>
  <si>
    <t>T3/T4</t>
  </si>
  <si>
    <t>T3 / T4</t>
  </si>
  <si>
    <t>Item</t>
  </si>
  <si>
    <t>Delay In Leasing / # Qtr</t>
  </si>
  <si>
    <t>Grand Total</t>
  </si>
  <si>
    <t>Acquisition Cost</t>
  </si>
  <si>
    <t>Total Soft &amp; Hard Cost Incl Contingency</t>
  </si>
  <si>
    <t>Contingency</t>
  </si>
  <si>
    <t>Total Soft &amp; Hard Cost</t>
  </si>
  <si>
    <t>Total Soft Cost</t>
  </si>
  <si>
    <t>TCG Development</t>
  </si>
  <si>
    <t>Legal</t>
  </si>
  <si>
    <t>Approvals</t>
  </si>
  <si>
    <t>Insurance</t>
  </si>
  <si>
    <t>Marketing</t>
  </si>
  <si>
    <t>Pre Development</t>
  </si>
  <si>
    <t xml:space="preserve">Design  </t>
  </si>
  <si>
    <t>Soft Cost</t>
  </si>
  <si>
    <t>Total Hard Cost</t>
  </si>
  <si>
    <t>Gen Condition</t>
  </si>
  <si>
    <t>Stacker</t>
  </si>
  <si>
    <t>External Development</t>
  </si>
  <si>
    <t>Core Fitout</t>
  </si>
  <si>
    <t>Elevator</t>
  </si>
  <si>
    <t>Facade</t>
  </si>
  <si>
    <t>Structure</t>
  </si>
  <si>
    <t>Budget</t>
  </si>
  <si>
    <t>EQ_ LAND</t>
  </si>
  <si>
    <t>EQ_ DEVELOPMENT</t>
  </si>
  <si>
    <t>DT_SECURED</t>
  </si>
  <si>
    <t>54M</t>
  </si>
  <si>
    <t>LAND+</t>
  </si>
  <si>
    <t>FUTURE DEV COST</t>
  </si>
  <si>
    <t>Cost, Eq</t>
  </si>
  <si>
    <t>Cost, Debt</t>
  </si>
  <si>
    <t>WACC</t>
  </si>
  <si>
    <t>Area Statement</t>
  </si>
  <si>
    <t>Land Detail | Sohna Road/ Gurugram</t>
  </si>
  <si>
    <t>Assumption_ Project Timing</t>
  </si>
  <si>
    <t>Assumption_ Development Cost</t>
  </si>
  <si>
    <t>Assumption_ Leverage</t>
  </si>
  <si>
    <t>Assumption_ Occupancy</t>
  </si>
  <si>
    <t>Assumption_ Revenue</t>
  </si>
  <si>
    <t>Assumption_ Operating Expense</t>
  </si>
  <si>
    <t>Assumption_ Funding Plan</t>
  </si>
  <si>
    <t>Plumbing</t>
  </si>
  <si>
    <t>Fire Fighting</t>
  </si>
  <si>
    <t>Electrical + Solar</t>
  </si>
  <si>
    <t>DG</t>
  </si>
  <si>
    <t>HVAC</t>
  </si>
  <si>
    <t>IBMS</t>
  </si>
  <si>
    <t>Signage</t>
  </si>
  <si>
    <t>Ventilation &amp; Equipment</t>
  </si>
  <si>
    <t>3m</t>
  </si>
  <si>
    <t>45m</t>
  </si>
  <si>
    <r>
      <rPr>
        <b/>
        <sz val="10"/>
        <rFont val="Arial"/>
        <family val="2"/>
      </rPr>
      <t>Note :</t>
    </r>
    <r>
      <rPr>
        <sz val="10"/>
        <rFont val="Arial"/>
        <family val="2"/>
      </rPr>
      <t xml:space="preserve"> In Option -1, Real Cost considered post acquisition i.e. from 2007-08 onwards.</t>
    </r>
  </si>
  <si>
    <t>Total CWIP (ECPL + Subsidiaries)</t>
  </si>
  <si>
    <t>Plus, TCGUIH Equity Investment</t>
  </si>
  <si>
    <t>Plus, Land Cost in Subsidiaries</t>
  </si>
  <si>
    <t>CWIP in books of ECPL (As on 31.03.2022)</t>
  </si>
  <si>
    <t>Premium on option deposit buyback</t>
  </si>
  <si>
    <t>Option relinquishment charges</t>
  </si>
  <si>
    <t>Miscellaneous Expenses</t>
  </si>
  <si>
    <t>Site running Expenses</t>
  </si>
  <si>
    <t>Travelling Expenses</t>
  </si>
  <si>
    <t>Employement Expenses</t>
  </si>
  <si>
    <t>Other Expenses :</t>
  </si>
  <si>
    <t>Land development expenses</t>
  </si>
  <si>
    <t>Site Office Expenses</t>
  </si>
  <si>
    <t>Excavation Package</t>
  </si>
  <si>
    <t>Road Work Exp.</t>
  </si>
  <si>
    <t>Pota Cabin</t>
  </si>
  <si>
    <t>Electrical Work</t>
  </si>
  <si>
    <t>Civil Trench Work</t>
  </si>
  <si>
    <t xml:space="preserve">Civil Construction </t>
  </si>
  <si>
    <t>Boundry Wall</t>
  </si>
  <si>
    <t>66 Kb Line Shifting</t>
  </si>
  <si>
    <t>Hard Cost :</t>
  </si>
  <si>
    <t>Stam Duty-CCD</t>
  </si>
  <si>
    <t>Service charges</t>
  </si>
  <si>
    <t>Processing Fees</t>
  </si>
  <si>
    <t>Intrest on Infrastructure Development Charges</t>
  </si>
  <si>
    <t>Intrest on ICD</t>
  </si>
  <si>
    <t>Interest paid on EDC</t>
  </si>
  <si>
    <t>Intrest on Additional Conversion Charges</t>
  </si>
  <si>
    <t>Intrest in Margin Money-BG</t>
  </si>
  <si>
    <t>Int. on Licence Fees</t>
  </si>
  <si>
    <t>Interest On unsecured loan</t>
  </si>
  <si>
    <t>Interest On secured loan</t>
  </si>
  <si>
    <t>Interest On CCDs</t>
  </si>
  <si>
    <t>Finance Charges (net):</t>
  </si>
  <si>
    <t>WTC Business Material</t>
  </si>
  <si>
    <t>WTC Annual Membership Fee</t>
  </si>
  <si>
    <t>Technical Consultants</t>
  </si>
  <si>
    <t>Syndication Fees</t>
  </si>
  <si>
    <t>Geotechnical Investigation</t>
  </si>
  <si>
    <t>EIA</t>
  </si>
  <si>
    <t>Development Management Fees - TCGDIPL</t>
  </si>
  <si>
    <t>Development Management Fees - Silverglade</t>
  </si>
  <si>
    <t>Cost estimate services</t>
  </si>
  <si>
    <t>CWIP - Legal &amp; Professional Fees</t>
  </si>
  <si>
    <t>Composition Fees</t>
  </si>
  <si>
    <t>Legal and Professional Expenses:</t>
  </si>
  <si>
    <t>Architect Fees</t>
  </si>
  <si>
    <t>Architech Fees - Foreign</t>
  </si>
  <si>
    <t>Architech Expenses:</t>
  </si>
  <si>
    <t>Property Tax</t>
  </si>
  <si>
    <t>Labour Cess</t>
  </si>
  <si>
    <t>Mining Approval Fees</t>
  </si>
  <si>
    <t>Building Plan /Scrutiny Fees</t>
  </si>
  <si>
    <t>Licence Fee(Renewal)</t>
  </si>
  <si>
    <t>Additional FAR</t>
  </si>
  <si>
    <t>Infrastructure Development Charges</t>
  </si>
  <si>
    <t>Conversion Charges</t>
  </si>
  <si>
    <t>Other Approval Fees</t>
  </si>
  <si>
    <t>Additional Conversion Charges</t>
  </si>
  <si>
    <t>External development charges paid</t>
  </si>
  <si>
    <t>Statutory Payments :</t>
  </si>
  <si>
    <t>Land Cost</t>
  </si>
  <si>
    <t>i.e. In Books Of ECPL</t>
  </si>
  <si>
    <t>Real Land Cost (In Books Of ECPL)</t>
  </si>
  <si>
    <t>ECPL CWIP Cost</t>
  </si>
  <si>
    <t>Option #2</t>
  </si>
  <si>
    <t>Rs in Cr</t>
  </si>
  <si>
    <t xml:space="preserve">Energetic Construction Pvt Ltd </t>
  </si>
  <si>
    <t>Total Project Cost</t>
  </si>
  <si>
    <t>Funding Cost</t>
  </si>
  <si>
    <t>Hard Cost, total</t>
  </si>
  <si>
    <t>Other Hard Cost</t>
  </si>
  <si>
    <t>Hard Cost + Contingency</t>
  </si>
  <si>
    <t>Soft Cost, total</t>
  </si>
  <si>
    <t>Other Statutory Approval</t>
  </si>
  <si>
    <t>Other Soft Cost</t>
  </si>
  <si>
    <t>PMC</t>
  </si>
  <si>
    <t>Addn FSI</t>
  </si>
  <si>
    <t>Land</t>
  </si>
  <si>
    <t>Future</t>
  </si>
  <si>
    <t>Incurred</t>
  </si>
  <si>
    <r>
      <rPr>
        <u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 xml:space="preserve"> - Statutory Payment, IDC, EDC, DTCP Fee, Architect, Consultant Fee etc</t>
    </r>
  </si>
  <si>
    <t>Office Space</t>
  </si>
  <si>
    <t>Retail Space</t>
  </si>
  <si>
    <t>23-24</t>
  </si>
  <si>
    <t>24-25</t>
  </si>
  <si>
    <t>25-26</t>
  </si>
  <si>
    <t>26-27</t>
  </si>
  <si>
    <t>27-28</t>
  </si>
  <si>
    <t>Total Days in the Year</t>
  </si>
  <si>
    <t>End Date</t>
  </si>
  <si>
    <t>Days</t>
  </si>
  <si>
    <t>Years</t>
  </si>
  <si>
    <t>Valuation Date</t>
  </si>
  <si>
    <t>Particulars</t>
  </si>
  <si>
    <t xml:space="preserve">Revenue </t>
  </si>
  <si>
    <t>Other Income</t>
  </si>
  <si>
    <t>Total Income</t>
  </si>
  <si>
    <t>Expenses</t>
  </si>
  <si>
    <t>Marketing &amp; Admin Expense</t>
  </si>
  <si>
    <t>Brokerage Expense</t>
  </si>
  <si>
    <t>Total Expense</t>
  </si>
  <si>
    <t>EBITDA</t>
  </si>
  <si>
    <t>Depreciation</t>
  </si>
  <si>
    <t>EBIT</t>
  </si>
  <si>
    <t>Tax Rate</t>
  </si>
  <si>
    <t>NOPAT</t>
  </si>
  <si>
    <t>Add: Depreciation</t>
  </si>
  <si>
    <t>Less: CAPeX</t>
  </si>
  <si>
    <t>FCFF</t>
  </si>
  <si>
    <t>Time Period</t>
  </si>
  <si>
    <t>PVF</t>
  </si>
  <si>
    <t>PV of FCFF</t>
  </si>
  <si>
    <t>Net Present Value</t>
  </si>
  <si>
    <t>Calculation of WACC</t>
  </si>
  <si>
    <t>Amount</t>
  </si>
  <si>
    <t>Cost</t>
  </si>
  <si>
    <t>Weighted Cost</t>
  </si>
  <si>
    <t>Equity</t>
  </si>
  <si>
    <t>Debt</t>
  </si>
  <si>
    <t>Company Risk Premium</t>
  </si>
  <si>
    <t>Appropriate Discount Rate</t>
  </si>
  <si>
    <t>Rental Income</t>
  </si>
  <si>
    <t>Occupancy Rate</t>
  </si>
  <si>
    <t>Esclation Rate</t>
  </si>
  <si>
    <t>Office Spce</t>
  </si>
  <si>
    <t>Inter</t>
  </si>
  <si>
    <t>Security Deposit</t>
  </si>
  <si>
    <t>28-29</t>
  </si>
  <si>
    <t>29-30</t>
  </si>
  <si>
    <t>30-31</t>
  </si>
  <si>
    <t>31-32</t>
  </si>
  <si>
    <t>Interest on S.D.</t>
  </si>
  <si>
    <t>Additional Deposit</t>
  </si>
  <si>
    <t>(Nifty -50 20 year Return taken as proxy for cost of equity)</t>
  </si>
  <si>
    <t>Perpetual Growth Rate</t>
  </si>
  <si>
    <t>Terminal value</t>
  </si>
  <si>
    <t>PV of TV</t>
  </si>
  <si>
    <t>32-33</t>
  </si>
  <si>
    <t>No. of Parking</t>
  </si>
  <si>
    <t>Revenue from Parking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</si>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</sst>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#,##0.0"/>
    <numFmt numFmtId="168" formatCode="[$-409]mmm/yy;@"/>
    <numFmt numFmtId="169" formatCode="#,##0\ &quot;SF&quot;"/>
    <numFmt numFmtId="170" formatCode="#,##0.0\x"/>
    <numFmt numFmtId="171" formatCode="[$-14009]dd/mmm/yy;@"/>
    <numFmt numFmtId="172" formatCode="0.0\x"/>
    <numFmt numFmtId="173" formatCode="#,##0\x"/>
    <numFmt numFmtId="174" formatCode="_(* #,##0_);_(* \(#,##0\);_(* &quot;-&quot;??_);_(@_)"/>
    <numFmt numFmtId="175" formatCode="_(* #,##0.0_);_(* \(#,##0.0\);_(* &quot;-&quot;??_);_(@_)"/>
    <numFmt numFmtId="182" formatCode="_ * #,##0.00_ ;_ * \-#,##0.00_ ;_ * &quot;-&quot;??_ ;_ @_ "/>
  </numFmts>
  <fonts count="47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</font>
    <font>
      <sz val="11"/>
      <color theme="1"/>
      <name val="Calibri Light"/>
      <family val="2"/>
    </font>
    <font>
      <sz val="8"/>
      <name val="Calibri"/>
      <family val="2"/>
      <scheme val="minor"/>
    </font>
    <font>
      <sz val="13"/>
      <color theme="1"/>
      <name val="Calibri"/>
      <family val="2"/>
    </font>
    <font>
      <sz val="13"/>
      <color rgb="FF0033CC"/>
      <name val="Calibri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3"/>
      <color theme="0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3"/>
      <color rgb="FF0000CC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color theme="2" tint="-0.749992370372631"/>
      <name val="Calibri"/>
      <family val="2"/>
      <scheme val="minor"/>
    </font>
    <font>
      <sz val="13"/>
      <name val="Calibri"/>
      <family val="2"/>
      <scheme val="minor"/>
    </font>
    <font>
      <sz val="13"/>
      <color rgb="FF0033CC"/>
      <name val="Calibri"/>
      <family val="2"/>
      <scheme val="minor"/>
    </font>
    <font>
      <u val="singleAccounting"/>
      <sz val="13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3"/>
      <color theme="4" tint="-0.499984740745262"/>
      <name val="Calibri"/>
      <family val="2"/>
      <scheme val="minor"/>
    </font>
    <font>
      <sz val="13"/>
      <color theme="2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rgb="FF0033CC"/>
      <name val="Calibri"/>
      <family val="2"/>
      <scheme val="minor"/>
    </font>
    <font>
      <u/>
      <sz val="13"/>
      <color theme="0" tint="-4.9989318521683403E-2"/>
      <name val="Calibri"/>
      <family val="2"/>
      <scheme val="minor"/>
    </font>
    <font>
      <u/>
      <sz val="13"/>
      <color theme="4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1"/>
      <charset val="134"/>
    </font>
    <font>
      <b/>
      <sz val="13"/>
      <color theme="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9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9" fontId="8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43" fontId="8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/>
    <xf numFmtId="182" fontId="8" fillId="0" borderId="0" applyFont="0" applyFill="0" applyBorder="0" applyAlignment="0" applyProtection="0">
      <alignment vertical="center"/>
    </xf>
    <xf numFmtId="0" fontId="43" fillId="0" borderId="0"/>
  </cellStyleXfs>
  <cellXfs count="168">
    <xf numFmtId="0" fontId="0" fillId="0" borderId="0" xfId="0"/>
    <xf numFmtId="3" fontId="10" fillId="0" borderId="0" xfId="11" applyNumberFormat="1" applyFont="1" applyAlignment="1">
      <alignment horizontal="left" vertical="center"/>
    </xf>
    <xf numFmtId="3" fontId="10" fillId="0" borderId="0" xfId="11" applyNumberFormat="1" applyFont="1" applyAlignment="1">
      <alignment horizontal="left" vertical="center" indent="1"/>
    </xf>
    <xf numFmtId="171" fontId="10" fillId="0" borderId="0" xfId="11" applyNumberFormat="1" applyFont="1" applyAlignment="1">
      <alignment horizontal="left" vertical="center"/>
    </xf>
    <xf numFmtId="171" fontId="11" fillId="9" borderId="0" xfId="11" applyNumberFormat="1" applyFont="1" applyFill="1" applyAlignment="1">
      <alignment horizontal="left" vertical="center"/>
    </xf>
    <xf numFmtId="167" fontId="12" fillId="0" borderId="0" xfId="0" applyNumberFormat="1" applyFont="1" applyAlignment="1">
      <alignment horizontal="left" vertical="center"/>
    </xf>
    <xf numFmtId="167" fontId="13" fillId="4" borderId="2" xfId="0" applyNumberFormat="1" applyFont="1" applyFill="1" applyBorder="1" applyAlignment="1">
      <alignment horizontal="left" vertical="center"/>
    </xf>
    <xf numFmtId="167" fontId="12" fillId="0" borderId="2" xfId="0" applyNumberFormat="1" applyFont="1" applyBorder="1" applyAlignment="1">
      <alignment horizontal="left" vertical="center"/>
    </xf>
    <xf numFmtId="167" fontId="12" fillId="0" borderId="3" xfId="0" applyNumberFormat="1" applyFont="1" applyBorder="1" applyAlignment="1">
      <alignment horizontal="left" vertical="center"/>
    </xf>
    <xf numFmtId="167" fontId="12" fillId="0" borderId="4" xfId="0" applyNumberFormat="1" applyFont="1" applyBorder="1" applyAlignment="1">
      <alignment horizontal="left" vertical="center"/>
    </xf>
    <xf numFmtId="167" fontId="14" fillId="7" borderId="2" xfId="0" applyNumberFormat="1" applyFont="1" applyFill="1" applyBorder="1" applyAlignment="1">
      <alignment horizontal="left" vertical="center"/>
    </xf>
    <xf numFmtId="3" fontId="15" fillId="0" borderId="2" xfId="0" applyNumberFormat="1" applyFont="1" applyBorder="1" applyAlignment="1">
      <alignment horizontal="left" vertical="center"/>
    </xf>
    <xf numFmtId="2" fontId="16" fillId="2" borderId="0" xfId="0" applyNumberFormat="1" applyFont="1" applyFill="1" applyAlignment="1">
      <alignment horizontal="left" vertical="center"/>
    </xf>
    <xf numFmtId="167" fontId="12" fillId="0" borderId="0" xfId="0" applyNumberFormat="1" applyFont="1" applyAlignment="1">
      <alignment horizontal="left" vertical="center" indent="1"/>
    </xf>
    <xf numFmtId="3" fontId="12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horizontal="left" vertical="center"/>
    </xf>
    <xf numFmtId="3" fontId="16" fillId="2" borderId="0" xfId="0" applyNumberFormat="1" applyFont="1" applyFill="1" applyAlignment="1">
      <alignment horizontal="left" vertical="center"/>
    </xf>
    <xf numFmtId="3" fontId="12" fillId="0" borderId="2" xfId="0" applyNumberFormat="1" applyFont="1" applyBorder="1" applyAlignment="1">
      <alignment horizontal="left" vertical="center"/>
    </xf>
    <xf numFmtId="165" fontId="12" fillId="0" borderId="2" xfId="2" applyNumberFormat="1" applyFont="1" applyBorder="1" applyAlignment="1">
      <alignment horizontal="left" vertical="center"/>
    </xf>
    <xf numFmtId="3" fontId="19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167" fontId="16" fillId="0" borderId="0" xfId="0" applyNumberFormat="1" applyFont="1" applyAlignment="1">
      <alignment horizontal="left" vertical="center"/>
    </xf>
    <xf numFmtId="9" fontId="16" fillId="2" borderId="0" xfId="1" applyFont="1" applyFill="1" applyAlignment="1">
      <alignment horizontal="left" vertical="center"/>
    </xf>
    <xf numFmtId="166" fontId="12" fillId="0" borderId="0" xfId="1" applyNumberFormat="1" applyFont="1" applyFill="1" applyBorder="1" applyAlignment="1">
      <alignment horizontal="left" vertical="center"/>
    </xf>
    <xf numFmtId="1" fontId="16" fillId="2" borderId="0" xfId="0" applyNumberFormat="1" applyFont="1" applyFill="1" applyAlignment="1">
      <alignment horizontal="left" vertical="center"/>
    </xf>
    <xf numFmtId="166" fontId="12" fillId="0" borderId="0" xfId="1" applyNumberFormat="1" applyFont="1" applyBorder="1" applyAlignment="1">
      <alignment horizontal="left" vertical="center"/>
    </xf>
    <xf numFmtId="168" fontId="12" fillId="0" borderId="0" xfId="0" applyNumberFormat="1" applyFont="1" applyAlignment="1">
      <alignment horizontal="left" vertical="center"/>
    </xf>
    <xf numFmtId="1" fontId="19" fillId="0" borderId="3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3" fontId="12" fillId="3" borderId="5" xfId="1" applyNumberFormat="1" applyFont="1" applyFill="1" applyBorder="1" applyAlignment="1">
      <alignment horizontal="left" vertical="center"/>
    </xf>
    <xf numFmtId="9" fontId="16" fillId="2" borderId="0" xfId="1" applyFont="1" applyFill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165" fontId="12" fillId="0" borderId="0" xfId="2" applyNumberFormat="1" applyFont="1" applyBorder="1" applyAlignment="1">
      <alignment horizontal="left" vertical="center"/>
    </xf>
    <xf numFmtId="165" fontId="21" fillId="0" borderId="0" xfId="2" applyNumberFormat="1" applyFont="1" applyBorder="1" applyAlignment="1">
      <alignment horizontal="left" vertical="center"/>
    </xf>
    <xf numFmtId="166" fontId="18" fillId="10" borderId="0" xfId="1" applyNumberFormat="1" applyFont="1" applyFill="1" applyBorder="1" applyAlignment="1">
      <alignment horizontal="left" vertical="center"/>
    </xf>
    <xf numFmtId="10" fontId="16" fillId="2" borderId="0" xfId="1" applyNumberFormat="1" applyFont="1" applyFill="1" applyAlignment="1">
      <alignment horizontal="left" vertical="center"/>
    </xf>
    <xf numFmtId="3" fontId="20" fillId="0" borderId="0" xfId="0" applyNumberFormat="1" applyFont="1" applyAlignment="1">
      <alignment horizontal="left" vertical="center"/>
    </xf>
    <xf numFmtId="166" fontId="16" fillId="2" borderId="0" xfId="1" applyNumberFormat="1" applyFont="1" applyFill="1" applyAlignment="1">
      <alignment horizontal="left" vertical="center"/>
    </xf>
    <xf numFmtId="167" fontId="22" fillId="0" borderId="0" xfId="0" applyNumberFormat="1" applyFont="1" applyAlignment="1">
      <alignment horizontal="left" vertical="center"/>
    </xf>
    <xf numFmtId="167" fontId="23" fillId="6" borderId="0" xfId="0" applyNumberFormat="1" applyFont="1" applyFill="1" applyAlignment="1">
      <alignment horizontal="left" vertical="center" indent="1"/>
    </xf>
    <xf numFmtId="167" fontId="23" fillId="6" borderId="0" xfId="0" applyNumberFormat="1" applyFont="1" applyFill="1" applyAlignment="1">
      <alignment horizontal="left" vertical="center"/>
    </xf>
    <xf numFmtId="3" fontId="23" fillId="6" borderId="0" xfId="0" applyNumberFormat="1" applyFont="1" applyFill="1" applyAlignment="1">
      <alignment horizontal="left" vertical="center"/>
    </xf>
    <xf numFmtId="170" fontId="12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horizontal="left" vertical="center"/>
    </xf>
    <xf numFmtId="4" fontId="16" fillId="2" borderId="0" xfId="0" applyNumberFormat="1" applyFont="1" applyFill="1" applyAlignment="1">
      <alignment horizontal="left" vertical="center"/>
    </xf>
    <xf numFmtId="9" fontId="20" fillId="0" borderId="0" xfId="1" applyFont="1" applyFill="1" applyBorder="1" applyAlignment="1">
      <alignment horizontal="left" vertical="center"/>
    </xf>
    <xf numFmtId="169" fontId="19" fillId="0" borderId="0" xfId="2" applyNumberFormat="1" applyFont="1" applyFill="1" applyBorder="1" applyAlignment="1">
      <alignment horizontal="left" vertical="center"/>
    </xf>
    <xf numFmtId="167" fontId="20" fillId="0" borderId="0" xfId="0" applyNumberFormat="1" applyFont="1" applyAlignment="1">
      <alignment horizontal="left" vertical="center" indent="1"/>
    </xf>
    <xf numFmtId="167" fontId="24" fillId="0" borderId="0" xfId="0" applyNumberFormat="1" applyFont="1" applyAlignment="1">
      <alignment horizontal="left" vertical="center"/>
    </xf>
    <xf numFmtId="167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/>
    </xf>
    <xf numFmtId="166" fontId="25" fillId="0" borderId="0" xfId="1" applyNumberFormat="1" applyFont="1" applyAlignment="1">
      <alignment horizontal="left" vertical="center"/>
    </xf>
    <xf numFmtId="167" fontId="26" fillId="0" borderId="0" xfId="0" applyNumberFormat="1" applyFont="1" applyAlignment="1">
      <alignment horizontal="left" vertical="center"/>
    </xf>
    <xf numFmtId="167" fontId="16" fillId="2" borderId="0" xfId="0" applyNumberFormat="1" applyFont="1" applyFill="1" applyAlignment="1">
      <alignment horizontal="left" vertical="center"/>
    </xf>
    <xf numFmtId="4" fontId="27" fillId="5" borderId="0" xfId="0" applyNumberFormat="1" applyFont="1" applyFill="1" applyAlignment="1">
      <alignment horizontal="left" vertical="center"/>
    </xf>
    <xf numFmtId="171" fontId="25" fillId="0" borderId="0" xfId="11" applyNumberFormat="1" applyFont="1" applyAlignment="1">
      <alignment horizontal="left" vertical="center"/>
    </xf>
    <xf numFmtId="4" fontId="12" fillId="3" borderId="0" xfId="0" applyNumberFormat="1" applyFont="1" applyFill="1" applyAlignment="1">
      <alignment horizontal="left" vertical="center"/>
    </xf>
    <xf numFmtId="9" fontId="12" fillId="0" borderId="0" xfId="1" applyFont="1" applyAlignment="1">
      <alignment horizontal="left" vertical="center"/>
    </xf>
    <xf numFmtId="3" fontId="17" fillId="12" borderId="0" xfId="0" applyNumberFormat="1" applyFont="1" applyFill="1" applyAlignment="1">
      <alignment horizontal="left" vertical="center"/>
    </xf>
    <xf numFmtId="167" fontId="12" fillId="8" borderId="0" xfId="0" applyNumberFormat="1" applyFont="1" applyFill="1" applyAlignment="1">
      <alignment horizontal="left" vertical="center"/>
    </xf>
    <xf numFmtId="3" fontId="13" fillId="7" borderId="0" xfId="0" applyNumberFormat="1" applyFont="1" applyFill="1" applyAlignment="1">
      <alignment horizontal="left" vertical="center"/>
    </xf>
    <xf numFmtId="167" fontId="13" fillId="7" borderId="0" xfId="0" applyNumberFormat="1" applyFont="1" applyFill="1" applyAlignment="1">
      <alignment horizontal="left" vertical="center"/>
    </xf>
    <xf numFmtId="1" fontId="16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167" fontId="12" fillId="0" borderId="0" xfId="0" quotePrefix="1" applyNumberFormat="1" applyFont="1" applyAlignment="1">
      <alignment horizontal="left" vertical="center" indent="1"/>
    </xf>
    <xf numFmtId="167" fontId="19" fillId="0" borderId="0" xfId="0" applyNumberFormat="1" applyFont="1" applyAlignment="1">
      <alignment horizontal="left" vertical="center"/>
    </xf>
    <xf numFmtId="167" fontId="12" fillId="11" borderId="0" xfId="0" applyNumberFormat="1" applyFont="1" applyFill="1" applyAlignment="1">
      <alignment horizontal="left" vertical="center"/>
    </xf>
    <xf numFmtId="167" fontId="13" fillId="10" borderId="0" xfId="0" applyNumberFormat="1" applyFont="1" applyFill="1" applyAlignment="1">
      <alignment horizontal="left" vertical="center"/>
    </xf>
    <xf numFmtId="167" fontId="16" fillId="10" borderId="0" xfId="0" applyNumberFormat="1" applyFont="1" applyFill="1" applyAlignment="1">
      <alignment horizontal="left" vertical="center"/>
    </xf>
    <xf numFmtId="167" fontId="18" fillId="10" borderId="0" xfId="0" applyNumberFormat="1" applyFont="1" applyFill="1" applyAlignment="1">
      <alignment horizontal="left" vertical="center"/>
    </xf>
    <xf numFmtId="167" fontId="13" fillId="10" borderId="0" xfId="0" applyNumberFormat="1" applyFont="1" applyFill="1" applyAlignment="1">
      <alignment horizontal="right" vertical="center"/>
    </xf>
    <xf numFmtId="167" fontId="12" fillId="10" borderId="0" xfId="0" applyNumberFormat="1" applyFont="1" applyFill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172" fontId="19" fillId="0" borderId="0" xfId="0" applyNumberFormat="1" applyFont="1" applyAlignment="1">
      <alignment horizontal="left" vertical="center"/>
    </xf>
    <xf numFmtId="173" fontId="12" fillId="0" borderId="0" xfId="0" applyNumberFormat="1" applyFont="1" applyAlignment="1">
      <alignment horizontal="left" vertical="center"/>
    </xf>
    <xf numFmtId="3" fontId="10" fillId="12" borderId="0" xfId="11" applyNumberFormat="1" applyFont="1" applyFill="1" applyAlignment="1">
      <alignment horizontal="left" vertical="center"/>
    </xf>
    <xf numFmtId="167" fontId="12" fillId="2" borderId="0" xfId="0" applyNumberFormat="1" applyFont="1" applyFill="1" applyAlignment="1">
      <alignment horizontal="left" vertical="center"/>
    </xf>
    <xf numFmtId="4" fontId="12" fillId="2" borderId="0" xfId="0" applyNumberFormat="1" applyFont="1" applyFill="1" applyAlignment="1">
      <alignment horizontal="left" vertical="center"/>
    </xf>
    <xf numFmtId="3" fontId="12" fillId="3" borderId="0" xfId="0" applyNumberFormat="1" applyFont="1" applyFill="1" applyAlignment="1">
      <alignment horizontal="left" vertical="center"/>
    </xf>
    <xf numFmtId="3" fontId="10" fillId="13" borderId="0" xfId="11" applyNumberFormat="1" applyFont="1" applyFill="1" applyAlignment="1">
      <alignment horizontal="left" vertical="center"/>
    </xf>
    <xf numFmtId="3" fontId="10" fillId="14" borderId="0" xfId="11" applyNumberFormat="1" applyFont="1" applyFill="1" applyAlignment="1">
      <alignment horizontal="left" vertical="center"/>
    </xf>
    <xf numFmtId="3" fontId="10" fillId="0" borderId="6" xfId="11" quotePrefix="1" applyNumberFormat="1" applyFont="1" applyBorder="1" applyAlignment="1">
      <alignment horizontal="centerContinuous" vertical="center"/>
    </xf>
    <xf numFmtId="3" fontId="10" fillId="0" borderId="0" xfId="11" applyNumberFormat="1" applyFont="1" applyAlignment="1">
      <alignment horizontal="centerContinuous" vertical="center"/>
    </xf>
    <xf numFmtId="3" fontId="10" fillId="0" borderId="7" xfId="11" applyNumberFormat="1" applyFont="1" applyBorder="1" applyAlignment="1">
      <alignment horizontal="centerContinuous" vertical="center"/>
    </xf>
    <xf numFmtId="167" fontId="23" fillId="0" borderId="0" xfId="0" applyNumberFormat="1" applyFont="1" applyAlignment="1">
      <alignment horizontal="left" vertical="center"/>
    </xf>
    <xf numFmtId="167" fontId="28" fillId="0" borderId="0" xfId="0" applyNumberFormat="1" applyFont="1" applyAlignment="1">
      <alignment horizontal="left" vertical="center" indent="1"/>
    </xf>
    <xf numFmtId="3" fontId="16" fillId="2" borderId="0" xfId="0" applyNumberFormat="1" applyFont="1" applyFill="1" applyAlignment="1">
      <alignment horizontal="center" vertical="center"/>
    </xf>
    <xf numFmtId="0" fontId="5" fillId="0" borderId="0" xfId="16" applyFont="1"/>
    <xf numFmtId="175" fontId="5" fillId="0" borderId="0" xfId="16" applyNumberFormat="1" applyFont="1"/>
    <xf numFmtId="175" fontId="5" fillId="0" borderId="0" xfId="5" applyNumberFormat="1" applyFont="1" applyFill="1" applyBorder="1" applyAlignment="1"/>
    <xf numFmtId="0" fontId="31" fillId="0" borderId="0" xfId="16" applyFont="1"/>
    <xf numFmtId="167" fontId="31" fillId="16" borderId="8" xfId="5" applyNumberFormat="1" applyFont="1" applyFill="1" applyBorder="1" applyAlignment="1">
      <alignment horizontal="left"/>
    </xf>
    <xf numFmtId="167" fontId="31" fillId="0" borderId="0" xfId="16" applyNumberFormat="1" applyFont="1" applyAlignment="1">
      <alignment horizontal="left"/>
    </xf>
    <xf numFmtId="167" fontId="31" fillId="0" borderId="8" xfId="5" applyNumberFormat="1" applyFont="1" applyFill="1" applyBorder="1" applyAlignment="1">
      <alignment horizontal="left"/>
    </xf>
    <xf numFmtId="167" fontId="31" fillId="16" borderId="0" xfId="16" applyNumberFormat="1" applyFont="1" applyFill="1" applyAlignment="1">
      <alignment horizontal="left"/>
    </xf>
    <xf numFmtId="167" fontId="5" fillId="0" borderId="0" xfId="5" applyNumberFormat="1" applyFont="1" applyFill="1" applyBorder="1" applyAlignment="1">
      <alignment horizontal="left"/>
    </xf>
    <xf numFmtId="167" fontId="31" fillId="0" borderId="0" xfId="5" applyNumberFormat="1" applyFont="1" applyFill="1" applyBorder="1" applyAlignment="1">
      <alignment horizontal="left"/>
    </xf>
    <xf numFmtId="174" fontId="32" fillId="0" borderId="0" xfId="5" applyNumberFormat="1" applyFont="1" applyFill="1" applyAlignment="1">
      <alignment horizontal="left" vertical="top"/>
    </xf>
    <xf numFmtId="174" fontId="33" fillId="0" borderId="0" xfId="5" applyNumberFormat="1" applyFont="1" applyFill="1" applyAlignment="1">
      <alignment vertical="top"/>
    </xf>
    <xf numFmtId="174" fontId="33" fillId="0" borderId="0" xfId="5" applyNumberFormat="1" applyFont="1" applyFill="1" applyAlignment="1">
      <alignment horizontal="left" vertical="top"/>
    </xf>
    <xf numFmtId="167" fontId="31" fillId="16" borderId="2" xfId="16" applyNumberFormat="1" applyFont="1" applyFill="1" applyBorder="1" applyAlignment="1">
      <alignment horizontal="left"/>
    </xf>
    <xf numFmtId="167" fontId="31" fillId="0" borderId="2" xfId="5" applyNumberFormat="1" applyFont="1" applyFill="1" applyBorder="1" applyAlignment="1">
      <alignment horizontal="left"/>
    </xf>
    <xf numFmtId="174" fontId="33" fillId="0" borderId="0" xfId="5" applyNumberFormat="1" applyFont="1" applyFill="1" applyBorder="1" applyAlignment="1">
      <alignment horizontal="left" vertical="top"/>
    </xf>
    <xf numFmtId="174" fontId="34" fillId="0" borderId="0" xfId="5" applyNumberFormat="1" applyFont="1" applyFill="1" applyBorder="1" applyAlignment="1">
      <alignment vertical="center"/>
    </xf>
    <xf numFmtId="174" fontId="32" fillId="0" borderId="0" xfId="5" applyNumberFormat="1" applyFont="1" applyFill="1" applyBorder="1" applyAlignment="1">
      <alignment horizontal="left" vertical="top"/>
    </xf>
    <xf numFmtId="174" fontId="5" fillId="0" borderId="0" xfId="5" applyNumberFormat="1" applyFont="1" applyFill="1" applyBorder="1" applyAlignment="1"/>
    <xf numFmtId="174" fontId="35" fillId="0" borderId="0" xfId="5" applyNumberFormat="1" applyFont="1" applyFill="1" applyBorder="1" applyAlignment="1">
      <alignment vertical="center"/>
    </xf>
    <xf numFmtId="174" fontId="31" fillId="0" borderId="0" xfId="5" applyNumberFormat="1" applyFont="1" applyFill="1" applyBorder="1" applyAlignment="1"/>
    <xf numFmtId="175" fontId="31" fillId="0" borderId="0" xfId="16" applyNumberFormat="1" applyFont="1" applyAlignment="1">
      <alignment vertical="center"/>
    </xf>
    <xf numFmtId="167" fontId="31" fillId="16" borderId="2" xfId="5" applyNumberFormat="1" applyFont="1" applyFill="1" applyBorder="1" applyAlignment="1">
      <alignment horizontal="left" vertical="center" wrapText="1"/>
    </xf>
    <xf numFmtId="175" fontId="5" fillId="0" borderId="0" xfId="16" applyNumberFormat="1" applyFont="1" applyAlignment="1">
      <alignment horizontal="left"/>
    </xf>
    <xf numFmtId="167" fontId="31" fillId="0" borderId="2" xfId="5" applyNumberFormat="1" applyFont="1" applyFill="1" applyBorder="1" applyAlignment="1">
      <alignment horizontal="left" vertical="center" wrapText="1"/>
    </xf>
    <xf numFmtId="0" fontId="5" fillId="0" borderId="0" xfId="16" applyFont="1" applyAlignment="1">
      <alignment vertical="center"/>
    </xf>
    <xf numFmtId="175" fontId="5" fillId="0" borderId="0" xfId="16" applyNumberFormat="1" applyFont="1" applyAlignment="1">
      <alignment vertical="center"/>
    </xf>
    <xf numFmtId="167" fontId="36" fillId="7" borderId="0" xfId="5" applyNumberFormat="1" applyFont="1" applyFill="1" applyAlignment="1">
      <alignment horizontal="left" vertical="center"/>
    </xf>
    <xf numFmtId="175" fontId="31" fillId="0" borderId="0" xfId="5" applyNumberFormat="1" applyFont="1" applyFill="1" applyBorder="1" applyAlignment="1">
      <alignment horizontal="right" vertical="center"/>
    </xf>
    <xf numFmtId="0" fontId="31" fillId="0" borderId="0" xfId="16" applyFont="1" applyAlignment="1">
      <alignment vertical="center"/>
    </xf>
    <xf numFmtId="175" fontId="31" fillId="0" borderId="0" xfId="5" applyNumberFormat="1" applyFont="1" applyFill="1" applyBorder="1" applyAlignment="1">
      <alignment horizontal="left" vertical="center"/>
    </xf>
    <xf numFmtId="175" fontId="5" fillId="0" borderId="0" xfId="16" applyNumberFormat="1" applyFont="1" applyAlignment="1">
      <alignment horizontal="left" vertical="center"/>
    </xf>
    <xf numFmtId="175" fontId="31" fillId="0" borderId="0" xfId="5" applyNumberFormat="1" applyFont="1" applyFill="1" applyBorder="1" applyAlignment="1">
      <alignment horizontal="right"/>
    </xf>
    <xf numFmtId="0" fontId="36" fillId="7" borderId="0" xfId="16" applyFont="1" applyFill="1" applyAlignment="1">
      <alignment vertical="center"/>
    </xf>
    <xf numFmtId="3" fontId="37" fillId="0" borderId="0" xfId="12" applyNumberFormat="1" applyFont="1" applyAlignment="1">
      <alignment horizontal="left" vertical="center"/>
    </xf>
    <xf numFmtId="3" fontId="37" fillId="0" borderId="0" xfId="12" applyNumberFormat="1" applyFont="1" applyAlignment="1">
      <alignment horizontal="left" vertical="center" indent="1"/>
    </xf>
    <xf numFmtId="3" fontId="38" fillId="0" borderId="0" xfId="12" applyNumberFormat="1" applyFont="1" applyAlignment="1">
      <alignment horizontal="left" vertical="center"/>
    </xf>
    <xf numFmtId="3" fontId="39" fillId="0" borderId="0" xfId="12" applyNumberFormat="1" applyFont="1" applyAlignment="1">
      <alignment horizontal="left" vertical="center" indent="1"/>
    </xf>
    <xf numFmtId="3" fontId="39" fillId="0" borderId="0" xfId="12" applyNumberFormat="1" applyFont="1" applyAlignment="1">
      <alignment horizontal="left" vertical="center"/>
    </xf>
    <xf numFmtId="3" fontId="38" fillId="0" borderId="0" xfId="12" applyNumberFormat="1" applyFont="1" applyAlignment="1">
      <alignment horizontal="left" vertical="center" indent="1"/>
    </xf>
    <xf numFmtId="9" fontId="12" fillId="0" borderId="0" xfId="1" applyNumberFormat="1" applyFont="1" applyBorder="1" applyAlignment="1">
      <alignment horizontal="left" vertical="center"/>
    </xf>
    <xf numFmtId="0" fontId="0" fillId="0" borderId="0" xfId="0" applyFill="1"/>
    <xf numFmtId="14" fontId="0" fillId="0" borderId="0" xfId="0" applyNumberFormat="1"/>
    <xf numFmtId="10" fontId="0" fillId="0" borderId="0" xfId="0" applyNumberFormat="1"/>
    <xf numFmtId="0" fontId="41" fillId="17" borderId="9" xfId="0" applyFont="1" applyFill="1" applyBorder="1"/>
    <xf numFmtId="14" fontId="41" fillId="17" borderId="9" xfId="0" applyNumberFormat="1" applyFont="1" applyFill="1" applyBorder="1"/>
    <xf numFmtId="0" fontId="0" fillId="18" borderId="9" xfId="0" applyFill="1" applyBorder="1"/>
    <xf numFmtId="0" fontId="0" fillId="0" borderId="9" xfId="0" applyBorder="1"/>
    <xf numFmtId="2" fontId="0" fillId="0" borderId="9" xfId="0" applyNumberFormat="1" applyBorder="1"/>
    <xf numFmtId="43" fontId="0" fillId="0" borderId="9" xfId="2" applyFont="1" applyBorder="1"/>
    <xf numFmtId="43" fontId="0" fillId="0" borderId="0" xfId="0" applyNumberFormat="1"/>
    <xf numFmtId="43" fontId="0" fillId="0" borderId="9" xfId="0" applyNumberFormat="1" applyBorder="1"/>
    <xf numFmtId="0" fontId="42" fillId="0" borderId="9" xfId="0" applyFont="1" applyBorder="1"/>
    <xf numFmtId="43" fontId="42" fillId="0" borderId="9" xfId="0" applyNumberFormat="1" applyFont="1" applyBorder="1"/>
    <xf numFmtId="0" fontId="42" fillId="18" borderId="9" xfId="0" applyFont="1" applyFill="1" applyBorder="1"/>
    <xf numFmtId="43" fontId="42" fillId="0" borderId="9" xfId="2" applyFont="1" applyBorder="1"/>
    <xf numFmtId="10" fontId="42" fillId="0" borderId="9" xfId="0" applyNumberFormat="1" applyFont="1" applyBorder="1"/>
    <xf numFmtId="0" fontId="42" fillId="18" borderId="9" xfId="0" applyFont="1" applyFill="1" applyBorder="1" applyAlignment="1">
      <alignment horizontal="right"/>
    </xf>
    <xf numFmtId="165" fontId="0" fillId="0" borderId="0" xfId="0" applyNumberFormat="1"/>
    <xf numFmtId="165" fontId="0" fillId="0" borderId="0" xfId="2" applyNumberFormat="1" applyFont="1"/>
    <xf numFmtId="43" fontId="0" fillId="0" borderId="0" xfId="2" applyFont="1"/>
    <xf numFmtId="0" fontId="0" fillId="19" borderId="9" xfId="0" applyFill="1" applyBorder="1" applyAlignment="1">
      <alignment horizontal="center" vertical="center"/>
    </xf>
    <xf numFmtId="0" fontId="0" fillId="19" borderId="9" xfId="0" applyFill="1" applyBorder="1"/>
    <xf numFmtId="0" fontId="0" fillId="19" borderId="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9" borderId="9" xfId="0" applyFill="1" applyBorder="1" applyAlignment="1">
      <alignment horizontal="center" vertical="center"/>
    </xf>
    <xf numFmtId="9" fontId="0" fillId="19" borderId="9" xfId="0" applyNumberFormat="1" applyFill="1" applyBorder="1" applyAlignment="1">
      <alignment horizontal="center" vertical="center"/>
    </xf>
    <xf numFmtId="10" fontId="0" fillId="19" borderId="9" xfId="1" applyNumberFormat="1" applyFont="1" applyFill="1" applyBorder="1" applyAlignment="1">
      <alignment horizontal="center" vertical="center"/>
    </xf>
    <xf numFmtId="10" fontId="42" fillId="19" borderId="9" xfId="1" applyNumberFormat="1" applyFont="1" applyFill="1" applyBorder="1" applyAlignment="1">
      <alignment horizontal="center" vertical="center"/>
    </xf>
    <xf numFmtId="0" fontId="0" fillId="19" borderId="0" xfId="0" applyFill="1" applyBorder="1"/>
    <xf numFmtId="10" fontId="42" fillId="0" borderId="0" xfId="0" applyNumberFormat="1" applyFont="1"/>
    <xf numFmtId="9" fontId="0" fillId="0" borderId="0" xfId="0" applyNumberFormat="1"/>
    <xf numFmtId="165" fontId="44" fillId="7" borderId="10" xfId="17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65" fontId="44" fillId="7" borderId="11" xfId="17" applyNumberFormat="1" applyFont="1" applyFill="1" applyBorder="1" applyAlignment="1">
      <alignment horizontal="right" vertical="center"/>
    </xf>
    <xf numFmtId="43" fontId="45" fillId="0" borderId="0" xfId="2" applyFont="1"/>
    <xf numFmtId="10" fontId="46" fillId="19" borderId="9" xfId="0" applyNumberFormat="1" applyFont="1" applyFill="1" applyBorder="1" applyAlignment="1">
      <alignment horizontal="center" vertical="center"/>
    </xf>
    <xf numFmtId="165" fontId="0" fillId="19" borderId="9" xfId="2" applyNumberFormat="1" applyFont="1" applyFill="1" applyBorder="1" applyAlignment="1">
      <alignment horizontal="center" vertical="center"/>
    </xf>
    <xf numFmtId="165" fontId="42" fillId="19" borderId="9" xfId="2" applyNumberFormat="1" applyFont="1" applyFill="1" applyBorder="1" applyAlignment="1">
      <alignment horizontal="center" vertical="center"/>
    </xf>
    <xf numFmtId="10" fontId="0" fillId="0" borderId="9" xfId="0" applyNumberFormat="1" applyBorder="1"/>
  </cellXfs>
  <cellStyles count="19">
    <cellStyle name="Accent4 2" xfId="15"/>
    <cellStyle name="Comma" xfId="2" builtinId="3"/>
    <cellStyle name="Comma 2" xfId="4"/>
    <cellStyle name="Comma 2 2" xfId="5"/>
    <cellStyle name="Comma 3" xfId="10"/>
    <cellStyle name="Comma 4" xfId="14"/>
    <cellStyle name="Comma 5" xfId="17"/>
    <cellStyle name="Normal" xfId="0" builtinId="0"/>
    <cellStyle name="Normal 2" xfId="3"/>
    <cellStyle name="Normal 2 2" xfId="16"/>
    <cellStyle name="Normal 3" xfId="8"/>
    <cellStyle name="Normal 3 2" xfId="6"/>
    <cellStyle name="Normal 3 2 2" xfId="7"/>
    <cellStyle name="Normal 3 3" xfId="18"/>
    <cellStyle name="Normal 4" xfId="11"/>
    <cellStyle name="Normal 5" xfId="12"/>
    <cellStyle name="Normal 6" xfId="13"/>
    <cellStyle name="Percent" xfId="1" builtinId="5"/>
    <cellStyle name="Percent 2" xfId="9"/>
  </cellStyles>
  <dxfs count="3">
    <dxf>
      <font>
        <color theme="0" tint="-0.24994659260841701"/>
      </font>
    </dxf>
    <dxf>
      <font>
        <color theme="2" tint="-9.9948118533890809E-2"/>
      </font>
    </dxf>
    <dxf>
      <font>
        <color theme="0"/>
      </font>
    </dxf>
  </dxfs>
  <tableStyles count="0" defaultTableStyle="TableStyleMedium2" defaultPivotStyle="PivotStyleLight16"/>
  <colors>
    <mruColors>
      <color rgb="FF0000CC"/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Vishal%20Singh/Old%20Files/Best%20View%20Infracon%20Ltd/Documents%20Recieved/Cashflows_Eldeco%20Centre_SBI_1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-0.249977111117893"/>
    <pageSetUpPr fitToPage="1"/>
  </sheetPr>
  <dimension ref="A1:AL81"/>
  <sheetViews>
    <sheetView showGridLines="0" topLeftCell="B1" zoomScale="85" zoomScaleNormal="85" zoomScaleSheetLayoutView="82" workbookViewId="0">
      <selection activeCell="N72" sqref="N72"/>
    </sheetView>
  </sheetViews>
  <sheetFormatPr defaultColWidth="9.5703125" defaultRowHeight="17.25"/>
  <cols>
    <col min="1" max="1" width="9.5703125" style="5"/>
    <col min="2" max="9" width="11.140625" style="5" customWidth="1"/>
    <col min="10" max="12" width="9.7109375" style="5" customWidth="1"/>
    <col min="13" max="13" width="1.7109375" style="5" customWidth="1"/>
    <col min="14" max="17" width="10.7109375" style="5" customWidth="1"/>
    <col min="18" max="18" width="1.7109375" style="5" customWidth="1"/>
    <col min="19" max="19" width="9.7109375" style="5" customWidth="1"/>
    <col min="20" max="20" width="1.7109375" style="5" customWidth="1"/>
    <col min="21" max="21" width="29" style="5" customWidth="1"/>
    <col min="22" max="22" width="12.28515625" style="5" customWidth="1"/>
    <col min="23" max="23" width="9.7109375" style="5" customWidth="1"/>
    <col min="24" max="27" width="10.7109375" style="5" customWidth="1"/>
    <col min="28" max="28" width="1.7109375" style="5" customWidth="1"/>
    <col min="29" max="29" width="9.5703125" style="5"/>
    <col min="30" max="30" width="1.7109375" style="5" hidden="1" customWidth="1"/>
    <col min="31" max="31" width="14.42578125" style="5" hidden="1" customWidth="1"/>
    <col min="32" max="32" width="11.85546875" style="5" hidden="1" customWidth="1"/>
    <col min="33" max="37" width="9.5703125" style="5" hidden="1" customWidth="1"/>
    <col min="38" max="38" width="1.7109375" style="5" hidden="1" customWidth="1"/>
    <col min="39" max="16384" width="9.5703125" style="5"/>
  </cols>
  <sheetData>
    <row r="1" spans="1:38">
      <c r="A1" s="85" t="str">
        <f>+IF(A12=1,"Development With Panchayat Raasta Exchange","Development With Panchayat Raasta Status Quo")</f>
        <v>Development With Panchayat Raasta Status Quo</v>
      </c>
      <c r="B1" s="84"/>
      <c r="C1" s="84"/>
      <c r="D1" s="84"/>
      <c r="E1" s="84"/>
      <c r="F1" s="84"/>
      <c r="G1" s="84"/>
      <c r="H1" s="84"/>
      <c r="I1" s="84"/>
      <c r="J1" s="84"/>
    </row>
    <row r="2" spans="1:38">
      <c r="M2" s="8"/>
      <c r="R2" s="9"/>
      <c r="T2" s="8"/>
      <c r="AB2" s="9"/>
      <c r="AD2" s="8"/>
      <c r="AL2" s="9"/>
    </row>
    <row r="3" spans="1:38">
      <c r="B3" s="6" t="s">
        <v>236</v>
      </c>
      <c r="C3" s="6"/>
      <c r="D3" s="6"/>
      <c r="E3" s="6"/>
      <c r="F3" s="6"/>
      <c r="G3" s="7"/>
      <c r="M3" s="8"/>
      <c r="N3" s="6" t="s">
        <v>136</v>
      </c>
      <c r="O3" s="6"/>
      <c r="P3" s="6"/>
      <c r="Q3" s="7"/>
      <c r="R3" s="9"/>
      <c r="T3" s="8"/>
      <c r="U3" s="10" t="s">
        <v>172</v>
      </c>
      <c r="V3" s="10"/>
      <c r="W3" s="10"/>
      <c r="X3" s="11">
        <v>1</v>
      </c>
      <c r="Y3" s="11">
        <f>+X3+1</f>
        <v>2</v>
      </c>
      <c r="Z3" s="11">
        <f>+Y3+1</f>
        <v>3</v>
      </c>
      <c r="AA3" s="11">
        <f>+Z3+1</f>
        <v>4</v>
      </c>
      <c r="AB3" s="9"/>
      <c r="AD3" s="8"/>
      <c r="AE3" s="10" t="s">
        <v>175</v>
      </c>
      <c r="AF3" s="10"/>
      <c r="AG3" s="7"/>
      <c r="AH3" s="7"/>
      <c r="AI3" s="7"/>
      <c r="AJ3" s="7"/>
      <c r="AK3" s="7"/>
      <c r="AL3" s="9"/>
    </row>
    <row r="4" spans="1:38">
      <c r="B4" s="5" t="s">
        <v>96</v>
      </c>
      <c r="E4" s="5" t="s">
        <v>104</v>
      </c>
      <c r="G4" s="24">
        <v>7.92</v>
      </c>
      <c r="M4" s="8"/>
      <c r="R4" s="9"/>
      <c r="T4" s="8"/>
      <c r="U4" s="5" t="s">
        <v>165</v>
      </c>
      <c r="V4" s="13" t="s">
        <v>170</v>
      </c>
      <c r="X4" s="63">
        <f t="shared" ref="X4:AA5" si="0">+(X10+X15)</f>
        <v>10.158460154808562</v>
      </c>
      <c r="Y4" s="63">
        <f t="shared" si="0"/>
        <v>10.131683579805848</v>
      </c>
      <c r="Z4" s="63">
        <f t="shared" si="0"/>
        <v>10.131683579805848</v>
      </c>
      <c r="AA4" s="63">
        <f t="shared" si="0"/>
        <v>10.131683579805848</v>
      </c>
      <c r="AB4" s="9"/>
      <c r="AD4" s="8"/>
      <c r="AL4" s="9"/>
    </row>
    <row r="5" spans="1:38">
      <c r="B5" s="5" t="s">
        <v>96</v>
      </c>
      <c r="E5" s="5" t="s">
        <v>105</v>
      </c>
      <c r="G5" s="14">
        <f>+G4*4046.86</f>
        <v>32051.1312</v>
      </c>
      <c r="M5" s="8"/>
      <c r="N5" s="15" t="s">
        <v>84</v>
      </c>
      <c r="R5" s="9"/>
      <c r="T5" s="8"/>
      <c r="U5" s="5" t="s">
        <v>166</v>
      </c>
      <c r="V5" s="64" t="s">
        <v>171</v>
      </c>
      <c r="X5" s="63">
        <f t="shared" si="0"/>
        <v>12.446170213187001</v>
      </c>
      <c r="Y5" s="63">
        <f t="shared" si="0"/>
        <v>12.446170213187001</v>
      </c>
      <c r="Z5" s="63">
        <f t="shared" si="0"/>
        <v>12.446170213187001</v>
      </c>
      <c r="AA5" s="63">
        <f t="shared" si="0"/>
        <v>12.446170213187001</v>
      </c>
      <c r="AB5" s="9"/>
      <c r="AD5" s="8"/>
      <c r="AL5" s="9"/>
    </row>
    <row r="6" spans="1:38">
      <c r="B6" s="5" t="s">
        <v>97</v>
      </c>
      <c r="E6" s="5" t="s">
        <v>106</v>
      </c>
      <c r="G6" s="16">
        <v>715221</v>
      </c>
      <c r="M6" s="8"/>
      <c r="N6" s="13" t="s">
        <v>230</v>
      </c>
      <c r="Q6" s="58">
        <f>+$G$64</f>
        <v>322.5</v>
      </c>
      <c r="R6" s="9"/>
      <c r="T6" s="8"/>
      <c r="U6" s="5" t="s">
        <v>167</v>
      </c>
      <c r="V6" s="64" t="s">
        <v>171</v>
      </c>
      <c r="X6" s="77">
        <v>9.6857600000000001</v>
      </c>
      <c r="Y6" s="77">
        <v>9.6857600000000001</v>
      </c>
      <c r="Z6" s="77">
        <f>+Y6</f>
        <v>9.6857600000000001</v>
      </c>
      <c r="AA6" s="77">
        <f>+Z6</f>
        <v>9.6857600000000001</v>
      </c>
      <c r="AB6" s="9"/>
      <c r="AD6" s="8"/>
      <c r="AG6" s="5" t="s">
        <v>181</v>
      </c>
      <c r="AJ6" s="5" t="s">
        <v>182</v>
      </c>
      <c r="AL6" s="9"/>
    </row>
    <row r="7" spans="1:38">
      <c r="B7" s="5" t="s">
        <v>64</v>
      </c>
      <c r="E7" s="5" t="s">
        <v>106</v>
      </c>
      <c r="G7" s="16">
        <v>48901</v>
      </c>
      <c r="M7" s="8"/>
      <c r="N7" s="13" t="s">
        <v>231</v>
      </c>
      <c r="Q7" s="14">
        <f>+LOOKUP($A$12,$X$3:$AA$3,$X$30:$AA$30)-Q8-Q9</f>
        <v>700.18658532746224</v>
      </c>
      <c r="R7" s="9"/>
      <c r="T7" s="8"/>
      <c r="U7" s="5" t="s">
        <v>168</v>
      </c>
      <c r="V7" s="64" t="s">
        <v>171</v>
      </c>
      <c r="X7" s="63">
        <f t="shared" ref="X7:AA8" si="1">+(X12+X17)</f>
        <v>8.3044582210652802</v>
      </c>
      <c r="Y7" s="63">
        <f t="shared" si="1"/>
        <v>9.4076110639741497</v>
      </c>
      <c r="Z7" s="63">
        <f t="shared" si="1"/>
        <v>9.4076110639741497</v>
      </c>
      <c r="AA7" s="63">
        <f t="shared" si="1"/>
        <v>9.4076110639741497</v>
      </c>
      <c r="AB7" s="9"/>
      <c r="AD7" s="8"/>
      <c r="AE7" s="66" t="s">
        <v>176</v>
      </c>
      <c r="AF7" s="66"/>
      <c r="AG7" s="67" t="s">
        <v>177</v>
      </c>
      <c r="AH7" s="67"/>
      <c r="AI7" s="67"/>
      <c r="AJ7" s="67"/>
      <c r="AK7" s="67"/>
      <c r="AL7" s="9"/>
    </row>
    <row r="8" spans="1:38">
      <c r="B8" s="5" t="s">
        <v>65</v>
      </c>
      <c r="E8" s="5" t="s">
        <v>106</v>
      </c>
      <c r="G8" s="16">
        <f>+LOOKUP($A$12,$X$3:$AA$3,$X$6:$AA$6)*10^5-(G6+G7)</f>
        <v>204454</v>
      </c>
      <c r="M8" s="8"/>
      <c r="N8" s="13" t="s">
        <v>81</v>
      </c>
      <c r="Q8" s="14">
        <v>9.8844899999999996</v>
      </c>
      <c r="R8" s="9"/>
      <c r="T8" s="8"/>
      <c r="U8" s="5" t="s">
        <v>169</v>
      </c>
      <c r="V8" s="64" t="s">
        <v>171</v>
      </c>
      <c r="X8" s="63">
        <f t="shared" si="1"/>
        <v>1.8540019337432798</v>
      </c>
      <c r="Y8" s="63">
        <f t="shared" si="1"/>
        <v>0.72407251583169996</v>
      </c>
      <c r="Z8" s="63">
        <f t="shared" si="1"/>
        <v>0.72407251583169996</v>
      </c>
      <c r="AA8" s="63">
        <f t="shared" si="1"/>
        <v>0.72407251583169996</v>
      </c>
      <c r="AB8" s="9"/>
      <c r="AD8" s="8"/>
      <c r="AE8" s="68"/>
      <c r="AF8" s="69">
        <f ca="1">+'PH1_O+R'!$G$65</f>
        <v>487</v>
      </c>
      <c r="AG8" s="29"/>
      <c r="AH8" s="29"/>
      <c r="AI8" s="29"/>
      <c r="AJ8" s="29"/>
      <c r="AK8" s="29"/>
      <c r="AL8" s="9"/>
    </row>
    <row r="9" spans="1:38">
      <c r="B9" s="5" t="s">
        <v>52</v>
      </c>
      <c r="E9" s="5" t="s">
        <v>106</v>
      </c>
      <c r="G9" s="14">
        <f>+G6+G7+G8</f>
        <v>968576</v>
      </c>
      <c r="M9" s="8"/>
      <c r="N9" s="13" t="s">
        <v>193</v>
      </c>
      <c r="Q9" s="14">
        <v>4.7789660000000005</v>
      </c>
      <c r="R9" s="9"/>
      <c r="T9" s="8"/>
      <c r="AB9" s="9"/>
      <c r="AD9" s="8"/>
      <c r="AE9" s="67"/>
      <c r="AF9" s="78"/>
      <c r="AG9" s="14"/>
      <c r="AH9" s="14"/>
      <c r="AI9" s="14"/>
      <c r="AJ9" s="14"/>
      <c r="AK9" s="14"/>
      <c r="AL9" s="9"/>
    </row>
    <row r="10" spans="1:38">
      <c r="B10" s="5" t="s">
        <v>161</v>
      </c>
      <c r="E10" s="5" t="s">
        <v>162</v>
      </c>
      <c r="G10" s="16">
        <v>0</v>
      </c>
      <c r="M10" s="8"/>
      <c r="N10" s="13" t="s">
        <v>83</v>
      </c>
      <c r="Q10" s="17">
        <f ca="1">+$G$69</f>
        <v>149.38069172845101</v>
      </c>
      <c r="R10" s="9"/>
      <c r="T10" s="8"/>
      <c r="U10" s="5" t="s">
        <v>153</v>
      </c>
      <c r="V10" s="64" t="s">
        <v>171</v>
      </c>
      <c r="X10" s="63">
        <f>+SUM(X12:X13)</f>
        <v>4.2614843101483943</v>
      </c>
      <c r="Y10" s="63">
        <f t="shared" ref="Y10:AA10" si="2">+SUM(Y12:Y13)</f>
        <v>4.2810021513861001</v>
      </c>
      <c r="Z10" s="63">
        <f t="shared" si="2"/>
        <v>4.2810021513861001</v>
      </c>
      <c r="AA10" s="63">
        <f t="shared" si="2"/>
        <v>4.2810021513861001</v>
      </c>
      <c r="AB10" s="9"/>
      <c r="AD10" s="8"/>
      <c r="AE10" s="70" t="s">
        <v>178</v>
      </c>
      <c r="AF10" s="78"/>
      <c r="AG10" s="14"/>
      <c r="AH10" s="14"/>
      <c r="AI10" s="14"/>
      <c r="AJ10" s="14"/>
      <c r="AK10" s="14"/>
      <c r="AL10" s="9"/>
    </row>
    <row r="11" spans="1:38">
      <c r="G11" s="14"/>
      <c r="M11" s="8"/>
      <c r="N11" s="59" t="s">
        <v>1</v>
      </c>
      <c r="O11" s="59"/>
      <c r="P11" s="59"/>
      <c r="Q11" s="60">
        <f ca="1">SUM(Q6:Q10)</f>
        <v>1186.7307330559133</v>
      </c>
      <c r="R11" s="9"/>
      <c r="T11" s="8"/>
      <c r="U11" s="5" t="s">
        <v>154</v>
      </c>
      <c r="V11" s="64" t="s">
        <v>171</v>
      </c>
      <c r="X11" s="77">
        <f>354995.57478/100000</f>
        <v>3.5499557478000003</v>
      </c>
      <c r="Y11" s="77">
        <f>354995.57478/100000</f>
        <v>3.5499557478000003</v>
      </c>
      <c r="Z11" s="77">
        <f t="shared" ref="Z11:AA11" si="3">+Y11</f>
        <v>3.5499557478000003</v>
      </c>
      <c r="AA11" s="77">
        <f t="shared" si="3"/>
        <v>3.5499557478000003</v>
      </c>
      <c r="AB11" s="9"/>
      <c r="AD11" s="8"/>
      <c r="AE11" s="70" t="s">
        <v>179</v>
      </c>
      <c r="AF11" s="78"/>
      <c r="AG11" s="14"/>
      <c r="AH11" s="14"/>
      <c r="AI11" s="14"/>
      <c r="AJ11" s="14"/>
      <c r="AK11" s="14"/>
      <c r="AL11" s="9"/>
    </row>
    <row r="12" spans="1:38">
      <c r="A12" s="86">
        <v>2</v>
      </c>
      <c r="B12" s="6" t="s">
        <v>235</v>
      </c>
      <c r="C12" s="6"/>
      <c r="D12" s="6"/>
      <c r="E12" s="6"/>
      <c r="F12" s="6"/>
      <c r="G12" s="18"/>
      <c r="H12" s="18" t="s">
        <v>197</v>
      </c>
      <c r="I12" s="18" t="s">
        <v>198</v>
      </c>
      <c r="J12" s="18" t="s">
        <v>200</v>
      </c>
      <c r="M12" s="8"/>
      <c r="R12" s="9"/>
      <c r="T12" s="8"/>
      <c r="U12" s="5" t="s">
        <v>155</v>
      </c>
      <c r="V12" s="64" t="s">
        <v>171</v>
      </c>
      <c r="X12" s="77">
        <f>392699.012689221/100000</f>
        <v>3.9269901268922101</v>
      </c>
      <c r="Y12" s="77">
        <f>428100.21513861/100000</f>
        <v>4.2810021513861001</v>
      </c>
      <c r="Z12" s="77">
        <f t="shared" ref="Z12:AA12" si="4">+Y12</f>
        <v>4.2810021513861001</v>
      </c>
      <c r="AA12" s="77">
        <f t="shared" si="4"/>
        <v>4.2810021513861001</v>
      </c>
      <c r="AB12" s="9"/>
      <c r="AD12" s="8"/>
      <c r="AE12" s="67"/>
      <c r="AF12" s="78"/>
      <c r="AG12" s="14"/>
      <c r="AH12" s="14"/>
      <c r="AI12" s="14"/>
      <c r="AJ12" s="14"/>
      <c r="AK12" s="14"/>
      <c r="AL12" s="9"/>
    </row>
    <row r="13" spans="1:38">
      <c r="B13" s="5" t="s">
        <v>74</v>
      </c>
      <c r="E13" s="5" t="s">
        <v>106</v>
      </c>
      <c r="G13" s="14">
        <f>+SUM(G14:G15)</f>
        <v>1013168.357980585</v>
      </c>
      <c r="H13" s="14">
        <f>SUM(H14:H15)</f>
        <v>428100.21513860999</v>
      </c>
      <c r="I13" s="14">
        <f>SUM(I14:I15)</f>
        <v>512660.89125880494</v>
      </c>
      <c r="J13" s="14">
        <f>SUM(J14:J15)</f>
        <v>72407.25158317</v>
      </c>
      <c r="M13" s="8"/>
      <c r="N13" s="15" t="s">
        <v>85</v>
      </c>
      <c r="Q13" s="14"/>
      <c r="R13" s="9"/>
      <c r="T13" s="8"/>
      <c r="U13" s="5" t="s">
        <v>156</v>
      </c>
      <c r="V13" s="64" t="s">
        <v>171</v>
      </c>
      <c r="X13" s="77">
        <f>33449.4183256184/100000</f>
        <v>0.33449418325618396</v>
      </c>
      <c r="Y13" s="77">
        <v>0</v>
      </c>
      <c r="Z13" s="77">
        <f t="shared" ref="Z13:AA13" si="5">+Y13</f>
        <v>0</v>
      </c>
      <c r="AA13" s="77">
        <f t="shared" si="5"/>
        <v>0</v>
      </c>
      <c r="AB13" s="9"/>
      <c r="AD13" s="8"/>
      <c r="AE13" s="67"/>
      <c r="AF13" s="78"/>
      <c r="AG13" s="14"/>
      <c r="AH13" s="14"/>
      <c r="AI13" s="14"/>
      <c r="AJ13" s="14"/>
      <c r="AK13" s="14"/>
      <c r="AL13" s="9"/>
    </row>
    <row r="14" spans="1:38">
      <c r="B14" s="5" t="s">
        <v>75</v>
      </c>
      <c r="E14" s="5" t="s">
        <v>106</v>
      </c>
      <c r="F14" s="14"/>
      <c r="G14" s="19">
        <f>+LOOKUP($A$12,$X$3:$AA$3,$X$8:$AA$8)*10^5</f>
        <v>72407.25158317</v>
      </c>
      <c r="H14" s="19">
        <f>+LOOKUP($A$12,$X$3:$AA$3,$X$13:$AA$13)*10^5</f>
        <v>0</v>
      </c>
      <c r="I14" s="19">
        <v>0</v>
      </c>
      <c r="J14" s="16">
        <f>+LOOKUP($A$12,$X$3:$AA$3,$X$18:$AA$18)*10^5</f>
        <v>72407.25158317</v>
      </c>
      <c r="M14" s="8"/>
      <c r="N14" s="13" t="s">
        <v>226</v>
      </c>
      <c r="Q14" s="14">
        <f>+$Q$6</f>
        <v>322.5</v>
      </c>
      <c r="R14" s="9"/>
      <c r="T14" s="8"/>
      <c r="X14" s="20"/>
      <c r="Y14" s="20"/>
      <c r="Z14" s="20"/>
      <c r="AA14" s="20"/>
      <c r="AB14" s="9"/>
      <c r="AD14" s="8"/>
      <c r="AL14" s="9"/>
    </row>
    <row r="15" spans="1:38">
      <c r="B15" s="5" t="s">
        <v>76</v>
      </c>
      <c r="E15" s="5" t="s">
        <v>106</v>
      </c>
      <c r="F15" s="14"/>
      <c r="G15" s="19">
        <f>+LOOKUP($A$12,$X$3:$AA$3,$X$7:$AA$7)*10^5</f>
        <v>940761.10639741493</v>
      </c>
      <c r="H15" s="19">
        <f>+LOOKUP($A$12,$X$3:$AA$3,$X$12:$AA$12)*10^5</f>
        <v>428100.21513860999</v>
      </c>
      <c r="I15" s="19">
        <f>+LOOKUP($A$12,$X$3:$AA$3,$X$17:$AA$17)*10^5</f>
        <v>512660.89125880494</v>
      </c>
      <c r="J15" s="16">
        <v>0</v>
      </c>
      <c r="M15" s="8"/>
      <c r="N15" s="13" t="s">
        <v>227</v>
      </c>
      <c r="Q15" s="14">
        <f ca="1">+MAX('PH1_O+R'!$H$96:$AQ$96)-Q14</f>
        <v>264.26426850724999</v>
      </c>
      <c r="R15" s="9"/>
      <c r="T15" s="8"/>
      <c r="U15" s="5" t="s">
        <v>157</v>
      </c>
      <c r="V15" s="64" t="s">
        <v>171</v>
      </c>
      <c r="X15" s="63">
        <f>+SUM(X17:X18)</f>
        <v>5.896975844660167</v>
      </c>
      <c r="Y15" s="63">
        <f t="shared" ref="Y15:AA15" si="6">+SUM(Y17:Y18)</f>
        <v>5.8506814284197493</v>
      </c>
      <c r="Z15" s="63">
        <f t="shared" si="6"/>
        <v>5.8506814284197493</v>
      </c>
      <c r="AA15" s="63">
        <f t="shared" si="6"/>
        <v>5.8506814284197493</v>
      </c>
      <c r="AB15" s="9"/>
      <c r="AD15" s="8"/>
      <c r="AL15" s="9"/>
    </row>
    <row r="16" spans="1:38">
      <c r="G16" s="14"/>
      <c r="H16" s="20"/>
      <c r="I16" s="20"/>
      <c r="J16" s="20"/>
      <c r="M16" s="8"/>
      <c r="N16" s="13" t="s">
        <v>228</v>
      </c>
      <c r="Q16" s="17">
        <f ca="1">+MAX('PH1_O+R'!$H$99:$AQ$99)</f>
        <v>599.966464548663</v>
      </c>
      <c r="R16" s="9"/>
      <c r="T16" s="8"/>
      <c r="U16" s="5" t="s">
        <v>158</v>
      </c>
      <c r="V16" s="64" t="s">
        <v>171</v>
      </c>
      <c r="X16" s="44">
        <f>889621.4465387/100000</f>
        <v>8.8962144653870006</v>
      </c>
      <c r="Y16" s="44">
        <f>889621.4465387/100000</f>
        <v>8.8962144653870006</v>
      </c>
      <c r="Z16" s="77">
        <f t="shared" ref="Z16:AA16" si="7">+Y16</f>
        <v>8.8962144653870006</v>
      </c>
      <c r="AA16" s="77">
        <f t="shared" si="7"/>
        <v>8.8962144653870006</v>
      </c>
      <c r="AB16" s="9"/>
      <c r="AD16" s="8"/>
      <c r="AL16" s="9"/>
    </row>
    <row r="17" spans="1:38">
      <c r="B17" s="6" t="s">
        <v>238</v>
      </c>
      <c r="C17" s="6"/>
      <c r="D17" s="6"/>
      <c r="E17" s="6"/>
      <c r="F17" s="6"/>
      <c r="G17" s="18"/>
      <c r="M17" s="8"/>
      <c r="N17" s="59" t="s">
        <v>1</v>
      </c>
      <c r="O17" s="59"/>
      <c r="P17" s="59"/>
      <c r="Q17" s="60">
        <f ca="1">SUM(Q14:Q16)</f>
        <v>1186.7307330559129</v>
      </c>
      <c r="R17" s="9"/>
      <c r="T17" s="8"/>
      <c r="U17" s="5" t="s">
        <v>159</v>
      </c>
      <c r="V17" s="64" t="s">
        <v>171</v>
      </c>
      <c r="X17" s="44">
        <f>437746.809417307/100000</f>
        <v>4.3774680941730706</v>
      </c>
      <c r="Y17" s="44">
        <f t="shared" ref="Y17" si="8">512660.891258805/100000</f>
        <v>5.1266089125880496</v>
      </c>
      <c r="Z17" s="77">
        <f t="shared" ref="Z17:AA17" si="9">+Y17</f>
        <v>5.1266089125880496</v>
      </c>
      <c r="AA17" s="77">
        <f t="shared" si="9"/>
        <v>5.1266089125880496</v>
      </c>
      <c r="AB17" s="9"/>
      <c r="AD17" s="8"/>
      <c r="AG17" s="5" t="s">
        <v>181</v>
      </c>
      <c r="AJ17" s="5" t="s">
        <v>182</v>
      </c>
      <c r="AL17" s="9"/>
    </row>
    <row r="18" spans="1:38">
      <c r="B18" s="5" t="s">
        <v>73</v>
      </c>
      <c r="G18" s="16">
        <v>0</v>
      </c>
      <c r="M18" s="8"/>
      <c r="Q18" s="14"/>
      <c r="R18" s="9"/>
      <c r="T18" s="8"/>
      <c r="U18" s="5" t="s">
        <v>160</v>
      </c>
      <c r="V18" s="64" t="s">
        <v>171</v>
      </c>
      <c r="X18" s="44">
        <f>(117521+19734.7901609586+14694.984887751)/100000</f>
        <v>1.519507750487096</v>
      </c>
      <c r="Y18" s="44">
        <f t="shared" ref="Y18" si="10">72407.25158317/100000</f>
        <v>0.72407251583169996</v>
      </c>
      <c r="Z18" s="77">
        <f t="shared" ref="Z18:AA18" si="11">+Y18</f>
        <v>0.72407251583169996</v>
      </c>
      <c r="AA18" s="77">
        <f t="shared" si="11"/>
        <v>0.72407251583169996</v>
      </c>
      <c r="AB18" s="9"/>
      <c r="AD18" s="8"/>
      <c r="AE18" s="66" t="s">
        <v>176</v>
      </c>
      <c r="AF18" s="66"/>
      <c r="AG18" s="67" t="s">
        <v>180</v>
      </c>
      <c r="AH18" s="67"/>
      <c r="AI18" s="67"/>
      <c r="AJ18" s="67"/>
      <c r="AK18" s="67"/>
      <c r="AL18" s="9"/>
    </row>
    <row r="19" spans="1:38">
      <c r="A19" s="30">
        <v>0</v>
      </c>
      <c r="B19" s="5" t="s">
        <v>122</v>
      </c>
      <c r="G19" s="16">
        <f>+(LOOKUP($A$12,$X$3:$AA$3,X30:AA30)*100/LOOKUP($A$12,$X$3:$AA$3,X4:AA4))*(1-$A$19)</f>
        <v>7055.589879970973</v>
      </c>
      <c r="M19" s="8"/>
      <c r="N19" s="59" t="s">
        <v>137</v>
      </c>
      <c r="O19" s="59"/>
      <c r="P19" s="59"/>
      <c r="Q19" s="60">
        <f>+MAX('PH1_O+R'!$H$35:$AQ$35)</f>
        <v>1837.0537031939134</v>
      </c>
      <c r="R19" s="9"/>
      <c r="T19" s="8"/>
      <c r="AB19" s="9"/>
      <c r="AD19" s="8"/>
      <c r="AE19" s="68"/>
      <c r="AF19" s="69">
        <f ca="1">+'PH1_O+R'!$G$65</f>
        <v>487</v>
      </c>
      <c r="AG19" s="29"/>
      <c r="AH19" s="29"/>
      <c r="AI19" s="29"/>
      <c r="AJ19" s="29"/>
      <c r="AK19" s="29"/>
      <c r="AL19" s="9"/>
    </row>
    <row r="20" spans="1:38">
      <c r="B20" s="5" t="s">
        <v>72</v>
      </c>
      <c r="G20" s="22">
        <v>0</v>
      </c>
      <c r="M20" s="8"/>
      <c r="Q20" s="20"/>
      <c r="R20" s="9"/>
      <c r="T20" s="8"/>
      <c r="U20" s="5" t="s">
        <v>114</v>
      </c>
      <c r="X20" s="76">
        <f>+'Cost Schedule'!$C$41/100</f>
        <v>739.93845332746218</v>
      </c>
      <c r="Y20" s="76">
        <f>+'Cost Schedule'!$C$41/100</f>
        <v>739.93845332746218</v>
      </c>
      <c r="Z20" s="76">
        <f>+'Cost Schedule'!$C$41/100</f>
        <v>739.93845332746218</v>
      </c>
      <c r="AA20" s="76">
        <f>+'Cost Schedule'!$C$41/100</f>
        <v>739.93845332746218</v>
      </c>
      <c r="AB20" s="9"/>
      <c r="AD20" s="8"/>
      <c r="AE20" s="67"/>
      <c r="AF20" s="78"/>
      <c r="AG20" s="14"/>
      <c r="AH20" s="14"/>
      <c r="AI20" s="14"/>
      <c r="AJ20" s="14"/>
      <c r="AK20" s="14"/>
      <c r="AL20" s="9"/>
    </row>
    <row r="21" spans="1:38">
      <c r="G21" s="31"/>
      <c r="M21" s="8"/>
      <c r="R21" s="9"/>
      <c r="T21" s="8"/>
      <c r="U21" s="5" t="s">
        <v>115</v>
      </c>
      <c r="X21" s="53">
        <v>0</v>
      </c>
      <c r="Y21" s="53">
        <v>0</v>
      </c>
      <c r="Z21" s="53">
        <v>0</v>
      </c>
      <c r="AA21" s="53">
        <v>0</v>
      </c>
      <c r="AB21" s="9"/>
      <c r="AD21" s="8"/>
      <c r="AE21" s="70" t="s">
        <v>178</v>
      </c>
      <c r="AF21" s="78"/>
      <c r="AG21" s="14"/>
      <c r="AH21" s="14"/>
      <c r="AI21" s="14"/>
      <c r="AJ21" s="14"/>
      <c r="AK21" s="14"/>
      <c r="AL21" s="9"/>
    </row>
    <row r="22" spans="1:38">
      <c r="B22" s="6" t="s">
        <v>237</v>
      </c>
      <c r="C22" s="6"/>
      <c r="D22" s="6"/>
      <c r="E22" s="6"/>
      <c r="F22" s="6"/>
      <c r="G22" s="18"/>
      <c r="H22" s="18" t="s">
        <v>197</v>
      </c>
      <c r="I22" s="18" t="s">
        <v>198</v>
      </c>
      <c r="J22" s="18" t="s">
        <v>199</v>
      </c>
      <c r="K22" s="32"/>
      <c r="L22" s="32"/>
      <c r="M22" s="8"/>
      <c r="N22" s="61"/>
      <c r="O22" s="61"/>
      <c r="P22" s="61" t="s">
        <v>138</v>
      </c>
      <c r="Q22" s="61" t="s">
        <v>139</v>
      </c>
      <c r="R22" s="9"/>
      <c r="T22" s="8"/>
      <c r="U22" s="5" t="s">
        <v>116</v>
      </c>
      <c r="X22" s="21">
        <f>SUM(X20:X21)</f>
        <v>739.93845332746218</v>
      </c>
      <c r="Y22" s="21">
        <f>SUM(Y20:Y21)</f>
        <v>739.93845332746218</v>
      </c>
      <c r="Z22" s="21">
        <f>SUM(Z20:Z21)</f>
        <v>739.93845332746218</v>
      </c>
      <c r="AA22" s="21">
        <f>SUM(AA20:AA21)</f>
        <v>739.93845332746218</v>
      </c>
      <c r="AB22" s="9"/>
      <c r="AD22" s="8"/>
      <c r="AE22" s="70" t="s">
        <v>179</v>
      </c>
      <c r="AF22" s="78"/>
      <c r="AG22" s="14"/>
      <c r="AH22" s="14"/>
      <c r="AI22" s="14"/>
      <c r="AJ22" s="14"/>
      <c r="AK22" s="14"/>
      <c r="AL22" s="9"/>
    </row>
    <row r="23" spans="1:38">
      <c r="B23" s="5" t="s">
        <v>77</v>
      </c>
      <c r="G23" s="16">
        <v>1</v>
      </c>
      <c r="H23" s="16">
        <v>1</v>
      </c>
      <c r="I23" s="16">
        <v>1</v>
      </c>
      <c r="J23" s="16">
        <v>1</v>
      </c>
      <c r="K23" s="32"/>
      <c r="L23" s="32"/>
      <c r="M23" s="8"/>
      <c r="N23" s="5" t="s">
        <v>132</v>
      </c>
      <c r="P23" s="14">
        <f ca="1">+'PH1_O+R'!$G$58</f>
        <v>430</v>
      </c>
      <c r="Q23" s="14">
        <f ca="1">+'PH1_O+R'!$G$65</f>
        <v>487</v>
      </c>
      <c r="R23" s="9"/>
      <c r="T23" s="8"/>
      <c r="AB23" s="9"/>
      <c r="AD23" s="8"/>
      <c r="AE23" s="67"/>
      <c r="AF23" s="78"/>
      <c r="AG23" s="14"/>
      <c r="AH23" s="14"/>
      <c r="AI23" s="14"/>
      <c r="AJ23" s="14"/>
      <c r="AK23" s="14"/>
      <c r="AL23" s="9"/>
    </row>
    <row r="24" spans="1:38">
      <c r="B24" s="5" t="s">
        <v>78</v>
      </c>
      <c r="G24" s="16">
        <f>+I24</f>
        <v>16</v>
      </c>
      <c r="H24" s="16">
        <f>H23+(LOOKUP($A$12,$X$3:$AA$3,$X$38:$AA$38)-1)</f>
        <v>16</v>
      </c>
      <c r="I24" s="16">
        <f>I23+(LOOKUP($A$12,$X$3:$AA$3,$X$39:$AA$39)-1)</f>
        <v>16</v>
      </c>
      <c r="J24" s="16">
        <f>J23+(LOOKUP($A$12,$X$3:$AA$3,$X$39:$AA$39)-1)</f>
        <v>16</v>
      </c>
      <c r="K24" s="32"/>
      <c r="L24" s="32"/>
      <c r="M24" s="8"/>
      <c r="N24" s="5" t="s">
        <v>152</v>
      </c>
      <c r="P24" s="23">
        <f>+'PH1_O+R'!$G$59</f>
        <v>0.16975421309471131</v>
      </c>
      <c r="Q24" s="23">
        <f ca="1">+'PH1_O+R'!$G$66</f>
        <v>0.21126229166984561</v>
      </c>
      <c r="R24" s="9"/>
      <c r="T24" s="8"/>
      <c r="U24" s="5" t="s">
        <v>117</v>
      </c>
      <c r="X24" s="76">
        <v>0</v>
      </c>
      <c r="Y24" s="76">
        <v>0</v>
      </c>
      <c r="Z24" s="76">
        <v>0</v>
      </c>
      <c r="AA24" s="76">
        <v>0</v>
      </c>
      <c r="AB24" s="9"/>
      <c r="AD24" s="8"/>
      <c r="AE24" s="67"/>
      <c r="AF24" s="78"/>
      <c r="AG24" s="14"/>
      <c r="AH24" s="14"/>
      <c r="AI24" s="14"/>
      <c r="AJ24" s="14"/>
      <c r="AK24" s="14"/>
      <c r="AL24" s="9"/>
    </row>
    <row r="25" spans="1:38" ht="19.5">
      <c r="B25" s="5" t="s">
        <v>187</v>
      </c>
      <c r="G25" s="16">
        <f>+I25</f>
        <v>16</v>
      </c>
      <c r="H25" s="16">
        <f>+LOOKUP($A$12,$X$3:$AA$3,$X$40:$AA$40)+G27</f>
        <v>16</v>
      </c>
      <c r="I25" s="16">
        <f>+LOOKUP($A$12,$X$3:$AA$3,$X$41:$AA$41)+G27</f>
        <v>16</v>
      </c>
      <c r="J25" s="16">
        <f>+LOOKUP($A$12,$X$3:$AA$3,$X$41:$AA$41)+G27</f>
        <v>16</v>
      </c>
      <c r="K25" s="33" t="s">
        <v>185</v>
      </c>
      <c r="L25" s="33"/>
      <c r="M25" s="8"/>
      <c r="N25" s="5" t="s">
        <v>140</v>
      </c>
      <c r="P25" s="14">
        <f>-MIN('PH1_O+R'!$G$57:$AQ$57,0)</f>
        <v>714.85004132746235</v>
      </c>
      <c r="Q25" s="14">
        <f ca="1">-MIN('PH1_O+R'!$G$64:$AQ$64,0)</f>
        <v>250.34126202018712</v>
      </c>
      <c r="R25" s="9"/>
      <c r="T25" s="8"/>
      <c r="U25" s="5" t="s">
        <v>186</v>
      </c>
      <c r="X25" s="76">
        <v>0</v>
      </c>
      <c r="Y25" s="76">
        <v>0</v>
      </c>
      <c r="Z25" s="76">
        <v>0</v>
      </c>
      <c r="AA25" s="76">
        <v>0</v>
      </c>
      <c r="AB25" s="9"/>
      <c r="AD25" s="8"/>
      <c r="AL25" s="9"/>
    </row>
    <row r="26" spans="1:38" ht="19.5">
      <c r="B26" s="5" t="s">
        <v>79</v>
      </c>
      <c r="G26" s="26">
        <v>45107</v>
      </c>
      <c r="J26" s="33"/>
      <c r="K26" s="33"/>
      <c r="L26" s="33"/>
      <c r="M26" s="8"/>
      <c r="N26" s="5" t="s">
        <v>135</v>
      </c>
      <c r="P26" s="25">
        <f>'PH1_O+R'!$G$60</f>
        <v>0.13281826023087853</v>
      </c>
      <c r="Q26" s="25">
        <f ca="1">+'PH1_O+R'!G67</f>
        <v>0.10528764455393923</v>
      </c>
      <c r="R26" s="9"/>
      <c r="T26" s="8"/>
      <c r="U26" s="5" t="s">
        <v>118</v>
      </c>
      <c r="X26" s="76">
        <v>0</v>
      </c>
      <c r="Y26" s="76">
        <v>0</v>
      </c>
      <c r="Z26" s="76">
        <v>0</v>
      </c>
      <c r="AA26" s="76">
        <v>0</v>
      </c>
      <c r="AB26" s="9"/>
      <c r="AD26" s="8"/>
      <c r="AL26" s="9"/>
    </row>
    <row r="27" spans="1:38" ht="20.25" thickBot="1">
      <c r="B27" s="5" t="s">
        <v>62</v>
      </c>
      <c r="E27" s="5" t="s">
        <v>63</v>
      </c>
      <c r="G27" s="16">
        <v>0</v>
      </c>
      <c r="J27" s="33"/>
      <c r="K27" s="33"/>
      <c r="L27" s="33"/>
      <c r="M27" s="27"/>
      <c r="N27" s="28"/>
      <c r="O27" s="28"/>
      <c r="P27" s="28"/>
      <c r="Q27" s="28"/>
      <c r="R27" s="9"/>
      <c r="T27" s="8"/>
      <c r="AB27" s="9"/>
      <c r="AD27" s="8"/>
      <c r="AL27" s="9"/>
    </row>
    <row r="28" spans="1:38">
      <c r="M28" s="8"/>
      <c r="N28" s="62" t="s">
        <v>164</v>
      </c>
      <c r="R28" s="9"/>
      <c r="T28" s="8"/>
      <c r="U28" s="5" t="s">
        <v>119</v>
      </c>
      <c r="X28" s="21">
        <f>+SUM(X24:X26,X20:X21)</f>
        <v>739.93845332746218</v>
      </c>
      <c r="Y28" s="21">
        <f>+SUM(Y24:Y26,Y20:Y21)</f>
        <v>739.93845332746218</v>
      </c>
      <c r="Z28" s="21">
        <f>+SUM(Z24:Z26,Z20:Z21)</f>
        <v>739.93845332746218</v>
      </c>
      <c r="AA28" s="21">
        <f>+SUM(AA24:AA26,AA20:AA21)</f>
        <v>739.93845332746218</v>
      </c>
      <c r="AB28" s="9"/>
      <c r="AD28" s="8"/>
      <c r="AG28" s="5" t="s">
        <v>181</v>
      </c>
      <c r="AJ28" s="5" t="s">
        <v>182</v>
      </c>
      <c r="AL28" s="9"/>
    </row>
    <row r="29" spans="1:38">
      <c r="B29" s="6" t="s">
        <v>239</v>
      </c>
      <c r="C29" s="6"/>
      <c r="D29" s="6"/>
      <c r="E29" s="6"/>
      <c r="F29" s="6"/>
      <c r="G29" s="7"/>
      <c r="M29" s="8"/>
      <c r="R29" s="9"/>
      <c r="T29" s="8"/>
      <c r="U29" s="5" t="s">
        <v>121</v>
      </c>
      <c r="X29" s="76">
        <f>+'Cost Schedule'!$D$41/100</f>
        <v>25.088412000000002</v>
      </c>
      <c r="Y29" s="76">
        <f>+'Cost Schedule'!$D$41/100</f>
        <v>25.088412000000002</v>
      </c>
      <c r="Z29" s="76">
        <f>+'Cost Schedule'!$D$41/100</f>
        <v>25.088412000000002</v>
      </c>
      <c r="AA29" s="76">
        <f>+'Cost Schedule'!$D$41/100</f>
        <v>25.088412000000002</v>
      </c>
      <c r="AB29" s="9"/>
      <c r="AD29" s="8"/>
      <c r="AE29" s="66" t="s">
        <v>176</v>
      </c>
      <c r="AF29" s="66"/>
      <c r="AG29" s="67" t="s">
        <v>202</v>
      </c>
      <c r="AH29" s="67"/>
      <c r="AI29" s="67"/>
      <c r="AJ29" s="67"/>
      <c r="AK29" s="67"/>
      <c r="AL29" s="9"/>
    </row>
    <row r="30" spans="1:38">
      <c r="B30" s="5" t="s">
        <v>5</v>
      </c>
      <c r="G30" s="35">
        <v>9.5000000000000001E-2</v>
      </c>
      <c r="M30" s="8"/>
      <c r="N30" s="5" t="s">
        <v>232</v>
      </c>
      <c r="P30" s="25">
        <v>0.18</v>
      </c>
      <c r="R30" s="9"/>
      <c r="T30" s="8"/>
      <c r="U30" s="5" t="s">
        <v>120</v>
      </c>
      <c r="X30" s="21">
        <f>+X28-X29</f>
        <v>714.85004132746224</v>
      </c>
      <c r="Y30" s="21">
        <f t="shared" ref="Y30:AA30" si="12">+Y28-Y29</f>
        <v>714.85004132746224</v>
      </c>
      <c r="Z30" s="21">
        <f t="shared" si="12"/>
        <v>714.85004132746224</v>
      </c>
      <c r="AA30" s="21">
        <f t="shared" si="12"/>
        <v>714.85004132746224</v>
      </c>
      <c r="AB30" s="9"/>
      <c r="AD30" s="8"/>
      <c r="AE30" s="71"/>
      <c r="AF30" s="69">
        <f ca="1">+'PH1_O+R'!$G$65</f>
        <v>487</v>
      </c>
      <c r="AG30" s="29"/>
      <c r="AH30" s="29"/>
      <c r="AI30" s="29"/>
      <c r="AJ30" s="29"/>
      <c r="AK30" s="29"/>
      <c r="AL30" s="9"/>
    </row>
    <row r="31" spans="1:38">
      <c r="B31" s="5" t="s">
        <v>4</v>
      </c>
      <c r="G31" s="35">
        <v>8.5000000000000006E-2</v>
      </c>
      <c r="M31" s="8"/>
      <c r="N31" s="5" t="s">
        <v>233</v>
      </c>
      <c r="P31" s="25">
        <f>G30</f>
        <v>9.5000000000000001E-2</v>
      </c>
      <c r="R31" s="9"/>
      <c r="T31" s="8"/>
      <c r="AB31" s="9"/>
      <c r="AD31" s="8"/>
      <c r="AE31" s="67"/>
      <c r="AF31" s="78"/>
      <c r="AG31" s="14"/>
      <c r="AH31" s="14"/>
      <c r="AI31" s="14"/>
      <c r="AJ31" s="14"/>
      <c r="AK31" s="14"/>
      <c r="AL31" s="9"/>
    </row>
    <row r="32" spans="1:38">
      <c r="B32" s="5" t="s">
        <v>3</v>
      </c>
      <c r="G32" s="12">
        <f>+LOOKUP($A$12,$X$3:$AA$3,$X$32:$AA$32)</f>
        <v>1.0225</v>
      </c>
      <c r="M32" s="8"/>
      <c r="N32" s="5" t="s">
        <v>3</v>
      </c>
      <c r="P32" s="74">
        <f ca="1">+(Q16)/(Q14+Q15)</f>
        <v>1.0224999999999997</v>
      </c>
      <c r="R32" s="9"/>
      <c r="T32" s="8"/>
      <c r="U32" s="65" t="s">
        <v>163</v>
      </c>
      <c r="V32" s="65"/>
      <c r="W32" s="65"/>
      <c r="X32" s="19">
        <v>1.0225</v>
      </c>
      <c r="Y32" s="19">
        <v>1.0225</v>
      </c>
      <c r="Z32" s="19">
        <v>1.0049999999999999</v>
      </c>
      <c r="AA32" s="19">
        <v>1.0049999999999999</v>
      </c>
      <c r="AB32" s="9"/>
      <c r="AD32" s="8"/>
      <c r="AE32" s="70" t="s">
        <v>178</v>
      </c>
      <c r="AF32" s="78"/>
      <c r="AG32" s="14"/>
      <c r="AH32" s="14"/>
      <c r="AI32" s="14"/>
      <c r="AJ32" s="14"/>
      <c r="AK32" s="14"/>
      <c r="AL32" s="9"/>
    </row>
    <row r="33" spans="1:38">
      <c r="A33" s="31"/>
      <c r="B33" s="5" t="s">
        <v>53</v>
      </c>
      <c r="G33" s="36">
        <f>(322.5+G75)*G32</f>
        <v>380.97952573915927</v>
      </c>
      <c r="M33" s="8"/>
      <c r="N33" s="5" t="s">
        <v>234</v>
      </c>
      <c r="P33" s="127">
        <f ca="1">+P30*SUM(Q14:Q15)/Q17+P31*Q16/Q17</f>
        <v>0.1370271940667491</v>
      </c>
      <c r="R33" s="9"/>
      <c r="T33" s="8"/>
      <c r="U33" s="65" t="s">
        <v>173</v>
      </c>
      <c r="V33" s="65"/>
      <c r="W33" s="65"/>
      <c r="X33" s="65">
        <f ca="1">ROUND(-PMT($G$31/4,180/4,$Q$16,0)/2,0)*2</f>
        <v>20</v>
      </c>
      <c r="Y33" s="65">
        <f ca="1">ROUND(-PMT($G$31/4,180/4,$Q$16,0)/2,0)*2</f>
        <v>20</v>
      </c>
      <c r="Z33" s="65">
        <f ca="1">ROUND(-PMT($G$31/4,180/4,$Q$16,0)/2,0)*2</f>
        <v>20</v>
      </c>
      <c r="AA33" s="65">
        <f ca="1">ROUND(-PMT($G$31/4,180/4,$Q$16,0)/2,0)*2</f>
        <v>20</v>
      </c>
      <c r="AB33" s="9"/>
      <c r="AD33" s="8"/>
      <c r="AE33" s="70" t="s">
        <v>179</v>
      </c>
      <c r="AF33" s="78"/>
      <c r="AG33" s="14"/>
      <c r="AH33" s="14"/>
      <c r="AI33" s="14"/>
      <c r="AJ33" s="14"/>
      <c r="AK33" s="14"/>
      <c r="AL33" s="9"/>
    </row>
    <row r="34" spans="1:38">
      <c r="B34" s="5" t="s">
        <v>98</v>
      </c>
      <c r="E34" s="5" t="s">
        <v>55</v>
      </c>
      <c r="G34" s="24">
        <f>+(LOOKUP($A$12,$X$3:$AA$3,$X$42:$AA$42)-2+H40)</f>
        <v>19</v>
      </c>
      <c r="M34" s="8"/>
      <c r="P34" s="25"/>
      <c r="R34" s="9"/>
      <c r="T34" s="8"/>
      <c r="U34" s="65"/>
      <c r="V34" s="65"/>
      <c r="W34" s="65"/>
      <c r="X34" s="65"/>
      <c r="Y34" s="65"/>
      <c r="Z34" s="65"/>
      <c r="AA34" s="65"/>
      <c r="AB34" s="9"/>
      <c r="AD34" s="8"/>
      <c r="AE34" s="70"/>
      <c r="AF34" s="78"/>
      <c r="AG34" s="14"/>
      <c r="AH34" s="14"/>
      <c r="AI34" s="14"/>
      <c r="AJ34" s="14"/>
      <c r="AK34" s="14"/>
      <c r="AL34" s="9"/>
    </row>
    <row r="35" spans="1:38">
      <c r="B35" s="5" t="s">
        <v>99</v>
      </c>
      <c r="E35" s="5" t="s">
        <v>56</v>
      </c>
      <c r="G35" s="73">
        <f ca="1">+MAX('PH1_O+R'!G106:AQ106)/((MAX('PH1_O+R'!H19:AQ19)+MAX('PH1_O+R'!H20:AQ20)+MAX('PH1_O+R'!H25:AQ25)+MAX('PH1_O+R'!H26:AQ26))*(4)*80%*90%)</f>
        <v>6.4185368499253119</v>
      </c>
      <c r="T35" s="8"/>
      <c r="U35" s="65" t="s">
        <v>183</v>
      </c>
      <c r="V35" s="65"/>
      <c r="W35" s="65"/>
      <c r="X35" s="12">
        <v>115</v>
      </c>
      <c r="Y35" s="12">
        <v>115</v>
      </c>
      <c r="Z35" s="12">
        <v>115</v>
      </c>
      <c r="AA35" s="12">
        <v>115</v>
      </c>
      <c r="AB35" s="9"/>
      <c r="AD35" s="8"/>
      <c r="AE35" s="70"/>
      <c r="AF35" s="78"/>
      <c r="AG35" s="14"/>
      <c r="AH35" s="14"/>
      <c r="AI35" s="14"/>
      <c r="AJ35" s="14"/>
      <c r="AK35" s="14"/>
      <c r="AL35" s="9"/>
    </row>
    <row r="36" spans="1:38">
      <c r="B36" s="5" t="s">
        <v>100</v>
      </c>
      <c r="E36" s="5" t="s">
        <v>54</v>
      </c>
      <c r="G36" s="24">
        <v>48</v>
      </c>
      <c r="T36" s="8"/>
      <c r="U36" s="65" t="s">
        <v>184</v>
      </c>
      <c r="V36" s="65"/>
      <c r="W36" s="65"/>
      <c r="X36" s="12">
        <v>175</v>
      </c>
      <c r="Y36" s="12">
        <v>175</v>
      </c>
      <c r="Z36" s="12">
        <v>175</v>
      </c>
      <c r="AA36" s="12">
        <v>175</v>
      </c>
      <c r="AB36" s="9"/>
      <c r="AD36" s="8"/>
      <c r="AG36" s="72"/>
      <c r="AH36" s="72"/>
      <c r="AI36" s="72"/>
      <c r="AJ36" s="72"/>
      <c r="AK36" s="72"/>
      <c r="AL36" s="9"/>
    </row>
    <row r="37" spans="1:38">
      <c r="B37" s="5" t="s">
        <v>101</v>
      </c>
      <c r="E37" s="5" t="s">
        <v>55</v>
      </c>
      <c r="G37" s="36">
        <f>+G34+1</f>
        <v>20</v>
      </c>
      <c r="T37" s="8"/>
      <c r="AB37" s="9"/>
      <c r="AD37" s="8"/>
      <c r="AL37" s="9"/>
    </row>
    <row r="38" spans="1:38">
      <c r="T38" s="8"/>
      <c r="U38" s="5" t="s">
        <v>190</v>
      </c>
      <c r="X38" s="16">
        <v>16</v>
      </c>
      <c r="Y38" s="16">
        <v>16</v>
      </c>
      <c r="Z38" s="16">
        <v>16</v>
      </c>
      <c r="AA38" s="16">
        <v>16</v>
      </c>
      <c r="AB38" s="9"/>
      <c r="AD38" s="8"/>
      <c r="AL38" s="9"/>
    </row>
    <row r="39" spans="1:38">
      <c r="B39" s="6" t="s">
        <v>240</v>
      </c>
      <c r="C39" s="6"/>
      <c r="D39" s="6"/>
      <c r="E39" s="6"/>
      <c r="F39" s="6"/>
      <c r="G39" s="18"/>
      <c r="H39" s="18" t="s">
        <v>197</v>
      </c>
      <c r="I39" s="18" t="s">
        <v>198</v>
      </c>
      <c r="J39" s="18" t="s">
        <v>199</v>
      </c>
      <c r="K39" s="32"/>
      <c r="L39" s="32"/>
      <c r="T39" s="8"/>
      <c r="U39" s="5" t="s">
        <v>191</v>
      </c>
      <c r="X39" s="16">
        <v>16</v>
      </c>
      <c r="Y39" s="16">
        <v>16</v>
      </c>
      <c r="Z39" s="16">
        <v>16</v>
      </c>
      <c r="AA39" s="16">
        <v>16</v>
      </c>
      <c r="AB39" s="9"/>
      <c r="AD39" s="8"/>
      <c r="AG39" s="5" t="s">
        <v>181</v>
      </c>
      <c r="AJ39" s="5" t="s">
        <v>182</v>
      </c>
      <c r="AL39" s="9"/>
    </row>
    <row r="40" spans="1:38">
      <c r="B40" s="5" t="s">
        <v>102</v>
      </c>
      <c r="G40" s="24">
        <v>6</v>
      </c>
      <c r="H40" s="24">
        <v>4</v>
      </c>
      <c r="I40" s="24">
        <v>4</v>
      </c>
      <c r="J40" s="24">
        <v>3</v>
      </c>
      <c r="K40" s="32"/>
      <c r="L40" s="32"/>
      <c r="T40" s="8"/>
      <c r="U40" s="5" t="s">
        <v>188</v>
      </c>
      <c r="X40" s="16">
        <v>16</v>
      </c>
      <c r="Y40" s="16">
        <v>16</v>
      </c>
      <c r="Z40" s="16">
        <v>16</v>
      </c>
      <c r="AA40" s="16">
        <v>16</v>
      </c>
      <c r="AB40" s="9"/>
      <c r="AD40" s="8"/>
      <c r="AE40" s="66" t="s">
        <v>146</v>
      </c>
      <c r="AF40" s="66"/>
      <c r="AG40" s="67" t="s">
        <v>177</v>
      </c>
      <c r="AH40" s="67"/>
      <c r="AI40" s="67"/>
      <c r="AJ40" s="67"/>
      <c r="AK40" s="67"/>
      <c r="AL40" s="9"/>
    </row>
    <row r="41" spans="1:38" ht="19.5">
      <c r="K41" s="32"/>
      <c r="L41" s="32"/>
      <c r="M41" s="33"/>
      <c r="T41" s="8"/>
      <c r="U41" s="5" t="s">
        <v>189</v>
      </c>
      <c r="X41" s="16">
        <v>16</v>
      </c>
      <c r="Y41" s="16">
        <v>16</v>
      </c>
      <c r="Z41" s="16">
        <v>16</v>
      </c>
      <c r="AA41" s="16">
        <v>16</v>
      </c>
      <c r="AB41" s="9"/>
      <c r="AD41" s="8"/>
      <c r="AE41" s="67"/>
      <c r="AF41" s="34">
        <f ca="1">+'PH1_O+R'!$G$66</f>
        <v>0.21126229166984561</v>
      </c>
      <c r="AG41" s="29"/>
      <c r="AH41" s="29"/>
      <c r="AI41" s="29"/>
      <c r="AJ41" s="29"/>
      <c r="AK41" s="29"/>
      <c r="AL41" s="9"/>
    </row>
    <row r="42" spans="1:38" ht="19.5">
      <c r="B42" s="6" t="s">
        <v>241</v>
      </c>
      <c r="C42" s="6"/>
      <c r="D42" s="6"/>
      <c r="E42" s="6"/>
      <c r="F42" s="6"/>
      <c r="G42" s="7"/>
      <c r="K42" s="32"/>
      <c r="L42" s="32"/>
      <c r="M42" s="33"/>
      <c r="T42" s="8"/>
      <c r="U42" s="5" t="s">
        <v>192</v>
      </c>
      <c r="X42" s="16">
        <v>17</v>
      </c>
      <c r="Y42" s="16">
        <v>17</v>
      </c>
      <c r="Z42" s="16">
        <v>17</v>
      </c>
      <c r="AA42" s="16">
        <v>17</v>
      </c>
      <c r="AB42" s="9"/>
      <c r="AD42" s="8"/>
      <c r="AE42" s="67"/>
      <c r="AF42" s="78"/>
      <c r="AG42" s="72"/>
      <c r="AH42" s="72"/>
      <c r="AI42" s="72"/>
      <c r="AJ42" s="72"/>
      <c r="AK42" s="72"/>
      <c r="AL42" s="9"/>
    </row>
    <row r="43" spans="1:38" ht="19.5">
      <c r="B43" s="5" t="s">
        <v>123</v>
      </c>
      <c r="G43" s="24">
        <f>+LOOKUP($A$12,$X$3:$AA$3,$X$35:$AA$35)</f>
        <v>115</v>
      </c>
      <c r="K43" s="32"/>
      <c r="L43" s="32"/>
      <c r="M43" s="33"/>
      <c r="T43" s="8"/>
      <c r="AB43" s="9"/>
      <c r="AD43" s="8"/>
      <c r="AE43" s="70" t="s">
        <v>178</v>
      </c>
      <c r="AF43" s="78"/>
      <c r="AG43" s="72"/>
      <c r="AH43" s="72"/>
      <c r="AI43" s="72"/>
      <c r="AJ43" s="72"/>
      <c r="AK43" s="72"/>
      <c r="AL43" s="9"/>
    </row>
    <row r="44" spans="1:38">
      <c r="B44" s="5" t="s">
        <v>124</v>
      </c>
      <c r="G44" s="24">
        <f>+LOOKUP($A$12,$X$3:$AA$3,$X$36:$AA$36)</f>
        <v>175</v>
      </c>
      <c r="T44" s="8"/>
      <c r="U44" s="38" t="s">
        <v>174</v>
      </c>
      <c r="AB44" s="9"/>
      <c r="AD44" s="8"/>
      <c r="AE44" s="70" t="s">
        <v>179</v>
      </c>
      <c r="AF44" s="78"/>
      <c r="AG44" s="72"/>
      <c r="AH44" s="72"/>
      <c r="AI44" s="72"/>
      <c r="AJ44" s="72"/>
      <c r="AK44" s="72"/>
      <c r="AL44" s="9"/>
    </row>
    <row r="45" spans="1:38" ht="19.5">
      <c r="B45" s="5" t="s">
        <v>87</v>
      </c>
      <c r="G45" s="24">
        <v>0</v>
      </c>
      <c r="M45" s="33"/>
      <c r="T45" s="8"/>
      <c r="AB45" s="9"/>
      <c r="AD45" s="8"/>
      <c r="AE45" s="67"/>
      <c r="AF45" s="78"/>
      <c r="AG45" s="72"/>
      <c r="AH45" s="72"/>
      <c r="AI45" s="72"/>
      <c r="AJ45" s="72"/>
      <c r="AK45" s="72"/>
      <c r="AL45" s="9"/>
    </row>
    <row r="46" spans="1:38" ht="19.5">
      <c r="B46" s="5" t="s">
        <v>88</v>
      </c>
      <c r="G46" s="24">
        <v>25</v>
      </c>
      <c r="M46" s="33"/>
      <c r="T46" s="8"/>
      <c r="U46" s="21" t="s">
        <v>151</v>
      </c>
      <c r="V46" s="21"/>
      <c r="W46" s="21"/>
      <c r="X46" s="21">
        <f>+X30-'Cost %'!$E$8</f>
        <v>0</v>
      </c>
      <c r="Y46" s="21">
        <f>+Y30-'Cost %'!$E$8</f>
        <v>0</v>
      </c>
      <c r="Z46" s="21">
        <f>+Z30-'Cost %'!$E$8</f>
        <v>0</v>
      </c>
      <c r="AA46" s="21">
        <f>+AA30-'Cost %'!$E$8</f>
        <v>0</v>
      </c>
      <c r="AB46" s="9"/>
      <c r="AD46" s="8"/>
      <c r="AE46" s="67"/>
      <c r="AF46" s="78"/>
      <c r="AG46" s="72"/>
      <c r="AH46" s="72"/>
      <c r="AI46" s="72"/>
      <c r="AJ46" s="72"/>
      <c r="AK46" s="72"/>
      <c r="AL46" s="9"/>
    </row>
    <row r="47" spans="1:38">
      <c r="B47" s="5" t="s">
        <v>89</v>
      </c>
      <c r="G47" s="22">
        <v>0</v>
      </c>
      <c r="T47" s="8"/>
      <c r="AB47" s="9"/>
      <c r="AD47" s="8"/>
      <c r="AL47" s="9"/>
    </row>
    <row r="48" spans="1:38">
      <c r="B48" s="5" t="s">
        <v>90</v>
      </c>
      <c r="E48" s="5" t="s">
        <v>57</v>
      </c>
      <c r="G48" s="24">
        <v>6</v>
      </c>
    </row>
    <row r="49" spans="1:14">
      <c r="B49" s="5" t="s">
        <v>125</v>
      </c>
      <c r="G49" s="24">
        <v>12</v>
      </c>
    </row>
    <row r="50" spans="1:14">
      <c r="B50" s="5" t="s">
        <v>126</v>
      </c>
      <c r="G50" s="22">
        <v>0.15</v>
      </c>
    </row>
    <row r="51" spans="1:14">
      <c r="B51" s="5" t="s">
        <v>91</v>
      </c>
      <c r="G51" s="37">
        <v>7.4999999999999997E-2</v>
      </c>
    </row>
    <row r="52" spans="1:14">
      <c r="B52" s="5" t="s">
        <v>92</v>
      </c>
      <c r="G52" s="37">
        <f ca="1">+P33</f>
        <v>0.1370271940667491</v>
      </c>
      <c r="N52" s="31"/>
    </row>
    <row r="53" spans="1:14">
      <c r="B53" s="5" t="s">
        <v>93</v>
      </c>
      <c r="G53" s="22">
        <v>0.95</v>
      </c>
    </row>
    <row r="54" spans="1:14">
      <c r="B54" s="5" t="s">
        <v>94</v>
      </c>
      <c r="G54" s="16">
        <f>+G34+(2)</f>
        <v>21</v>
      </c>
    </row>
    <row r="56" spans="1:14">
      <c r="B56" s="6" t="s">
        <v>242</v>
      </c>
      <c r="C56" s="6"/>
      <c r="D56" s="6"/>
      <c r="E56" s="6"/>
      <c r="F56" s="6"/>
      <c r="G56" s="7"/>
    </row>
    <row r="57" spans="1:14">
      <c r="B57" s="5" t="s">
        <v>149</v>
      </c>
      <c r="G57" s="24">
        <v>2</v>
      </c>
    </row>
    <row r="58" spans="1:14" s="31" customFormat="1">
      <c r="A58" s="5"/>
      <c r="B58" s="5" t="s">
        <v>150</v>
      </c>
      <c r="C58" s="5"/>
      <c r="D58" s="5"/>
      <c r="E58" s="5"/>
      <c r="F58" s="5"/>
      <c r="G58" s="22">
        <v>0</v>
      </c>
      <c r="H58" s="5"/>
      <c r="I58" s="5"/>
      <c r="J58" s="5"/>
      <c r="K58" s="5"/>
      <c r="L58" s="5"/>
      <c r="M58" s="5"/>
      <c r="N58" s="5"/>
    </row>
    <row r="59" spans="1:14">
      <c r="B59" s="5" t="s">
        <v>72</v>
      </c>
      <c r="G59" s="22">
        <v>0.05</v>
      </c>
    </row>
    <row r="60" spans="1:14">
      <c r="B60" s="5" t="s">
        <v>95</v>
      </c>
      <c r="G60" s="22">
        <v>0.1</v>
      </c>
    </row>
    <row r="62" spans="1:14">
      <c r="B62" s="6" t="s">
        <v>243</v>
      </c>
      <c r="C62" s="6"/>
      <c r="D62" s="6"/>
      <c r="E62" s="6"/>
      <c r="F62" s="6"/>
      <c r="G62" s="7"/>
    </row>
    <row r="63" spans="1:14">
      <c r="B63" s="5" t="s">
        <v>103</v>
      </c>
      <c r="G63" s="24">
        <f>+(322.5)</f>
        <v>322.5</v>
      </c>
    </row>
    <row r="64" spans="1:14">
      <c r="B64" s="5" t="s">
        <v>112</v>
      </c>
      <c r="G64" s="24">
        <f>+G63</f>
        <v>322.5</v>
      </c>
    </row>
    <row r="66" spans="2:8">
      <c r="B66" s="15" t="s">
        <v>84</v>
      </c>
    </row>
    <row r="67" spans="2:8">
      <c r="B67" s="13" t="s">
        <v>80</v>
      </c>
      <c r="G67" s="14">
        <f>+($G$64)</f>
        <v>322.5</v>
      </c>
    </row>
    <row r="68" spans="2:8">
      <c r="B68" s="13" t="s">
        <v>82</v>
      </c>
      <c r="G68" s="14">
        <f>-+SUM('PH1_O+R'!H40:AQ41)</f>
        <v>714.85004132746235</v>
      </c>
    </row>
    <row r="69" spans="2:8">
      <c r="B69" s="13" t="s">
        <v>83</v>
      </c>
      <c r="G69" s="17">
        <f ca="1">-SUM('PH1_O+R'!$H$42:$AQ$42)</f>
        <v>149.38069172845101</v>
      </c>
      <c r="H69" s="5" t="s">
        <v>2</v>
      </c>
    </row>
    <row r="70" spans="2:8">
      <c r="B70" s="5" t="s">
        <v>1</v>
      </c>
      <c r="G70" s="14">
        <f ca="1">SUM(G67:G69)</f>
        <v>1186.7307330559133</v>
      </c>
    </row>
    <row r="72" spans="2:8">
      <c r="B72" s="15" t="s">
        <v>85</v>
      </c>
    </row>
    <row r="73" spans="2:8">
      <c r="B73" s="13" t="s">
        <v>226</v>
      </c>
      <c r="G73" s="14">
        <f>+G$67</f>
        <v>322.5</v>
      </c>
    </row>
    <row r="74" spans="2:8">
      <c r="B74" s="13" t="s">
        <v>227</v>
      </c>
      <c r="G74" s="14">
        <f ca="1">+MAX('PH1_O+R'!$96:$96)-G$73</f>
        <v>264.26426850724999</v>
      </c>
    </row>
    <row r="75" spans="2:8" hidden="1">
      <c r="B75" s="39" t="s">
        <v>107</v>
      </c>
      <c r="C75" s="40"/>
      <c r="D75" s="40"/>
      <c r="E75" s="40"/>
      <c r="F75" s="40"/>
      <c r="G75" s="41">
        <f>+SUM('PH1_O+R'!$H$83:$AQ$83)-G$73</f>
        <v>50.096113192331813</v>
      </c>
    </row>
    <row r="76" spans="2:8">
      <c r="B76" s="13" t="s">
        <v>86</v>
      </c>
      <c r="G76" s="17">
        <f ca="1">+MAX('PH1_O+R'!$99:$99)</f>
        <v>599.966464548663</v>
      </c>
    </row>
    <row r="77" spans="2:8">
      <c r="B77" s="5" t="s">
        <v>1</v>
      </c>
      <c r="G77" s="14">
        <f ca="1">+SUM(G73:G74,G76:G76)</f>
        <v>1186.7307330559129</v>
      </c>
    </row>
    <row r="78" spans="2:8" ht="18" thickBot="1">
      <c r="B78" s="28"/>
      <c r="C78" s="28"/>
      <c r="D78" s="28"/>
      <c r="E78" s="28"/>
      <c r="F78" s="28"/>
      <c r="G78" s="28"/>
    </row>
    <row r="80" spans="2:8">
      <c r="B80" s="5" t="s">
        <v>127</v>
      </c>
      <c r="G80" s="42">
        <f ca="1">+(G76)/(G73+G74)</f>
        <v>1.0224999999999997</v>
      </c>
    </row>
    <row r="81" spans="2:7">
      <c r="B81" s="5" t="s">
        <v>128</v>
      </c>
      <c r="G81" s="42">
        <f ca="1">+G76/G74</f>
        <v>2.2703276078059837</v>
      </c>
    </row>
  </sheetData>
  <conditionalFormatting sqref="G21:I21">
    <cfRule type="cellIs" dxfId="2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C115"/>
  <sheetViews>
    <sheetView showGridLines="0" zoomScale="85" zoomScaleNormal="85" workbookViewId="0">
      <pane xSplit="6" ySplit="4" topLeftCell="G39" activePane="bottomRight" state="frozen"/>
      <selection activeCell="G5" sqref="G5"/>
      <selection pane="topRight" activeCell="G5" sqref="G5"/>
      <selection pane="bottomLeft" activeCell="G5" sqref="G5"/>
      <selection pane="bottomRight" activeCell="J43" sqref="H43:J43"/>
    </sheetView>
  </sheetViews>
  <sheetFormatPr defaultColWidth="9.5703125" defaultRowHeight="17.25"/>
  <cols>
    <col min="1" max="1" width="9.5703125" style="5"/>
    <col min="2" max="6" width="8.42578125" style="5" customWidth="1"/>
    <col min="7" max="7" width="11.5703125" style="5" customWidth="1"/>
    <col min="8" max="43" width="13.28515625" style="5" customWidth="1"/>
    <col min="44" max="16384" width="9.5703125" style="5"/>
  </cols>
  <sheetData>
    <row r="1" spans="1:55">
      <c r="I1" s="14">
        <v>1</v>
      </c>
      <c r="J1" s="14">
        <f>I1+1</f>
        <v>2</v>
      </c>
      <c r="K1" s="14">
        <f>J1+1</f>
        <v>3</v>
      </c>
      <c r="L1" s="14">
        <f>K1+1</f>
        <v>4</v>
      </c>
      <c r="M1" s="14">
        <f>L1+1</f>
        <v>5</v>
      </c>
      <c r="N1" s="14">
        <f>M1+1</f>
        <v>6</v>
      </c>
      <c r="O1" s="14">
        <f>N1</f>
        <v>6</v>
      </c>
      <c r="P1" s="14">
        <f>O1+1</f>
        <v>7</v>
      </c>
      <c r="Q1" s="14">
        <f>P1</f>
        <v>7</v>
      </c>
      <c r="R1" s="14">
        <f>Q1+1</f>
        <v>8</v>
      </c>
      <c r="S1" s="14">
        <f>R1</f>
        <v>8</v>
      </c>
      <c r="T1" s="14">
        <f>S1+1</f>
        <v>9</v>
      </c>
      <c r="U1" s="14">
        <f>T1</f>
        <v>9</v>
      </c>
      <c r="V1" s="14">
        <f>U1+1</f>
        <v>10</v>
      </c>
      <c r="W1" s="14">
        <f>V1</f>
        <v>10</v>
      </c>
      <c r="X1" s="14">
        <f>W1+1</f>
        <v>11</v>
      </c>
      <c r="Y1" s="14">
        <f>X1</f>
        <v>11</v>
      </c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55">
      <c r="H2" s="26">
        <f t="shared" ref="H2:AQ2" si="0">+DATE(IF(MONTH(H3)&gt;3,YEAR(H3)+1,YEAR(H3)),3,31)</f>
        <v>45382</v>
      </c>
      <c r="I2" s="26">
        <f t="shared" si="0"/>
        <v>45382</v>
      </c>
      <c r="J2" s="26">
        <f t="shared" si="0"/>
        <v>45382</v>
      </c>
      <c r="K2" s="26">
        <f t="shared" si="0"/>
        <v>45747</v>
      </c>
      <c r="L2" s="26">
        <f t="shared" si="0"/>
        <v>45747</v>
      </c>
      <c r="M2" s="26">
        <f t="shared" si="0"/>
        <v>45747</v>
      </c>
      <c r="N2" s="26">
        <f t="shared" si="0"/>
        <v>45747</v>
      </c>
      <c r="O2" s="26">
        <f t="shared" si="0"/>
        <v>46112</v>
      </c>
      <c r="P2" s="26">
        <f t="shared" si="0"/>
        <v>46112</v>
      </c>
      <c r="Q2" s="26">
        <f t="shared" si="0"/>
        <v>46112</v>
      </c>
      <c r="R2" s="26">
        <f t="shared" si="0"/>
        <v>46112</v>
      </c>
      <c r="S2" s="26">
        <f t="shared" si="0"/>
        <v>46477</v>
      </c>
      <c r="T2" s="26">
        <f t="shared" si="0"/>
        <v>46477</v>
      </c>
      <c r="U2" s="26">
        <f t="shared" si="0"/>
        <v>46477</v>
      </c>
      <c r="V2" s="26">
        <f t="shared" si="0"/>
        <v>46477</v>
      </c>
      <c r="W2" s="26">
        <f t="shared" si="0"/>
        <v>46843</v>
      </c>
      <c r="X2" s="26">
        <f t="shared" si="0"/>
        <v>46843</v>
      </c>
      <c r="Y2" s="26">
        <f t="shared" si="0"/>
        <v>46843</v>
      </c>
      <c r="Z2" s="26">
        <f t="shared" si="0"/>
        <v>46843</v>
      </c>
      <c r="AA2" s="26">
        <f t="shared" si="0"/>
        <v>47208</v>
      </c>
      <c r="AB2" s="26">
        <f t="shared" si="0"/>
        <v>47208</v>
      </c>
      <c r="AC2" s="26">
        <f t="shared" si="0"/>
        <v>47208</v>
      </c>
      <c r="AD2" s="26">
        <f t="shared" si="0"/>
        <v>47208</v>
      </c>
      <c r="AE2" s="26">
        <f t="shared" si="0"/>
        <v>47573</v>
      </c>
      <c r="AF2" s="26">
        <f t="shared" si="0"/>
        <v>47573</v>
      </c>
      <c r="AG2" s="26">
        <f t="shared" si="0"/>
        <v>47573</v>
      </c>
      <c r="AH2" s="26">
        <f t="shared" si="0"/>
        <v>47573</v>
      </c>
      <c r="AI2" s="26">
        <f t="shared" si="0"/>
        <v>47938</v>
      </c>
      <c r="AJ2" s="26">
        <f t="shared" si="0"/>
        <v>47938</v>
      </c>
      <c r="AK2" s="26">
        <f t="shared" si="0"/>
        <v>47938</v>
      </c>
      <c r="AL2" s="26">
        <f t="shared" si="0"/>
        <v>47938</v>
      </c>
      <c r="AM2" s="26">
        <f t="shared" si="0"/>
        <v>48304</v>
      </c>
      <c r="AN2" s="26">
        <f t="shared" si="0"/>
        <v>48304</v>
      </c>
      <c r="AO2" s="26">
        <f t="shared" si="0"/>
        <v>48304</v>
      </c>
      <c r="AP2" s="26">
        <f t="shared" si="0"/>
        <v>48304</v>
      </c>
      <c r="AQ2" s="26">
        <f t="shared" si="0"/>
        <v>48669</v>
      </c>
    </row>
    <row r="3" spans="1:55">
      <c r="B3" s="5" t="s">
        <v>19</v>
      </c>
      <c r="G3" s="26">
        <f>'Main_O+R_WTC'!$G$26</f>
        <v>45107</v>
      </c>
      <c r="H3" s="26">
        <f t="shared" ref="H3:AE3" si="1">+EOMONTH(G3,3)</f>
        <v>45199</v>
      </c>
      <c r="I3" s="26">
        <f t="shared" si="1"/>
        <v>45291</v>
      </c>
      <c r="J3" s="26">
        <f t="shared" si="1"/>
        <v>45382</v>
      </c>
      <c r="K3" s="26">
        <f t="shared" si="1"/>
        <v>45473</v>
      </c>
      <c r="L3" s="26">
        <f t="shared" si="1"/>
        <v>45565</v>
      </c>
      <c r="M3" s="26">
        <f t="shared" si="1"/>
        <v>45657</v>
      </c>
      <c r="N3" s="26">
        <f t="shared" si="1"/>
        <v>45747</v>
      </c>
      <c r="O3" s="26">
        <f t="shared" si="1"/>
        <v>45838</v>
      </c>
      <c r="P3" s="26">
        <f t="shared" si="1"/>
        <v>45930</v>
      </c>
      <c r="Q3" s="26">
        <f t="shared" si="1"/>
        <v>46022</v>
      </c>
      <c r="R3" s="26">
        <f t="shared" si="1"/>
        <v>46112</v>
      </c>
      <c r="S3" s="26">
        <f t="shared" si="1"/>
        <v>46203</v>
      </c>
      <c r="T3" s="26">
        <f t="shared" si="1"/>
        <v>46295</v>
      </c>
      <c r="U3" s="26">
        <f t="shared" si="1"/>
        <v>46387</v>
      </c>
      <c r="V3" s="26">
        <f t="shared" si="1"/>
        <v>46477</v>
      </c>
      <c r="W3" s="26">
        <f t="shared" si="1"/>
        <v>46568</v>
      </c>
      <c r="X3" s="26">
        <f t="shared" si="1"/>
        <v>46660</v>
      </c>
      <c r="Y3" s="26">
        <f t="shared" si="1"/>
        <v>46752</v>
      </c>
      <c r="Z3" s="26">
        <f t="shared" si="1"/>
        <v>46843</v>
      </c>
      <c r="AA3" s="26">
        <f t="shared" si="1"/>
        <v>46934</v>
      </c>
      <c r="AB3" s="26">
        <f t="shared" si="1"/>
        <v>47026</v>
      </c>
      <c r="AC3" s="26">
        <f t="shared" si="1"/>
        <v>47118</v>
      </c>
      <c r="AD3" s="26">
        <f t="shared" si="1"/>
        <v>47208</v>
      </c>
      <c r="AE3" s="26">
        <f t="shared" si="1"/>
        <v>47299</v>
      </c>
      <c r="AF3" s="26">
        <f t="shared" ref="AF3" si="2">+EOMONTH(AE3,3)</f>
        <v>47391</v>
      </c>
      <c r="AG3" s="26">
        <f t="shared" ref="AG3" si="3">+EOMONTH(AF3,3)</f>
        <v>47483</v>
      </c>
      <c r="AH3" s="26">
        <f t="shared" ref="AH3" si="4">+EOMONTH(AG3,3)</f>
        <v>47573</v>
      </c>
      <c r="AI3" s="26">
        <f t="shared" ref="AI3" si="5">+EOMONTH(AH3,3)</f>
        <v>47664</v>
      </c>
      <c r="AJ3" s="26">
        <f t="shared" ref="AJ3" si="6">+EOMONTH(AI3,3)</f>
        <v>47756</v>
      </c>
      <c r="AK3" s="26">
        <f t="shared" ref="AK3" si="7">+EOMONTH(AJ3,3)</f>
        <v>47848</v>
      </c>
      <c r="AL3" s="26">
        <f t="shared" ref="AL3" si="8">+EOMONTH(AK3,3)</f>
        <v>47938</v>
      </c>
      <c r="AM3" s="26">
        <f t="shared" ref="AM3" si="9">+EOMONTH(AL3,3)</f>
        <v>48029</v>
      </c>
      <c r="AN3" s="26">
        <f t="shared" ref="AN3" si="10">+EOMONTH(AM3,3)</f>
        <v>48121</v>
      </c>
      <c r="AO3" s="26">
        <f t="shared" ref="AO3" si="11">+EOMONTH(AN3,3)</f>
        <v>48213</v>
      </c>
      <c r="AP3" s="26">
        <f t="shared" ref="AP3" si="12">+EOMONTH(AO3,3)</f>
        <v>48304</v>
      </c>
      <c r="AQ3" s="26">
        <f t="shared" ref="AQ3" si="13">+EOMONTH(AP3,3)</f>
        <v>48395</v>
      </c>
    </row>
    <row r="4" spans="1:55">
      <c r="B4" s="5" t="s">
        <v>18</v>
      </c>
      <c r="G4" s="14">
        <v>0</v>
      </c>
      <c r="H4" s="14">
        <v>1</v>
      </c>
      <c r="I4" s="14">
        <f>+H4+1</f>
        <v>2</v>
      </c>
      <c r="J4" s="14">
        <f t="shared" ref="J4:AE4" si="14">+I4+1</f>
        <v>3</v>
      </c>
      <c r="K4" s="14">
        <f t="shared" si="14"/>
        <v>4</v>
      </c>
      <c r="L4" s="14">
        <f t="shared" si="14"/>
        <v>5</v>
      </c>
      <c r="M4" s="14">
        <f t="shared" si="14"/>
        <v>6</v>
      </c>
      <c r="N4" s="14">
        <f t="shared" si="14"/>
        <v>7</v>
      </c>
      <c r="O4" s="14">
        <f t="shared" si="14"/>
        <v>8</v>
      </c>
      <c r="P4" s="14">
        <f t="shared" si="14"/>
        <v>9</v>
      </c>
      <c r="Q4" s="14">
        <f t="shared" si="14"/>
        <v>10</v>
      </c>
      <c r="R4" s="14">
        <f t="shared" si="14"/>
        <v>11</v>
      </c>
      <c r="S4" s="14">
        <f t="shared" si="14"/>
        <v>12</v>
      </c>
      <c r="T4" s="14">
        <f t="shared" si="14"/>
        <v>13</v>
      </c>
      <c r="U4" s="14">
        <f t="shared" si="14"/>
        <v>14</v>
      </c>
      <c r="V4" s="14">
        <f t="shared" si="14"/>
        <v>15</v>
      </c>
      <c r="W4" s="14">
        <f t="shared" si="14"/>
        <v>16</v>
      </c>
      <c r="X4" s="14">
        <f t="shared" si="14"/>
        <v>17</v>
      </c>
      <c r="Y4" s="14">
        <f t="shared" si="14"/>
        <v>18</v>
      </c>
      <c r="Z4" s="14">
        <f t="shared" si="14"/>
        <v>19</v>
      </c>
      <c r="AA4" s="14">
        <f t="shared" si="14"/>
        <v>20</v>
      </c>
      <c r="AB4" s="14">
        <f t="shared" si="14"/>
        <v>21</v>
      </c>
      <c r="AC4" s="14">
        <f t="shared" si="14"/>
        <v>22</v>
      </c>
      <c r="AD4" s="14">
        <f t="shared" si="14"/>
        <v>23</v>
      </c>
      <c r="AE4" s="14">
        <f t="shared" si="14"/>
        <v>24</v>
      </c>
      <c r="AF4" s="14">
        <f t="shared" ref="AF4" si="15">+AE4+1</f>
        <v>25</v>
      </c>
      <c r="AG4" s="14">
        <f t="shared" ref="AG4" si="16">+AF4+1</f>
        <v>26</v>
      </c>
      <c r="AH4" s="14">
        <f t="shared" ref="AH4" si="17">+AG4+1</f>
        <v>27</v>
      </c>
      <c r="AI4" s="14">
        <f t="shared" ref="AI4" si="18">+AH4+1</f>
        <v>28</v>
      </c>
      <c r="AJ4" s="14">
        <f t="shared" ref="AJ4" si="19">+AI4+1</f>
        <v>29</v>
      </c>
      <c r="AK4" s="14">
        <f t="shared" ref="AK4" si="20">+AJ4+1</f>
        <v>30</v>
      </c>
      <c r="AL4" s="14">
        <f t="shared" ref="AL4" si="21">+AK4+1</f>
        <v>31</v>
      </c>
      <c r="AM4" s="14">
        <f t="shared" ref="AM4" si="22">+AL4+1</f>
        <v>32</v>
      </c>
      <c r="AN4" s="14">
        <f t="shared" ref="AN4" si="23">+AM4+1</f>
        <v>33</v>
      </c>
      <c r="AO4" s="14">
        <f t="shared" ref="AO4" si="24">+AN4+1</f>
        <v>34</v>
      </c>
      <c r="AP4" s="14">
        <f t="shared" ref="AP4" si="25">+AO4+1</f>
        <v>35</v>
      </c>
      <c r="AQ4" s="14">
        <f t="shared" ref="AQ4" si="26">+AP4+1</f>
        <v>36</v>
      </c>
    </row>
    <row r="5" spans="1:55">
      <c r="B5" s="31" t="s">
        <v>66</v>
      </c>
      <c r="C5" s="31"/>
      <c r="D5" s="31"/>
      <c r="E5" s="31"/>
      <c r="F5" s="31"/>
      <c r="G5" s="43"/>
      <c r="H5" s="43">
        <v>1</v>
      </c>
      <c r="I5" s="43">
        <f>H5*(1+'Main_O+R_WTC'!$G$20/4)</f>
        <v>1</v>
      </c>
      <c r="J5" s="43">
        <f>I5*(1+'Main_O+R_WTC'!$G$20/4)</f>
        <v>1</v>
      </c>
      <c r="K5" s="43">
        <f>J5*(1+'Main_O+R_WTC'!$G$20/4)</f>
        <v>1</v>
      </c>
      <c r="L5" s="43">
        <f>K5*(1+'Main_O+R_WTC'!$G$20/4)</f>
        <v>1</v>
      </c>
      <c r="M5" s="43">
        <f>L5*(1+'Main_O+R_WTC'!$G$20/4)</f>
        <v>1</v>
      </c>
      <c r="N5" s="43">
        <f>M5*(1+'Main_O+R_WTC'!$G$20/4)</f>
        <v>1</v>
      </c>
      <c r="O5" s="43">
        <f>N5*(1+'Main_O+R_WTC'!$G$20/4)</f>
        <v>1</v>
      </c>
      <c r="P5" s="43">
        <f>O5*(1+'Main_O+R_WTC'!$G$20/4)</f>
        <v>1</v>
      </c>
      <c r="Q5" s="43">
        <f>P5*(1+'Main_O+R_WTC'!$G$20/4)</f>
        <v>1</v>
      </c>
      <c r="R5" s="43">
        <f>Q5*(1+'Main_O+R_WTC'!$G$20/4)</f>
        <v>1</v>
      </c>
      <c r="S5" s="43">
        <f>R5*(1+'Main_O+R_WTC'!$G$20/4)</f>
        <v>1</v>
      </c>
      <c r="T5" s="43">
        <f>S5*(1+'Main_O+R_WTC'!$G$20/4)</f>
        <v>1</v>
      </c>
      <c r="U5" s="43">
        <f>T5*(1+'Main_O+R_WTC'!$G$20/4)</f>
        <v>1</v>
      </c>
      <c r="V5" s="43">
        <f>U5*(1+'Main_O+R_WTC'!$G$20/4)</f>
        <v>1</v>
      </c>
      <c r="W5" s="43">
        <f>V5*(1+'Main_O+R_WTC'!$G$20/4)</f>
        <v>1</v>
      </c>
      <c r="X5" s="43">
        <f>W5*(1+'Main_O+R_WTC'!$G$20/4)</f>
        <v>1</v>
      </c>
      <c r="Y5" s="43">
        <f>X5*(1+'Main_O+R_WTC'!$G$20/4)</f>
        <v>1</v>
      </c>
      <c r="Z5" s="43">
        <f>Y5*(1+'Main_O+R_WTC'!$G$20/4)</f>
        <v>1</v>
      </c>
      <c r="AA5" s="43">
        <f>Z5*(1+'Main_O+R_WTC'!$G$20/4)</f>
        <v>1</v>
      </c>
      <c r="AB5" s="43">
        <f>AA5*(1+'Main_O+R_WTC'!$G$20/4)</f>
        <v>1</v>
      </c>
      <c r="AC5" s="43">
        <f>AB5*(1+'Main_O+R_WTC'!$G$20/4)</f>
        <v>1</v>
      </c>
      <c r="AD5" s="43">
        <f>AC5*(1+'Main_O+R_WTC'!$G$20/4)</f>
        <v>1</v>
      </c>
      <c r="AE5" s="43">
        <f>AD5*(1+'Main_O+R_WTC'!$G$20/4)</f>
        <v>1</v>
      </c>
      <c r="AF5" s="43">
        <f>AE5*(1+'Main_O+R_WTC'!$G$20/4)</f>
        <v>1</v>
      </c>
      <c r="AG5" s="43">
        <f>AF5*(1+'Main_O+R_WTC'!$G$20/4)</f>
        <v>1</v>
      </c>
      <c r="AH5" s="43">
        <f>AG5*(1+'Main_O+R_WTC'!$G$20/4)</f>
        <v>1</v>
      </c>
      <c r="AI5" s="43">
        <f>AH5*(1+'Main_O+R_WTC'!$G$20/4)</f>
        <v>1</v>
      </c>
      <c r="AJ5" s="43">
        <f>AI5*(1+'Main_O+R_WTC'!$G$20/4)</f>
        <v>1</v>
      </c>
      <c r="AK5" s="43">
        <f>AJ5*(1+'Main_O+R_WTC'!$G$20/4)</f>
        <v>1</v>
      </c>
      <c r="AL5" s="43">
        <f>AK5*(1+'Main_O+R_WTC'!$G$20/4)</f>
        <v>1</v>
      </c>
      <c r="AM5" s="43">
        <f>AL5*(1+'Main_O+R_WTC'!$G$20/4)</f>
        <v>1</v>
      </c>
      <c r="AN5" s="43">
        <f>AM5*(1+'Main_O+R_WTC'!$G$20/4)</f>
        <v>1</v>
      </c>
      <c r="AO5" s="43">
        <f>AN5*(1+'Main_O+R_WTC'!$G$20/4)</f>
        <v>1</v>
      </c>
      <c r="AP5" s="43">
        <f>AO5*(1+'Main_O+R_WTC'!$G$20/4)</f>
        <v>1</v>
      </c>
      <c r="AQ5" s="43">
        <f>AP5*(1+'Main_O+R_WTC'!$G$20/4)</f>
        <v>1</v>
      </c>
    </row>
    <row r="6" spans="1:55">
      <c r="B6" s="31" t="s">
        <v>67</v>
      </c>
      <c r="C6" s="31"/>
      <c r="D6" s="31"/>
      <c r="E6" s="31"/>
      <c r="F6" s="31"/>
      <c r="G6" s="43"/>
      <c r="H6" s="44">
        <f>+IF(H4&lt;='Main_O+R_WTC'!$H$24,1,IF(H$4&gt;='Main_O+R_WTC'!$H$24,(1+'Main_O+R_WTC'!$G$50)^QUOTIENT((H$4-('Main_O+R_WTC'!$H$24)),(1*'Main_O+R_WTC'!$G$49)),0))</f>
        <v>1</v>
      </c>
      <c r="I6" s="44">
        <f>+IF(I4&lt;='Main_O+R_WTC'!$H$24,1,IF(I$4&gt;='Main_O+R_WTC'!$H$24,(1+'Main_O+R_WTC'!$G$50)^QUOTIENT((I$4-('Main_O+R_WTC'!$H$24)),(1*'Main_O+R_WTC'!$G$49)),0))</f>
        <v>1</v>
      </c>
      <c r="J6" s="44">
        <f>+IF(J4&lt;='Main_O+R_WTC'!$H$24,1,IF(J$4&gt;='Main_O+R_WTC'!$H$24,(1+'Main_O+R_WTC'!$G$50)^QUOTIENT((J$4-('Main_O+R_WTC'!$H$24)),(1*'Main_O+R_WTC'!$G$49)),0))</f>
        <v>1</v>
      </c>
      <c r="K6" s="44">
        <f>+IF(K4&lt;='Main_O+R_WTC'!$H$24,1,IF(K$4&gt;='Main_O+R_WTC'!$H$24,(1+'Main_O+R_WTC'!$G$50)^QUOTIENT((K$4-('Main_O+R_WTC'!$H$24)),(1*'Main_O+R_WTC'!$G$49)),0))</f>
        <v>1</v>
      </c>
      <c r="L6" s="44">
        <f>+IF(L4&lt;='Main_O+R_WTC'!$H$24,1,IF(L$4&gt;='Main_O+R_WTC'!$H$24,(1+'Main_O+R_WTC'!$G$50)^QUOTIENT((L$4-('Main_O+R_WTC'!$H$24)),(1*'Main_O+R_WTC'!$G$49)),0))</f>
        <v>1</v>
      </c>
      <c r="M6" s="44">
        <f>+IF(M4&lt;='Main_O+R_WTC'!$H$24,1,IF(M$4&gt;='Main_O+R_WTC'!$H$24,(1+'Main_O+R_WTC'!$G$50)^QUOTIENT((M$4-('Main_O+R_WTC'!$H$24)),(1*'Main_O+R_WTC'!$G$49)),0))</f>
        <v>1</v>
      </c>
      <c r="N6" s="44">
        <f>+IF(N4&lt;='Main_O+R_WTC'!$H$24,1,IF(N$4&gt;='Main_O+R_WTC'!$H$24,(1+'Main_O+R_WTC'!$G$50)^QUOTIENT((N$4-('Main_O+R_WTC'!$H$24)),(1*'Main_O+R_WTC'!$G$49)),0))</f>
        <v>1</v>
      </c>
      <c r="O6" s="44">
        <f>+IF(O4&lt;='Main_O+R_WTC'!$H$24,1,IF(O$4&gt;='Main_O+R_WTC'!$H$24,(1+'Main_O+R_WTC'!$G$50)^QUOTIENT((O$4-('Main_O+R_WTC'!$H$24)),(1*'Main_O+R_WTC'!$G$49)),0))</f>
        <v>1</v>
      </c>
      <c r="P6" s="44">
        <f>+IF(P4&lt;='Main_O+R_WTC'!$H$24,1,IF(P$4&gt;='Main_O+R_WTC'!$H$24,(1+'Main_O+R_WTC'!$G$50)^QUOTIENT((P$4-('Main_O+R_WTC'!$H$24)),(1*'Main_O+R_WTC'!$G$49)),0))</f>
        <v>1</v>
      </c>
      <c r="Q6" s="44">
        <f>+IF(Q4&lt;='Main_O+R_WTC'!$H$24,1,IF(Q$4&gt;='Main_O+R_WTC'!$H$24,(1+'Main_O+R_WTC'!$G$50)^QUOTIENT((Q$4-('Main_O+R_WTC'!$H$24)),(1*'Main_O+R_WTC'!$G$49)),0))</f>
        <v>1</v>
      </c>
      <c r="R6" s="44">
        <f>+IF(R4&lt;='Main_O+R_WTC'!$H$24,1,IF(R$4&gt;='Main_O+R_WTC'!$H$24,(1+'Main_O+R_WTC'!$G$50)^QUOTIENT((R$4-('Main_O+R_WTC'!$H$24)),(1*'Main_O+R_WTC'!$G$49)),0))</f>
        <v>1</v>
      </c>
      <c r="S6" s="44">
        <f>+IF(S4&lt;='Main_O+R_WTC'!$H$24,1,IF(S$4&gt;='Main_O+R_WTC'!$H$24,(1+'Main_O+R_WTC'!$G$50)^QUOTIENT((S$4-('Main_O+R_WTC'!$H$24)),(1*'Main_O+R_WTC'!$G$49)),0))</f>
        <v>1</v>
      </c>
      <c r="T6" s="44">
        <f>+IF(T4&lt;='Main_O+R_WTC'!$H$24,1,IF(T$4&gt;='Main_O+R_WTC'!$H$24,(1+'Main_O+R_WTC'!$G$50)^QUOTIENT((T$4-('Main_O+R_WTC'!$H$24)),(1*'Main_O+R_WTC'!$G$49)),0))</f>
        <v>1</v>
      </c>
      <c r="U6" s="44">
        <f>+IF(U4&lt;='Main_O+R_WTC'!$H$24,1,IF(U$4&gt;='Main_O+R_WTC'!$H$24,(1+'Main_O+R_WTC'!$G$50)^QUOTIENT((U$4-('Main_O+R_WTC'!$H$24)),(1*'Main_O+R_WTC'!$G$49)),0))</f>
        <v>1</v>
      </c>
      <c r="V6" s="44">
        <f>+IF(V4&lt;='Main_O+R_WTC'!$H$24,1,IF(V$4&gt;='Main_O+R_WTC'!$H$24,(1+'Main_O+R_WTC'!$G$50)^QUOTIENT((V$4-('Main_O+R_WTC'!$H$24)),(1*'Main_O+R_WTC'!$G$49)),0))</f>
        <v>1</v>
      </c>
      <c r="W6" s="44">
        <f>+IF(W4&lt;='Main_O+R_WTC'!$H$24,1,IF(W$4&gt;='Main_O+R_WTC'!$H$24,(1+'Main_O+R_WTC'!$G$50)^QUOTIENT((W$4-('Main_O+R_WTC'!$H$24)),(1*'Main_O+R_WTC'!$G$49)),0))</f>
        <v>1</v>
      </c>
      <c r="X6" s="43">
        <f>+IF(X4&lt;='Main_O+R_WTC'!$H$24,1,IF(X$4&gt;='Main_O+R_WTC'!$H$24,(1+'Main_O+R_WTC'!$G$50)^QUOTIENT((X$4-('Main_O+R_WTC'!$H$24)),(1*'Main_O+R_WTC'!$G$49)),0))</f>
        <v>1</v>
      </c>
      <c r="Y6" s="43">
        <f>+IF(Y4&lt;='Main_O+R_WTC'!$H$24,1,IF(Y$4&gt;='Main_O+R_WTC'!$H$24,(1+'Main_O+R_WTC'!$G$50)^QUOTIENT((Y$4-('Main_O+R_WTC'!$H$24)),(1*'Main_O+R_WTC'!$G$49)),0))</f>
        <v>1</v>
      </c>
      <c r="Z6" s="43">
        <f>+IF(Z4&lt;='Main_O+R_WTC'!$H$24,1,IF(Z$4&gt;='Main_O+R_WTC'!$H$24,(1+'Main_O+R_WTC'!$G$50)^QUOTIENT((Z$4-('Main_O+R_WTC'!$H$24)),(1*'Main_O+R_WTC'!$G$49)),0))</f>
        <v>1</v>
      </c>
      <c r="AA6" s="43">
        <f>+IF(AA4&lt;='Main_O+R_WTC'!$H$24,1,IF(AA$4&gt;='Main_O+R_WTC'!$H$24,(1+'Main_O+R_WTC'!$G$50)^QUOTIENT((AA$4-('Main_O+R_WTC'!$H$24)),(1*'Main_O+R_WTC'!$G$49)),0))</f>
        <v>1</v>
      </c>
      <c r="AB6" s="43">
        <f>+IF(AB4&lt;='Main_O+R_WTC'!$H$24,1,IF(AB$4&gt;='Main_O+R_WTC'!$H$24,(1+'Main_O+R_WTC'!$G$50)^QUOTIENT((AB$4-('Main_O+R_WTC'!$H$24)),(1*'Main_O+R_WTC'!$G$49)),0))</f>
        <v>1</v>
      </c>
      <c r="AC6" s="43">
        <f>+IF(AC4&lt;='Main_O+R_WTC'!$H$24,1,IF(AC$4&gt;='Main_O+R_WTC'!$H$24,(1+'Main_O+R_WTC'!$G$50)^QUOTIENT((AC$4-('Main_O+R_WTC'!$H$24)),(1*'Main_O+R_WTC'!$G$49)),0))</f>
        <v>1</v>
      </c>
      <c r="AD6" s="43">
        <f>+IF(AD4&lt;='Main_O+R_WTC'!$H$24,1,IF(AD$4&gt;='Main_O+R_WTC'!$H$24,(1+'Main_O+R_WTC'!$G$50)^QUOTIENT((AD$4-('Main_O+R_WTC'!$H$24)),(1*'Main_O+R_WTC'!$G$49)),0))</f>
        <v>1</v>
      </c>
      <c r="AE6" s="43">
        <f>+IF(AE4&lt;='Main_O+R_WTC'!$H$24,1,IF(AE$4&gt;='Main_O+R_WTC'!$H$24,(1+'Main_O+R_WTC'!$G$50)^QUOTIENT((AE$4-('Main_O+R_WTC'!$H$24)),(1*'Main_O+R_WTC'!$G$49)),0))</f>
        <v>1</v>
      </c>
      <c r="AF6" s="43">
        <f>+IF(AF4&lt;='Main_O+R_WTC'!$H$24,1,IF(AF$4&gt;='Main_O+R_WTC'!$H$24,(1+'Main_O+R_WTC'!$G$50)^QUOTIENT((AF$4-('Main_O+R_WTC'!$H$24)),(1*'Main_O+R_WTC'!$G$49)),0))</f>
        <v>1</v>
      </c>
      <c r="AG6" s="43">
        <f>+IF(AG4&lt;='Main_O+R_WTC'!$H$24,1,IF(AG$4&gt;='Main_O+R_WTC'!$H$24,(1+'Main_O+R_WTC'!$G$50)^QUOTIENT((AG$4-('Main_O+R_WTC'!$H$24)),(1*'Main_O+R_WTC'!$G$49)),0))</f>
        <v>1</v>
      </c>
      <c r="AH6" s="43">
        <f>+IF(AH4&lt;='Main_O+R_WTC'!$H$24,1,IF(AH$4&gt;='Main_O+R_WTC'!$H$24,(1+'Main_O+R_WTC'!$G$50)^QUOTIENT((AH$4-('Main_O+R_WTC'!$H$24)),(1*'Main_O+R_WTC'!$G$49)),0))</f>
        <v>1</v>
      </c>
      <c r="AI6" s="43">
        <f>+IF(AI4&lt;='Main_O+R_WTC'!$H$24,1,IF(AI$4&gt;='Main_O+R_WTC'!$H$24,(1+'Main_O+R_WTC'!$G$50)^QUOTIENT((AI$4-('Main_O+R_WTC'!$H$24)),(1*'Main_O+R_WTC'!$G$49)),0))</f>
        <v>1.1499999999999999</v>
      </c>
      <c r="AJ6" s="43">
        <f>+IF(AJ4&lt;='Main_O+R_WTC'!$H$24,1,IF(AJ$4&gt;='Main_O+R_WTC'!$H$24,(1+'Main_O+R_WTC'!$G$50)^QUOTIENT((AJ$4-('Main_O+R_WTC'!$H$24)),(1*'Main_O+R_WTC'!$G$49)),0))</f>
        <v>1.1499999999999999</v>
      </c>
      <c r="AK6" s="43">
        <f>+IF(AK4&lt;='Main_O+R_WTC'!$H$24,1,IF(AK$4&gt;='Main_O+R_WTC'!$H$24,(1+'Main_O+R_WTC'!$G$50)^QUOTIENT((AK$4-('Main_O+R_WTC'!$H$24)),(1*'Main_O+R_WTC'!$G$49)),0))</f>
        <v>1.1499999999999999</v>
      </c>
      <c r="AL6" s="43">
        <f>+IF(AL4&lt;='Main_O+R_WTC'!$H$24,1,IF(AL$4&gt;='Main_O+R_WTC'!$H$24,(1+'Main_O+R_WTC'!$G$50)^QUOTIENT((AL$4-('Main_O+R_WTC'!$H$24)),(1*'Main_O+R_WTC'!$G$49)),0))</f>
        <v>1.1499999999999999</v>
      </c>
      <c r="AM6" s="43">
        <f>+IF(AM4&lt;='Main_O+R_WTC'!$H$24,1,IF(AM$4&gt;='Main_O+R_WTC'!$H$24,(1+'Main_O+R_WTC'!$G$50)^QUOTIENT((AM$4-('Main_O+R_WTC'!$H$24)),(1*'Main_O+R_WTC'!$G$49)),0))</f>
        <v>1.1499999999999999</v>
      </c>
      <c r="AN6" s="43">
        <f>+IF(AN4&lt;='Main_O+R_WTC'!$H$24,1,IF(AN$4&gt;='Main_O+R_WTC'!$H$24,(1+'Main_O+R_WTC'!$G$50)^QUOTIENT((AN$4-('Main_O+R_WTC'!$H$24)),(1*'Main_O+R_WTC'!$G$49)),0))</f>
        <v>1.1499999999999999</v>
      </c>
      <c r="AO6" s="43">
        <f>+IF(AO4&lt;='Main_O+R_WTC'!$H$24,1,IF(AO$4&gt;='Main_O+R_WTC'!$H$24,(1+'Main_O+R_WTC'!$G$50)^QUOTIENT((AO$4-('Main_O+R_WTC'!$H$24)),(1*'Main_O+R_WTC'!$G$49)),0))</f>
        <v>1.1499999999999999</v>
      </c>
      <c r="AP6" s="43">
        <f>+IF(AP4&lt;='Main_O+R_WTC'!$H$24,1,IF(AP$4&gt;='Main_O+R_WTC'!$H$24,(1+'Main_O+R_WTC'!$G$50)^QUOTIENT((AP$4-('Main_O+R_WTC'!$H$24)),(1*'Main_O+R_WTC'!$G$49)),0))</f>
        <v>1.1499999999999999</v>
      </c>
      <c r="AQ6" s="43">
        <f>+IF(AQ4&lt;='Main_O+R_WTC'!$H$24,1,IF(AQ$4&gt;='Main_O+R_WTC'!$H$24,(1+'Main_O+R_WTC'!$G$50)^QUOTIENT((AQ$4-('Main_O+R_WTC'!$H$24)),(1*'Main_O+R_WTC'!$G$49)),0))</f>
        <v>1.1499999999999999</v>
      </c>
    </row>
    <row r="7" spans="1:5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</row>
    <row r="8" spans="1:55">
      <c r="B8" s="31" t="s">
        <v>111</v>
      </c>
      <c r="C8" s="31"/>
      <c r="D8" s="31"/>
      <c r="E8" s="31"/>
      <c r="F8" s="31"/>
      <c r="G8" s="45"/>
      <c r="H8" s="45">
        <f>+'Cost %'!F$9</f>
        <v>4.7718800204525125E-2</v>
      </c>
      <c r="I8" s="45">
        <f>+'Cost %'!G$9</f>
        <v>5.2856298117945684E-2</v>
      </c>
      <c r="J8" s="45">
        <f>+'Cost %'!H$9</f>
        <v>7.3569729663777492E-2</v>
      </c>
      <c r="K8" s="45">
        <f>+'Cost %'!I$9</f>
        <v>5.7298450932291599E-2</v>
      </c>
      <c r="L8" s="45">
        <f>+'Cost %'!J$9</f>
        <v>7.2925673443051189E-2</v>
      </c>
      <c r="M8" s="45">
        <f>+'Cost %'!K$9</f>
        <v>7.7004926489292524E-2</v>
      </c>
      <c r="N8" s="45">
        <f>+'Cost %'!L$9</f>
        <v>0.10604450217985813</v>
      </c>
      <c r="O8" s="45">
        <f>+'Cost %'!M$9</f>
        <v>8.8869843657079145E-2</v>
      </c>
      <c r="P8" s="45">
        <f>+'Cost %'!N$9</f>
        <v>5.8032206905944496E-2</v>
      </c>
      <c r="Q8" s="45">
        <f>+'Cost %'!O$9</f>
        <v>5.9936710753491843E-2</v>
      </c>
      <c r="R8" s="45">
        <f>+'Cost %'!P$9</f>
        <v>6.4790913317516297E-2</v>
      </c>
      <c r="S8" s="45">
        <f>+'Cost %'!Q$9</f>
        <v>8.3156318016543634E-2</v>
      </c>
      <c r="T8" s="45">
        <f>+'Cost %'!R$9</f>
        <v>6.7936968712739937E-2</v>
      </c>
      <c r="U8" s="45">
        <f>+'Cost %'!S$9</f>
        <v>5.5605430136029248E-2</v>
      </c>
      <c r="V8" s="45">
        <f>+'Cost %'!T$9</f>
        <v>2.0622829720949577E-2</v>
      </c>
      <c r="W8" s="45">
        <f>+'Cost %'!U$9</f>
        <v>1.3630397748963904E-2</v>
      </c>
      <c r="X8" s="45">
        <f>+'Cost %'!V$9</f>
        <v>0</v>
      </c>
      <c r="Y8" s="45">
        <f>+'Cost %'!W$9</f>
        <v>0</v>
      </c>
      <c r="Z8" s="45">
        <f>+'Cost %'!X$9</f>
        <v>0</v>
      </c>
      <c r="AA8" s="45">
        <f>+'Cost %'!Y$9</f>
        <v>0</v>
      </c>
      <c r="AB8" s="45">
        <f>+'Cost %'!Z$9</f>
        <v>0</v>
      </c>
      <c r="AC8" s="45">
        <f>+'Cost %'!AA$9</f>
        <v>0</v>
      </c>
      <c r="AD8" s="45">
        <f>+'Cost %'!AB$9</f>
        <v>0</v>
      </c>
      <c r="AE8" s="45">
        <f>+'Cost %'!AC$9</f>
        <v>0</v>
      </c>
      <c r="AF8" s="45">
        <f>+'Cost %'!AD$9</f>
        <v>0</v>
      </c>
      <c r="AG8" s="45">
        <f>+'Cost %'!AE$9</f>
        <v>0</v>
      </c>
      <c r="AH8" s="45">
        <f>+'Cost %'!AF$9</f>
        <v>0</v>
      </c>
      <c r="AI8" s="45">
        <f>+'Cost %'!AG$9</f>
        <v>0</v>
      </c>
      <c r="AJ8" s="45">
        <f>+'Cost %'!AH$9</f>
        <v>0</v>
      </c>
      <c r="AK8" s="45">
        <f>+'Cost %'!AI$9</f>
        <v>0</v>
      </c>
      <c r="AL8" s="45">
        <f>+'Cost %'!AJ$9</f>
        <v>0</v>
      </c>
      <c r="AM8" s="45">
        <f>+'Cost %'!AK$9</f>
        <v>0</v>
      </c>
      <c r="AN8" s="45">
        <f>+'Cost %'!AL$9</f>
        <v>0</v>
      </c>
      <c r="AO8" s="45">
        <f>+'Cost %'!AM$9</f>
        <v>0</v>
      </c>
      <c r="AP8" s="45">
        <f>+'Cost %'!AN$9</f>
        <v>0</v>
      </c>
      <c r="AQ8" s="45">
        <f>+'Cost %'!AO$9</f>
        <v>0</v>
      </c>
    </row>
    <row r="10" spans="1:55">
      <c r="A10" s="21"/>
      <c r="B10" s="5" t="s">
        <v>51</v>
      </c>
      <c r="G10" s="46"/>
      <c r="H10" s="46">
        <f>+H8*'Main_O+R_WTC'!$G$15</f>
        <v>44891.991276366243</v>
      </c>
      <c r="I10" s="46">
        <f>+I8*'Main_O+R_WTC'!$G$15</f>
        <v>49725.149497510181</v>
      </c>
      <c r="J10" s="46">
        <f>+J8*'Main_O+R_WTC'!$G$15</f>
        <v>69211.540275854029</v>
      </c>
      <c r="K10" s="46">
        <f>+K8*'Main_O+R_WTC'!$G$15</f>
        <v>53904.154093920639</v>
      </c>
      <c r="L10" s="46">
        <f>+L8*'Main_O+R_WTC'!$G$15</f>
        <v>68605.63723306141</v>
      </c>
      <c r="M10" s="46">
        <f>+M8*'Main_O+R_WTC'!$G$15</f>
        <v>72443.239842118433</v>
      </c>
      <c r="N10" s="46">
        <f>+N8*'Main_O+R_WTC'!$G$15</f>
        <v>99762.543198086409</v>
      </c>
      <c r="O10" s="46">
        <f>+O8*'Main_O+R_WTC'!$G$15</f>
        <v>83605.292444199062</v>
      </c>
      <c r="P10" s="46">
        <f>+P8*'Main_O+R_WTC'!$G$15</f>
        <v>54594.443175520049</v>
      </c>
      <c r="Q10" s="46">
        <f>+Q8*'Main_O+R_WTC'!$G$15</f>
        <v>56386.126322276825</v>
      </c>
      <c r="R10" s="46">
        <f>+R8*'Main_O+R_WTC'!$G$15</f>
        <v>60952.771297085637</v>
      </c>
      <c r="S10" s="46">
        <f>+S8*'Main_O+R_WTC'!$G$15</f>
        <v>78230.229741178875</v>
      </c>
      <c r="T10" s="46">
        <f>+T8*'Main_O+R_WTC'!$G$15</f>
        <v>63912.457851483785</v>
      </c>
      <c r="U10" s="46">
        <f>+U8*'Main_O+R_WTC'!$G$15</f>
        <v>52311.425976475031</v>
      </c>
      <c r="V10" s="46">
        <f>+V8*'Main_O+R_WTC'!$G$15</f>
        <v>19401.156105326016</v>
      </c>
      <c r="W10" s="46">
        <f>+W8*'Main_O+R_WTC'!$G$15</f>
        <v>12822.948066952116</v>
      </c>
      <c r="X10" s="46">
        <f>+X8*'Main_O+R_WTC'!$G$15</f>
        <v>0</v>
      </c>
      <c r="Y10" s="46">
        <f>+Y8*'Main_O+R_WTC'!$G$15</f>
        <v>0</v>
      </c>
      <c r="Z10" s="46">
        <f>+Z8*'Main_O+R_WTC'!$G$15</f>
        <v>0</v>
      </c>
      <c r="AA10" s="46">
        <f>+AA8*'Main_O+R_WTC'!$G$15</f>
        <v>0</v>
      </c>
      <c r="AB10" s="46">
        <f>+AB8*'Main_O+R_WTC'!$G$15</f>
        <v>0</v>
      </c>
      <c r="AC10" s="46">
        <f>+AC8*'Main_O+R_WTC'!$G$15</f>
        <v>0</v>
      </c>
      <c r="AD10" s="46">
        <f>+AD8*'Main_O+R_WTC'!$G$15</f>
        <v>0</v>
      </c>
      <c r="AE10" s="46">
        <f>+AE8*'Main_O+R_WTC'!$G$15</f>
        <v>0</v>
      </c>
      <c r="AF10" s="46">
        <f>+AF8*'Main_O+R_WTC'!$G$15</f>
        <v>0</v>
      </c>
      <c r="AG10" s="46">
        <f>+AG8*'Main_O+R_WTC'!$G$15</f>
        <v>0</v>
      </c>
      <c r="AH10" s="46">
        <f>+AH8*'Main_O+R_WTC'!$G$15</f>
        <v>0</v>
      </c>
      <c r="AI10" s="46">
        <f>+AI8*'Main_O+R_WTC'!$G$15</f>
        <v>0</v>
      </c>
      <c r="AJ10" s="46">
        <f>+AJ8*'Main_O+R_WTC'!$G$15</f>
        <v>0</v>
      </c>
      <c r="AK10" s="46">
        <f>+AK8*'Main_O+R_WTC'!$G$15</f>
        <v>0</v>
      </c>
      <c r="AL10" s="46">
        <f>+AL8*'Main_O+R_WTC'!$G$15</f>
        <v>0</v>
      </c>
      <c r="AM10" s="46">
        <f>+AM8*'Main_O+R_WTC'!$G$15</f>
        <v>0</v>
      </c>
      <c r="AN10" s="46">
        <f>+AN8*'Main_O+R_WTC'!$G$15</f>
        <v>0</v>
      </c>
      <c r="AO10" s="46">
        <f>+AO8*'Main_O+R_WTC'!$G$15</f>
        <v>0</v>
      </c>
      <c r="AP10" s="46">
        <f>+AP8*'Main_O+R_WTC'!$G$15</f>
        <v>0</v>
      </c>
      <c r="AQ10" s="46">
        <f>+AQ8*'Main_O+R_WTC'!$G$15</f>
        <v>0</v>
      </c>
    </row>
    <row r="11" spans="1:55">
      <c r="A11" s="21"/>
      <c r="B11" s="5" t="s">
        <v>51</v>
      </c>
      <c r="G11" s="46"/>
      <c r="H11" s="46">
        <f>+H8*'Main_O+R_WTC'!$G$14</f>
        <v>3455.187171656075</v>
      </c>
      <c r="I11" s="46">
        <f>+I8*'Main_O+R_WTC'!$G$14</f>
        <v>3827.179275581128</v>
      </c>
      <c r="J11" s="46">
        <f>+J8*'Main_O+R_WTC'!$G$14</f>
        <v>5326.9819246709421</v>
      </c>
      <c r="K11" s="46">
        <f>+K8*'Main_O+R_WTC'!$G$14</f>
        <v>4148.8233519803598</v>
      </c>
      <c r="L11" s="46">
        <f>+L8*'Main_O+R_WTC'!$G$14</f>
        <v>5280.3475838631066</v>
      </c>
      <c r="M11" s="46">
        <f>+M8*'Main_O+R_WTC'!$G$14</f>
        <v>5575.7150854537158</v>
      </c>
      <c r="N11" s="46">
        <f>+N8*'Main_O+R_WTC'!$G$14</f>
        <v>7678.390948349007</v>
      </c>
      <c r="O11" s="46">
        <f>+O8*'Main_O+R_WTC'!$G$14</f>
        <v>6434.8211278351146</v>
      </c>
      <c r="P11" s="46">
        <f>+P8*'Main_O+R_WTC'!$G$14</f>
        <v>4201.952605365299</v>
      </c>
      <c r="Q11" s="46">
        <f>+Q8*'Main_O+R_WTC'!$G$14</f>
        <v>4339.8524945957743</v>
      </c>
      <c r="R11" s="46">
        <f>+R8*'Main_O+R_WTC'!$G$14</f>
        <v>4691.3319608847623</v>
      </c>
      <c r="S11" s="46">
        <f>+S8*'Main_O+R_WTC'!$G$14</f>
        <v>6021.1204393539674</v>
      </c>
      <c r="T11" s="46">
        <f>+T8*'Main_O+R_WTC'!$G$14</f>
        <v>4919.12918538131</v>
      </c>
      <c r="U11" s="46">
        <f>+U8*'Main_O+R_WTC'!$G$14</f>
        <v>4026.2363692498525</v>
      </c>
      <c r="V11" s="46">
        <f>+V8*'Main_O+R_WTC'!$G$14</f>
        <v>1493.2424199616717</v>
      </c>
      <c r="W11" s="46">
        <f>+W8*'Main_O+R_WTC'!$G$14</f>
        <v>986.93963898790344</v>
      </c>
      <c r="X11" s="46">
        <f>+X8*'Main_O+R_WTC'!$G$14</f>
        <v>0</v>
      </c>
      <c r="Y11" s="46">
        <f>+Y8*'Main_O+R_WTC'!$G$14</f>
        <v>0</v>
      </c>
      <c r="Z11" s="46">
        <f>+Z8*'Main_O+R_WTC'!$G$14</f>
        <v>0</v>
      </c>
      <c r="AA11" s="46">
        <f>+AA8*'Main_O+R_WTC'!$G$14</f>
        <v>0</v>
      </c>
      <c r="AB11" s="46">
        <f>+AB8*'Main_O+R_WTC'!$G$14</f>
        <v>0</v>
      </c>
      <c r="AC11" s="46">
        <f>+AC8*'Main_O+R_WTC'!$G$14</f>
        <v>0</v>
      </c>
      <c r="AD11" s="46">
        <f>+AD8*'Main_O+R_WTC'!$G$14</f>
        <v>0</v>
      </c>
      <c r="AE11" s="46">
        <f>+AE8*'Main_O+R_WTC'!$G$14</f>
        <v>0</v>
      </c>
      <c r="AF11" s="46">
        <f>+AF8*'Main_O+R_WTC'!$G$14</f>
        <v>0</v>
      </c>
      <c r="AG11" s="46">
        <f>+AG8*'Main_O+R_WTC'!$G$14</f>
        <v>0</v>
      </c>
      <c r="AH11" s="46">
        <f>+AH8*'Main_O+R_WTC'!$G$14</f>
        <v>0</v>
      </c>
      <c r="AI11" s="46">
        <f>+AI8*'Main_O+R_WTC'!$G$14</f>
        <v>0</v>
      </c>
      <c r="AJ11" s="46">
        <f>+AJ8*'Main_O+R_WTC'!$G$14</f>
        <v>0</v>
      </c>
      <c r="AK11" s="46">
        <f>+AK8*'Main_O+R_WTC'!$G$14</f>
        <v>0</v>
      </c>
      <c r="AL11" s="46">
        <f>+AL8*'Main_O+R_WTC'!$G$14</f>
        <v>0</v>
      </c>
      <c r="AM11" s="46">
        <f>+AM8*'Main_O+R_WTC'!$G$14</f>
        <v>0</v>
      </c>
      <c r="AN11" s="46">
        <f>+AN8*'Main_O+R_WTC'!$G$14</f>
        <v>0</v>
      </c>
      <c r="AO11" s="46">
        <f>+AO8*'Main_O+R_WTC'!$G$14</f>
        <v>0</v>
      </c>
      <c r="AP11" s="46">
        <f>+AP8*'Main_O+R_WTC'!$G$14</f>
        <v>0</v>
      </c>
      <c r="AQ11" s="46">
        <f>+AQ8*'Main_O+R_WTC'!$G$14</f>
        <v>0</v>
      </c>
    </row>
    <row r="13" spans="1:55">
      <c r="B13" s="5" t="s">
        <v>49</v>
      </c>
      <c r="H13" s="5">
        <f>+'Main_O+R_WTC'!$G$43*H$6+'Main_O+R_WTC'!$G$45</f>
        <v>115</v>
      </c>
      <c r="I13" s="5">
        <f>+ROUND('Main_O+R_WTC'!$G$43*I$6/1,0)*1+'Main_O+R_WTC'!$G$45</f>
        <v>115</v>
      </c>
      <c r="J13" s="5">
        <f>+ROUND('Main_O+R_WTC'!$G$43*J$6/1,0)*1+'Main_O+R_WTC'!$G$45</f>
        <v>115</v>
      </c>
      <c r="K13" s="5">
        <f>+ROUND('Main_O+R_WTC'!$G$43*K$6/1,0)*1+'Main_O+R_WTC'!$G$45</f>
        <v>115</v>
      </c>
      <c r="L13" s="5">
        <f>+ROUND('Main_O+R_WTC'!$G$43*L$6/1,0)*1+'Main_O+R_WTC'!$G$45</f>
        <v>115</v>
      </c>
      <c r="M13" s="5">
        <f>+ROUND('Main_O+R_WTC'!$G$43*M$6/1,0)*1+'Main_O+R_WTC'!$G$45</f>
        <v>115</v>
      </c>
      <c r="N13" s="5">
        <f>+ROUND('Main_O+R_WTC'!$G$43*N$6/1,0)*1+'Main_O+R_WTC'!$G$45</f>
        <v>115</v>
      </c>
      <c r="O13" s="5">
        <f>+ROUND('Main_O+R_WTC'!$G$43*O$6/1,0)*1+'Main_O+R_WTC'!$G$45</f>
        <v>115</v>
      </c>
      <c r="P13" s="5">
        <f>+ROUND('Main_O+R_WTC'!$G$43*P$6/1,0)*1+'Main_O+R_WTC'!$G$45</f>
        <v>115</v>
      </c>
      <c r="Q13" s="5">
        <f>+ROUND('Main_O+R_WTC'!$G$43*Q$6/1,0)*1+'Main_O+R_WTC'!$G$45</f>
        <v>115</v>
      </c>
      <c r="R13" s="5">
        <f>+ROUND('Main_O+R_WTC'!$G$43*R$6/1,0)*1+'Main_O+R_WTC'!$G$45</f>
        <v>115</v>
      </c>
      <c r="S13" s="5">
        <f>+ROUND('Main_O+R_WTC'!$G$43*S$6/1,0)*1+'Main_O+R_WTC'!$G$45</f>
        <v>115</v>
      </c>
      <c r="T13" s="5">
        <f>+ROUND('Main_O+R_WTC'!$G$43*T$6/1,0)*1+'Main_O+R_WTC'!$G$45</f>
        <v>115</v>
      </c>
      <c r="U13" s="5">
        <f>+ROUND('Main_O+R_WTC'!$G$43*U$6/1,0)*1+'Main_O+R_WTC'!$G$45</f>
        <v>115</v>
      </c>
      <c r="V13" s="5">
        <f>+ROUND('Main_O+R_WTC'!$G$43*V$6/1,0)*1+'Main_O+R_WTC'!$G$45</f>
        <v>115</v>
      </c>
      <c r="W13" s="5">
        <f>+ROUND('Main_O+R_WTC'!$G$43*W$6/1,0)*1+'Main_O+R_WTC'!$G$45</f>
        <v>115</v>
      </c>
      <c r="X13" s="5">
        <f>+ROUND('Main_O+R_WTC'!$G$43*X$6/1,0)*1+'Main_O+R_WTC'!$G$45</f>
        <v>115</v>
      </c>
      <c r="Y13" s="5">
        <f>+ROUND('Main_O+R_WTC'!$G$43*Y$6/1,0)*1+'Main_O+R_WTC'!$G$45</f>
        <v>115</v>
      </c>
      <c r="Z13" s="5">
        <f>+ROUND('Main_O+R_WTC'!$G$43*Z$6/1,0)*1+'Main_O+R_WTC'!$G$45</f>
        <v>115</v>
      </c>
      <c r="AA13" s="5">
        <f>+ROUND('Main_O+R_WTC'!$G$43*AA$6/1,0)*1+'Main_O+R_WTC'!$G$45</f>
        <v>115</v>
      </c>
      <c r="AB13" s="5">
        <f>+ROUND('Main_O+R_WTC'!$G$43*AB$6/1,0)*1+'Main_O+R_WTC'!$G$45</f>
        <v>115</v>
      </c>
      <c r="AC13" s="5">
        <f>+ROUND('Main_O+R_WTC'!$G$43*AC$6/1,0)*1+'Main_O+R_WTC'!$G$45</f>
        <v>115</v>
      </c>
      <c r="AD13" s="5">
        <f>+ROUND('Main_O+R_WTC'!$G$43*AD$6/1,0)*1+'Main_O+R_WTC'!$G$45</f>
        <v>115</v>
      </c>
      <c r="AE13" s="5">
        <f>+ROUND('Main_O+R_WTC'!$G$43*AE$6/1,0)*1+'Main_O+R_WTC'!$G$45</f>
        <v>115</v>
      </c>
      <c r="AF13" s="5">
        <f>+ROUND('Main_O+R_WTC'!$G$43*AF$6/1,0)*1+'Main_O+R_WTC'!$G$45</f>
        <v>115</v>
      </c>
      <c r="AG13" s="5">
        <f>+ROUND('Main_O+R_WTC'!$G$43*AG$6/1,0)*1+'Main_O+R_WTC'!$G$45</f>
        <v>115</v>
      </c>
      <c r="AH13" s="5">
        <f>+ROUND('Main_O+R_WTC'!$G$43*AH$6/1,0)*1+'Main_O+R_WTC'!$G$45</f>
        <v>115</v>
      </c>
      <c r="AI13" s="5">
        <f>+ROUND('Main_O+R_WTC'!$G$43*AI$6/1,0)*1+'Main_O+R_WTC'!$G$45</f>
        <v>132</v>
      </c>
      <c r="AJ13" s="5">
        <f>+ROUND('Main_O+R_WTC'!$G$43*AJ$6/1,0)*1+'Main_O+R_WTC'!$G$45</f>
        <v>132</v>
      </c>
      <c r="AK13" s="5">
        <f>+ROUND('Main_O+R_WTC'!$G$43*AK$6/1,0)*1+'Main_O+R_WTC'!$G$45</f>
        <v>132</v>
      </c>
      <c r="AL13" s="5">
        <f>+ROUND('Main_O+R_WTC'!$G$43*AL$6/1,0)*1+'Main_O+R_WTC'!$G$45</f>
        <v>132</v>
      </c>
      <c r="AM13" s="5">
        <f>+ROUND('Main_O+R_WTC'!$G$43*AM$6/1,0)*1+'Main_O+R_WTC'!$G$45</f>
        <v>132</v>
      </c>
      <c r="AN13" s="5">
        <f>+ROUND('Main_O+R_WTC'!$G$43*AN$6/1,0)*1+'Main_O+R_WTC'!$G$45</f>
        <v>132</v>
      </c>
      <c r="AO13" s="5">
        <f>+ROUND('Main_O+R_WTC'!$G$43*AO$6/1,0)*1+'Main_O+R_WTC'!$G$45</f>
        <v>132</v>
      </c>
      <c r="AP13" s="5">
        <f>+ROUND('Main_O+R_WTC'!$G$43*AP$6/1,0)*1+'Main_O+R_WTC'!$G$45</f>
        <v>132</v>
      </c>
      <c r="AQ13" s="5">
        <f>+ROUND('Main_O+R_WTC'!$G$43*AQ$6/1,0)*1+'Main_O+R_WTC'!$G$45</f>
        <v>132</v>
      </c>
    </row>
    <row r="14" spans="1:55">
      <c r="B14" s="5" t="s">
        <v>48</v>
      </c>
      <c r="H14" s="5">
        <f>+'Main_O+R_WTC'!$G$44</f>
        <v>175</v>
      </c>
      <c r="I14" s="5">
        <f>+ROUND('Main_O+R_WTC'!$G$44/5,0)*5</f>
        <v>175</v>
      </c>
      <c r="J14" s="5">
        <f>+ROUND('Main_O+R_WTC'!$G$44/5,0)*5</f>
        <v>175</v>
      </c>
      <c r="K14" s="5">
        <f>+ROUND('Main_O+R_WTC'!$G$44/5,0)*5</f>
        <v>175</v>
      </c>
      <c r="L14" s="5">
        <f>+ROUND('Main_O+R_WTC'!$G$44/5,0)*5</f>
        <v>175</v>
      </c>
      <c r="M14" s="5">
        <f>+ROUND('Main_O+R_WTC'!$G$44/5,0)*5</f>
        <v>175</v>
      </c>
      <c r="N14" s="5">
        <f>+ROUND('Main_O+R_WTC'!$G$44/5,0)*5</f>
        <v>175</v>
      </c>
      <c r="O14" s="5">
        <f>+ROUND('Main_O+R_WTC'!$G$44/5,0)*5</f>
        <v>175</v>
      </c>
      <c r="P14" s="5">
        <f>+ROUND('Main_O+R_WTC'!$G$44/5,0)*5</f>
        <v>175</v>
      </c>
      <c r="Q14" s="5">
        <f>+ROUND('Main_O+R_WTC'!$G$44/5,0)*5</f>
        <v>175</v>
      </c>
      <c r="R14" s="5">
        <f>+ROUND('Main_O+R_WTC'!$G$44/5,0)*5</f>
        <v>175</v>
      </c>
      <c r="S14" s="5">
        <f>+ROUND('Main_O+R_WTC'!$G$44/5,0)*5</f>
        <v>175</v>
      </c>
      <c r="T14" s="5">
        <f>+ROUND('Main_O+R_WTC'!$G$44/5,0)*5</f>
        <v>175</v>
      </c>
      <c r="U14" s="5">
        <f>+ROUND('Main_O+R_WTC'!$G$44/5,0)*5</f>
        <v>175</v>
      </c>
      <c r="V14" s="5">
        <f>+ROUND('Main_O+R_WTC'!$G$44/5,0)*5</f>
        <v>175</v>
      </c>
      <c r="W14" s="5">
        <f>+ROUND('Main_O+R_WTC'!$G$44/5,0)*5</f>
        <v>175</v>
      </c>
      <c r="X14" s="5">
        <f>+ROUND('Main_O+R_WTC'!$G$44/5,0)*5</f>
        <v>175</v>
      </c>
      <c r="Y14" s="5">
        <f>+ROUND('Main_O+R_WTC'!$G$44/5,0)*5</f>
        <v>175</v>
      </c>
      <c r="Z14" s="5">
        <f>+ROUND('Main_O+R_WTC'!$G$44/5,0)*5</f>
        <v>175</v>
      </c>
      <c r="AA14" s="5">
        <f>+ROUND('Main_O+R_WTC'!$G$44/5,0)*5</f>
        <v>175</v>
      </c>
      <c r="AB14" s="5">
        <f>+ROUND('Main_O+R_WTC'!$G$44/5,0)*5</f>
        <v>175</v>
      </c>
      <c r="AC14" s="5">
        <f>+ROUND('Main_O+R_WTC'!$G$44/5,0)*5</f>
        <v>175</v>
      </c>
      <c r="AD14" s="5">
        <f>+ROUND('Main_O+R_WTC'!$G$44/5,0)*5</f>
        <v>175</v>
      </c>
      <c r="AE14" s="5">
        <f>+ROUND('Main_O+R_WTC'!$G$44/5,0)*5</f>
        <v>175</v>
      </c>
      <c r="AF14" s="5">
        <f>+ROUND('Main_O+R_WTC'!$G$44/5,0)*5</f>
        <v>175</v>
      </c>
      <c r="AG14" s="5">
        <f>+ROUND('Main_O+R_WTC'!$G$44/5,0)*5</f>
        <v>175</v>
      </c>
      <c r="AH14" s="5">
        <f>+ROUND('Main_O+R_WTC'!$G$44/5,0)*5</f>
        <v>175</v>
      </c>
      <c r="AI14" s="5">
        <f>+ROUND('Main_O+R_WTC'!$G$44/5,0)*5</f>
        <v>175</v>
      </c>
      <c r="AJ14" s="5">
        <f>+ROUND('Main_O+R_WTC'!$G$44/5,0)*5</f>
        <v>175</v>
      </c>
      <c r="AK14" s="5">
        <f>+ROUND('Main_O+R_WTC'!$G$44/5,0)*5</f>
        <v>175</v>
      </c>
      <c r="AL14" s="5">
        <f>+ROUND('Main_O+R_WTC'!$G$44/5,0)*5</f>
        <v>175</v>
      </c>
      <c r="AM14" s="5">
        <f>+ROUND('Main_O+R_WTC'!$G$44/5,0)*5</f>
        <v>175</v>
      </c>
      <c r="AN14" s="5">
        <f>+ROUND('Main_O+R_WTC'!$G$44/5,0)*5</f>
        <v>175</v>
      </c>
      <c r="AO14" s="5">
        <f>+ROUND('Main_O+R_WTC'!$G$44/5,0)*5</f>
        <v>175</v>
      </c>
      <c r="AP14" s="5">
        <f>+ROUND('Main_O+R_WTC'!$G$44/5,0)*5</f>
        <v>175</v>
      </c>
      <c r="AQ14" s="5">
        <f>+ROUND('Main_O+R_WTC'!$G$44/5,0)*5</f>
        <v>175</v>
      </c>
    </row>
    <row r="15" spans="1:55">
      <c r="B15" s="5" t="s">
        <v>47</v>
      </c>
      <c r="H15" s="5">
        <f>+'Main_O+R_WTC'!$G$46*'PH1_O+R'!H6</f>
        <v>25</v>
      </c>
      <c r="I15" s="5">
        <f>+ROUND('Main_O+R_WTC'!$G$46*'PH1_O+R'!I6/1,0)*1</f>
        <v>25</v>
      </c>
      <c r="J15" s="5">
        <f>+ROUND('Main_O+R_WTC'!$G$46*'PH1_O+R'!J6/1,0)*1</f>
        <v>25</v>
      </c>
      <c r="K15" s="5">
        <f>+ROUND('Main_O+R_WTC'!$G$46*'PH1_O+R'!K6/1,0)*1</f>
        <v>25</v>
      </c>
      <c r="L15" s="5">
        <f>+ROUND('Main_O+R_WTC'!$G$46*'PH1_O+R'!L6/1,0)*1</f>
        <v>25</v>
      </c>
      <c r="M15" s="5">
        <f>+ROUND('Main_O+R_WTC'!$G$46*'PH1_O+R'!M6/1,0)*1</f>
        <v>25</v>
      </c>
      <c r="N15" s="5">
        <f>+ROUND('Main_O+R_WTC'!$G$46*'PH1_O+R'!N6/1,0)*1</f>
        <v>25</v>
      </c>
      <c r="O15" s="5">
        <f>+ROUND('Main_O+R_WTC'!$G$46*'PH1_O+R'!O6/1,0)*1</f>
        <v>25</v>
      </c>
      <c r="P15" s="5">
        <f>+ROUND('Main_O+R_WTC'!$G$46*'PH1_O+R'!P6/1,0)*1</f>
        <v>25</v>
      </c>
      <c r="Q15" s="5">
        <f>+ROUND('Main_O+R_WTC'!$G$46*'PH1_O+R'!Q6/1,0)*1</f>
        <v>25</v>
      </c>
      <c r="R15" s="5">
        <f>+ROUND('Main_O+R_WTC'!$G$46*'PH1_O+R'!R6/1,0)*1</f>
        <v>25</v>
      </c>
      <c r="S15" s="5">
        <f>+ROUND('Main_O+R_WTC'!$G$46*'PH1_O+R'!S6/1,0)*1</f>
        <v>25</v>
      </c>
      <c r="T15" s="5">
        <f>+ROUND('Main_O+R_WTC'!$G$46*'PH1_O+R'!T6/1,0)*1</f>
        <v>25</v>
      </c>
      <c r="U15" s="5">
        <f>+ROUND('Main_O+R_WTC'!$G$46*'PH1_O+R'!U6/1,0)*1</f>
        <v>25</v>
      </c>
      <c r="V15" s="5">
        <f>+ROUND('Main_O+R_WTC'!$G$46*'PH1_O+R'!V6/1,0)*1</f>
        <v>25</v>
      </c>
      <c r="W15" s="5">
        <f>+ROUND('Main_O+R_WTC'!$G$46*'PH1_O+R'!W6/1,0)*1</f>
        <v>25</v>
      </c>
      <c r="X15" s="5">
        <f>+ROUND('Main_O+R_WTC'!$G$46*'PH1_O+R'!X6/1,0)*1</f>
        <v>25</v>
      </c>
      <c r="Y15" s="5">
        <f>+ROUND('Main_O+R_WTC'!$G$46*'PH1_O+R'!Y6/1,0)*1</f>
        <v>25</v>
      </c>
      <c r="Z15" s="5">
        <f>+ROUND('Main_O+R_WTC'!$G$46*'PH1_O+R'!Z6/1,0)*1</f>
        <v>25</v>
      </c>
      <c r="AA15" s="5">
        <f>+ROUND('Main_O+R_WTC'!$G$46*'PH1_O+R'!AA6/1,0)*1</f>
        <v>25</v>
      </c>
      <c r="AB15" s="5">
        <f>+ROUND('Main_O+R_WTC'!$G$46*'PH1_O+R'!AB6/1,0)*1</f>
        <v>25</v>
      </c>
      <c r="AC15" s="5">
        <f>+ROUND('Main_O+R_WTC'!$G$46*'PH1_O+R'!AC6/1,0)*1</f>
        <v>25</v>
      </c>
      <c r="AD15" s="5">
        <f>+ROUND('Main_O+R_WTC'!$G$46*'PH1_O+R'!AD6/1,0)*1</f>
        <v>25</v>
      </c>
      <c r="AE15" s="5">
        <f>+ROUND('Main_O+R_WTC'!$G$46*'PH1_O+R'!AE6/1,0)*1</f>
        <v>25</v>
      </c>
      <c r="AF15" s="5">
        <f>+ROUND('Main_O+R_WTC'!$G$46*'PH1_O+R'!AF6/1,0)*1</f>
        <v>25</v>
      </c>
      <c r="AG15" s="5">
        <f>+ROUND('Main_O+R_WTC'!$G$46*'PH1_O+R'!AG6/1,0)*1</f>
        <v>25</v>
      </c>
      <c r="AH15" s="5">
        <f>+ROUND('Main_O+R_WTC'!$G$46*'PH1_O+R'!AH6/1,0)*1</f>
        <v>25</v>
      </c>
      <c r="AI15" s="5">
        <f>+ROUND('Main_O+R_WTC'!$G$46*'PH1_O+R'!AI6/1,0)*1</f>
        <v>29</v>
      </c>
      <c r="AJ15" s="5">
        <f>+ROUND('Main_O+R_WTC'!$G$46*'PH1_O+R'!AJ6/1,0)*1</f>
        <v>29</v>
      </c>
      <c r="AK15" s="5">
        <f>+ROUND('Main_O+R_WTC'!$G$46*'PH1_O+R'!AK6/1,0)*1</f>
        <v>29</v>
      </c>
      <c r="AL15" s="5">
        <f>+ROUND('Main_O+R_WTC'!$G$46*'PH1_O+R'!AL6/1,0)*1</f>
        <v>29</v>
      </c>
      <c r="AM15" s="5">
        <f>+ROUND('Main_O+R_WTC'!$G$46*'PH1_O+R'!AM6/1,0)*1</f>
        <v>29</v>
      </c>
      <c r="AN15" s="5">
        <f>+ROUND('Main_O+R_WTC'!$G$46*'PH1_O+R'!AN6/1,0)*1</f>
        <v>29</v>
      </c>
      <c r="AO15" s="5">
        <f>+ROUND('Main_O+R_WTC'!$G$46*'PH1_O+R'!AO6/1,0)*1</f>
        <v>29</v>
      </c>
      <c r="AP15" s="5">
        <f>+ROUND('Main_O+R_WTC'!$G$46*'PH1_O+R'!AP6/1,0)*1</f>
        <v>29</v>
      </c>
      <c r="AQ15" s="5">
        <f>+ROUND('Main_O+R_WTC'!$G$46*'PH1_O+R'!AQ6/1,0)*1</f>
        <v>29</v>
      </c>
    </row>
    <row r="17" spans="2:43">
      <c r="B17" s="5" t="s">
        <v>194</v>
      </c>
    </row>
    <row r="18" spans="2:43">
      <c r="B18" s="47" t="s">
        <v>50</v>
      </c>
      <c r="C18" s="31"/>
      <c r="D18" s="31"/>
      <c r="E18" s="31"/>
      <c r="F18" s="31"/>
      <c r="G18" s="45"/>
      <c r="H18" s="45">
        <f>+IF(AND(H4&gt;'Main_O+R_WTC'!$H$25,H4&lt;=('Main_O+R_WTC'!$H$25+'Main_O+R_WTC'!$H$40)),1/'Main_O+R_WTC'!$H$40,0)+G18</f>
        <v>0</v>
      </c>
      <c r="I18" s="45">
        <f>+IF(AND(I4&gt;'Main_O+R_WTC'!$H$25,I4&lt;=('Main_O+R_WTC'!$H$25+'Main_O+R_WTC'!$H$40)),1/'Main_O+R_WTC'!$H$40,0)+H18</f>
        <v>0</v>
      </c>
      <c r="J18" s="45">
        <f>+IF(AND(J4&gt;'Main_O+R_WTC'!$H$25,J4&lt;=('Main_O+R_WTC'!$H$25+'Main_O+R_WTC'!$H$40)),1/'Main_O+R_WTC'!$H$40,0)+I18</f>
        <v>0</v>
      </c>
      <c r="K18" s="45">
        <f>+IF(AND(K4&gt;'Main_O+R_WTC'!$H$25,K4&lt;=('Main_O+R_WTC'!$H$25+'Main_O+R_WTC'!$H$40)),1/'Main_O+R_WTC'!$H$40,0)+J18</f>
        <v>0</v>
      </c>
      <c r="L18" s="45">
        <f>+IF(AND(L4&gt;'Main_O+R_WTC'!$H$25,L4&lt;=('Main_O+R_WTC'!$H$25+'Main_O+R_WTC'!$H$40)),1/'Main_O+R_WTC'!$H$40,0)+K18</f>
        <v>0</v>
      </c>
      <c r="M18" s="45">
        <f>+IF(AND(M4&gt;'Main_O+R_WTC'!$H$25,M4&lt;=('Main_O+R_WTC'!$H$25+'Main_O+R_WTC'!$H$40)),1/'Main_O+R_WTC'!$H$40,0)+L18</f>
        <v>0</v>
      </c>
      <c r="N18" s="45">
        <f>+IF(AND(N4&gt;'Main_O+R_WTC'!$H$25,N4&lt;=('Main_O+R_WTC'!$H$25+'Main_O+R_WTC'!$H$40)),1/'Main_O+R_WTC'!$H$40,0)+M18</f>
        <v>0</v>
      </c>
      <c r="O18" s="45">
        <f>+IF(AND(O4&gt;'Main_O+R_WTC'!$H$25,O4&lt;=('Main_O+R_WTC'!$H$25+'Main_O+R_WTC'!$H$40)),1/'Main_O+R_WTC'!$H$40,0)+N18</f>
        <v>0</v>
      </c>
      <c r="P18" s="45">
        <f>+IF(AND(P4&gt;'Main_O+R_WTC'!$H$25,P4&lt;=('Main_O+R_WTC'!$H$25+'Main_O+R_WTC'!$H$40)),1/'Main_O+R_WTC'!$H$40,0)+O18</f>
        <v>0</v>
      </c>
      <c r="Q18" s="45">
        <f>+IF(AND(Q4&gt;'Main_O+R_WTC'!$H$25,Q4&lt;=('Main_O+R_WTC'!$H$25+'Main_O+R_WTC'!$H$40)),1/'Main_O+R_WTC'!$H$40,0)+P18</f>
        <v>0</v>
      </c>
      <c r="R18" s="45">
        <f>+IF(AND(R4&gt;'Main_O+R_WTC'!$H$25,R4&lt;=('Main_O+R_WTC'!$H$25+'Main_O+R_WTC'!$H$40)),1/'Main_O+R_WTC'!$H$40,0)+Q18</f>
        <v>0</v>
      </c>
      <c r="S18" s="45">
        <f>+IF(AND(S4&gt;'Main_O+R_WTC'!$H$25,S4&lt;=('Main_O+R_WTC'!$H$25+'Main_O+R_WTC'!$H$40)),1/'Main_O+R_WTC'!$H$40,0)+R18</f>
        <v>0</v>
      </c>
      <c r="T18" s="45">
        <f>+IF(AND(T4&gt;'Main_O+R_WTC'!$H$25,T4&lt;=('Main_O+R_WTC'!$H$25+'Main_O+R_WTC'!$H$40)),1/'Main_O+R_WTC'!$H$40,0)+S18</f>
        <v>0</v>
      </c>
      <c r="U18" s="45">
        <f>+IF(AND(U4&gt;'Main_O+R_WTC'!$H$25,U4&lt;=('Main_O+R_WTC'!$H$25+'Main_O+R_WTC'!$H$40)),1/'Main_O+R_WTC'!$H$40,0)+T18</f>
        <v>0</v>
      </c>
      <c r="V18" s="45">
        <f>+IF(AND(V4&gt;'Main_O+R_WTC'!$H$25,V4&lt;=('Main_O+R_WTC'!$H$25+'Main_O+R_WTC'!$H$40)),1/'Main_O+R_WTC'!$H$40,0)+U18</f>
        <v>0</v>
      </c>
      <c r="W18" s="45">
        <f>+IF(AND(W4&gt;'Main_O+R_WTC'!$H$25,W4&lt;=('Main_O+R_WTC'!$H$25+'Main_O+R_WTC'!$H$40)),1/'Main_O+R_WTC'!$H$40,0)+V18</f>
        <v>0</v>
      </c>
      <c r="X18" s="45">
        <f>+IF(AND(X4&gt;'Main_O+R_WTC'!$H$25,X4&lt;=('Main_O+R_WTC'!$H$25+'Main_O+R_WTC'!$H$40)),1/'Main_O+R_WTC'!$H$40,0)+W18</f>
        <v>0.25</v>
      </c>
      <c r="Y18" s="45">
        <f>+IF(AND(Y4&gt;'Main_O+R_WTC'!$H$25,Y4&lt;=('Main_O+R_WTC'!$H$25+'Main_O+R_WTC'!$H$40)),1/'Main_O+R_WTC'!$H$40,0)+X18</f>
        <v>0.5</v>
      </c>
      <c r="Z18" s="45">
        <f>+IF(AND(Z4&gt;'Main_O+R_WTC'!$H$25,Z4&lt;=('Main_O+R_WTC'!$H$25+'Main_O+R_WTC'!$H$40)),1/'Main_O+R_WTC'!$H$40,0)+Y18</f>
        <v>0.75</v>
      </c>
      <c r="AA18" s="45">
        <f>+IF(AND(AA4&gt;'Main_O+R_WTC'!$H$25,AA4&lt;=('Main_O+R_WTC'!$H$25+'Main_O+R_WTC'!$H$40)),1/'Main_O+R_WTC'!$H$40,0)+Z18</f>
        <v>1</v>
      </c>
      <c r="AB18" s="45">
        <f>+IF(AND(AB4&gt;'Main_O+R_WTC'!$H$25,AB4&lt;=('Main_O+R_WTC'!$H$25+'Main_O+R_WTC'!$H$40)),1/'Main_O+R_WTC'!$H$40,0)+AA18</f>
        <v>1</v>
      </c>
      <c r="AC18" s="45">
        <f>+IF(AND(AC4&gt;'Main_O+R_WTC'!$H$25,AC4&lt;=('Main_O+R_WTC'!$H$25+'Main_O+R_WTC'!$H$40)),1/'Main_O+R_WTC'!$H$40,0)+AB18</f>
        <v>1</v>
      </c>
      <c r="AD18" s="45">
        <f>+IF(AND(AD4&gt;'Main_O+R_WTC'!$H$25,AD4&lt;=('Main_O+R_WTC'!$H$25+'Main_O+R_WTC'!$H$40)),1/'Main_O+R_WTC'!$H$40,0)+AC18</f>
        <v>1</v>
      </c>
      <c r="AE18" s="45">
        <f>+IF(AND(AE4&gt;'Main_O+R_WTC'!$H$25,AE4&lt;=('Main_O+R_WTC'!$H$25+'Main_O+R_WTC'!$H$40)),1/'Main_O+R_WTC'!$H$40,0)+AD18</f>
        <v>1</v>
      </c>
      <c r="AF18" s="45">
        <f>+IF(AND(AF4&gt;'Main_O+R_WTC'!$H$25,AF4&lt;=('Main_O+R_WTC'!$H$25+'Main_O+R_WTC'!$H$40)),1/'Main_O+R_WTC'!$H$40,0)+AE18</f>
        <v>1</v>
      </c>
      <c r="AG18" s="45">
        <f>+IF(AND(AG4&gt;'Main_O+R_WTC'!$H$25,AG4&lt;=('Main_O+R_WTC'!$H$25+'Main_O+R_WTC'!$H$40)),1/'Main_O+R_WTC'!$H$40,0)+AF18</f>
        <v>1</v>
      </c>
      <c r="AH18" s="45">
        <f>+IF(AND(AH4&gt;'Main_O+R_WTC'!$H$25,AH4&lt;=('Main_O+R_WTC'!$H$25+'Main_O+R_WTC'!$H$40)),1/'Main_O+R_WTC'!$H$40,0)+AG18</f>
        <v>1</v>
      </c>
      <c r="AI18" s="45">
        <f>+IF(AND(AI4&gt;'Main_O+R_WTC'!$H$25,AI4&lt;=('Main_O+R_WTC'!$H$25+'Main_O+R_WTC'!$H$40)),1/'Main_O+R_WTC'!$H$40,0)+AH18</f>
        <v>1</v>
      </c>
      <c r="AJ18" s="45">
        <f>+IF(AND(AJ4&gt;'Main_O+R_WTC'!$H$25,AJ4&lt;=('Main_O+R_WTC'!$H$25+'Main_O+R_WTC'!$H$40)),1/'Main_O+R_WTC'!$H$40,0)+AI18</f>
        <v>1</v>
      </c>
      <c r="AK18" s="45">
        <f>+IF(AND(AK4&gt;'Main_O+R_WTC'!$H$25,AK4&lt;=('Main_O+R_WTC'!$H$25+'Main_O+R_WTC'!$H$40)),1/'Main_O+R_WTC'!$H$40,0)+AJ18</f>
        <v>1</v>
      </c>
      <c r="AL18" s="45">
        <f>+IF(AND(AL4&gt;'Main_O+R_WTC'!$H$25,AL4&lt;=('Main_O+R_WTC'!$H$25+'Main_O+R_WTC'!$H$40)),1/'Main_O+R_WTC'!$H$40,0)+AK18</f>
        <v>1</v>
      </c>
      <c r="AM18" s="45">
        <f>+IF(AND(AM4&gt;'Main_O+R_WTC'!$H$25,AM4&lt;=('Main_O+R_WTC'!$H$25+'Main_O+R_WTC'!$H$40)),1/'Main_O+R_WTC'!$H$40,0)+AL18</f>
        <v>1</v>
      </c>
      <c r="AN18" s="45">
        <f>+IF(AND(AN4&gt;'Main_O+R_WTC'!$H$25,AN4&lt;=('Main_O+R_WTC'!$H$25+'Main_O+R_WTC'!$H$40)),1/'Main_O+R_WTC'!$H$40,0)+AM18</f>
        <v>1</v>
      </c>
      <c r="AO18" s="45">
        <f>+IF(AND(AO4&gt;'Main_O+R_WTC'!$H$25,AO4&lt;=('Main_O+R_WTC'!$H$25+'Main_O+R_WTC'!$H$40)),1/'Main_O+R_WTC'!$H$40,0)+AN18</f>
        <v>1</v>
      </c>
      <c r="AP18" s="45">
        <f>+IF(AND(AP4&gt;'Main_O+R_WTC'!$H$25,AP4&lt;=('Main_O+R_WTC'!$H$25+'Main_O+R_WTC'!$H$40)),1/'Main_O+R_WTC'!$H$40,0)+AO18</f>
        <v>1</v>
      </c>
      <c r="AQ18" s="45">
        <f>+IF(AND(AQ4&gt;'Main_O+R_WTC'!$H$25,AQ4&lt;=('Main_O+R_WTC'!$H$25+'Main_O+R_WTC'!$H$40)),1/'Main_O+R_WTC'!$H$40,0)+AP18</f>
        <v>1</v>
      </c>
    </row>
    <row r="19" spans="2:43">
      <c r="B19" s="13" t="s">
        <v>17</v>
      </c>
      <c r="H19" s="5">
        <f>(H13*'Main_O+R_WTC'!$H$15)*(H18*3/10^7)*(H$4&lt;='Main_O+R_WTC'!$G$54)</f>
        <v>0</v>
      </c>
      <c r="I19" s="5">
        <f>(I13*'Main_O+R_WTC'!$H$15)*(I18*3/10^7)*(I$4&lt;='Main_O+R_WTC'!$G$54)</f>
        <v>0</v>
      </c>
      <c r="J19" s="5">
        <f>(J13*'Main_O+R_WTC'!$H$15)*(J18*3/10^7)*(J$4&lt;='Main_O+R_WTC'!$G$54)</f>
        <v>0</v>
      </c>
      <c r="K19" s="5">
        <f>(K13*'Main_O+R_WTC'!$H$15)*(K18*3/10^7)*(K$4&lt;='Main_O+R_WTC'!$G$54)</f>
        <v>0</v>
      </c>
      <c r="L19" s="5">
        <f>(L13*'Main_O+R_WTC'!$H$15)*(L18*3/10^7)*(L$4&lt;='Main_O+R_WTC'!$G$54)</f>
        <v>0</v>
      </c>
      <c r="M19" s="5">
        <f>(M13*'Main_O+R_WTC'!$H$15)*(M18*3/10^7)*(M$4&lt;='Main_O+R_WTC'!$G$54)</f>
        <v>0</v>
      </c>
      <c r="N19" s="5">
        <f>(N13*'Main_O+R_WTC'!$H$15)*(N18*3/10^7)*(N$4&lt;='Main_O+R_WTC'!$G$54)</f>
        <v>0</v>
      </c>
      <c r="O19" s="5">
        <f>(O13*'Main_O+R_WTC'!$H$15)*(O18*3/10^7)*(O$4&lt;='Main_O+R_WTC'!$G$54)</f>
        <v>0</v>
      </c>
      <c r="P19" s="5">
        <f>(P13*'Main_O+R_WTC'!$H$15)*(P18*3/10^7)*(P$4&lt;='Main_O+R_WTC'!$G$54)</f>
        <v>0</v>
      </c>
      <c r="Q19" s="5">
        <f>(Q13*'Main_O+R_WTC'!$H$15)*(Q18*3/10^7)*(Q$4&lt;='Main_O+R_WTC'!$G$54)</f>
        <v>0</v>
      </c>
      <c r="R19" s="5">
        <f>(R13*'Main_O+R_WTC'!$H$15)*(R18*3/10^7)*(R$4&lt;='Main_O+R_WTC'!$G$54)</f>
        <v>0</v>
      </c>
      <c r="S19" s="5">
        <f>(S13*'Main_O+R_WTC'!$H$15)*(S18*3/10^7)*(S$4&lt;='Main_O+R_WTC'!$G$54)</f>
        <v>0</v>
      </c>
      <c r="T19" s="5">
        <f>(T13*'Main_O+R_WTC'!$H$15)*(T18*3/10^7)*(T$4&lt;='Main_O+R_WTC'!$G$54)</f>
        <v>0</v>
      </c>
      <c r="U19" s="5">
        <f>(U13*'Main_O+R_WTC'!$H$15)*(U18*3/10^7)*(U$4&lt;='Main_O+R_WTC'!$G$54)</f>
        <v>0</v>
      </c>
      <c r="V19" s="5">
        <f>(V13*'Main_O+R_WTC'!$H$15)*(V18*3/10^7)*(V$4&lt;='Main_O+R_WTC'!$G$54)</f>
        <v>0</v>
      </c>
      <c r="W19" s="5">
        <f>(W13*'Main_O+R_WTC'!$H$15)*(W18*3/10^7)*(W$4&lt;='Main_O+R_WTC'!$G$54)</f>
        <v>0</v>
      </c>
      <c r="X19" s="5">
        <f>(X13*'Main_O+R_WTC'!$H$15)*(X18*3/10^7)*(X$4&lt;='Main_O+R_WTC'!$G$54)</f>
        <v>3.6923643555705108</v>
      </c>
      <c r="Y19" s="5">
        <f>(Y13*'Main_O+R_WTC'!$H$15)*(Y18*3/10^7)*(Y$4&lt;='Main_O+R_WTC'!$G$54)</f>
        <v>7.3847287111410216</v>
      </c>
      <c r="Z19" s="5">
        <f>(Z13*'Main_O+R_WTC'!$H$15)*(Z18*3/10^7)*(Z$4&lt;='Main_O+R_WTC'!$G$54)</f>
        <v>11.077093066711532</v>
      </c>
      <c r="AA19" s="5">
        <f>(AA13*'Main_O+R_WTC'!$H$15)*(AA18*3/10^7)*(AA$4&lt;='Main_O+R_WTC'!$G$54)</f>
        <v>14.769457422282043</v>
      </c>
      <c r="AB19" s="5">
        <f>(AB13*'Main_O+R_WTC'!$H$15)*(AB18*3/10^7)*(AB$4&lt;='Main_O+R_WTC'!$G$54)</f>
        <v>14.769457422282043</v>
      </c>
      <c r="AC19" s="5">
        <f>(AC13*'Main_O+R_WTC'!$H$15)*(AC18*3/10^7)*(AC$4&lt;='Main_O+R_WTC'!$G$54)</f>
        <v>0</v>
      </c>
      <c r="AD19" s="5">
        <f>(AD13*'Main_O+R_WTC'!$H$15)*(AD18*3/10^7)*(AD$4&lt;='Main_O+R_WTC'!$G$54)</f>
        <v>0</v>
      </c>
      <c r="AE19" s="5">
        <f>(AE13*'Main_O+R_WTC'!$H$15)*(AE18*3/10^7)*(AE$4&lt;='Main_O+R_WTC'!$G$54)</f>
        <v>0</v>
      </c>
      <c r="AF19" s="5">
        <f>(AF13*'Main_O+R_WTC'!$H$15)*(AF18*3/10^7)*(AF$4&lt;='Main_O+R_WTC'!$G$54)</f>
        <v>0</v>
      </c>
      <c r="AG19" s="5">
        <f>(AG13*'Main_O+R_WTC'!$H$15)*(AG18*3/10^7)*(AG$4&lt;='Main_O+R_WTC'!$G$54)</f>
        <v>0</v>
      </c>
      <c r="AH19" s="5">
        <f>(AH13*'Main_O+R_WTC'!$H$15)*(AH18*3/10^7)*(AH$4&lt;='Main_O+R_WTC'!$G$54)</f>
        <v>0</v>
      </c>
      <c r="AI19" s="5">
        <f>(AI13*'Main_O+R_WTC'!$H$15)*(AI18*3/10^7)*(AI$4&lt;='Main_O+R_WTC'!$G$54)</f>
        <v>0</v>
      </c>
      <c r="AJ19" s="5">
        <f>(AJ13*'Main_O+R_WTC'!$H$15)*(AJ18*3/10^7)*(AJ$4&lt;='Main_O+R_WTC'!$G$54)</f>
        <v>0</v>
      </c>
      <c r="AK19" s="5">
        <f>(AK13*'Main_O+R_WTC'!$H$15)*(AK18*3/10^7)*(AK$4&lt;='Main_O+R_WTC'!$G$54)</f>
        <v>0</v>
      </c>
      <c r="AL19" s="5">
        <f>(AL13*'Main_O+R_WTC'!$H$15)*(AL18*3/10^7)*(AL$4&lt;='Main_O+R_WTC'!$G$54)</f>
        <v>0</v>
      </c>
      <c r="AM19" s="5">
        <f>(AM13*'Main_O+R_WTC'!$H$15)*(AM18*3/10^7)*(AM$4&lt;='Main_O+R_WTC'!$G$54)</f>
        <v>0</v>
      </c>
      <c r="AN19" s="5">
        <f>(AN13*'Main_O+R_WTC'!$H$15)*(AN18*3/10^7)*(AN$4&lt;='Main_O+R_WTC'!$G$54)</f>
        <v>0</v>
      </c>
      <c r="AO19" s="5">
        <f>(AO13*'Main_O+R_WTC'!$H$15)*(AO18*3/10^7)*(AO$4&lt;='Main_O+R_WTC'!$G$54)</f>
        <v>0</v>
      </c>
      <c r="AP19" s="5">
        <f>(AP13*'Main_O+R_WTC'!$H$15)*(AP18*3/10^7)*(AP$4&lt;='Main_O+R_WTC'!$G$54)</f>
        <v>0</v>
      </c>
      <c r="AQ19" s="5">
        <f>(AQ13*'Main_O+R_WTC'!$H$15)*(AQ18*3/10^7)*(AQ$4&lt;='Main_O+R_WTC'!$G$54)</f>
        <v>0</v>
      </c>
    </row>
    <row r="20" spans="2:43">
      <c r="B20" s="13" t="s">
        <v>16</v>
      </c>
      <c r="H20" s="5">
        <f>(H14*'Main_O+R_WTC'!$H$14)*(H18*3/10^7)*(H$4&lt;='Main_O+R_WTC'!$G$54)</f>
        <v>0</v>
      </c>
      <c r="I20" s="5">
        <f>(I14*'Main_O+R_WTC'!$H$14)*(I18*3/10^7)*(I$4&lt;='Main_O+R_WTC'!$G$54)</f>
        <v>0</v>
      </c>
      <c r="J20" s="5">
        <f>(J14*'Main_O+R_WTC'!$H$14)*(J18*3/10^7)*(J$4&lt;='Main_O+R_WTC'!$G$54)</f>
        <v>0</v>
      </c>
      <c r="K20" s="5">
        <f>(K14*'Main_O+R_WTC'!$H$14)*(K18*3/10^7)*(K$4&lt;='Main_O+R_WTC'!$G$54)</f>
        <v>0</v>
      </c>
      <c r="L20" s="5">
        <f>(L14*'Main_O+R_WTC'!$H$14)*(L18*3/10^7)*(L$4&lt;='Main_O+R_WTC'!$G$54)</f>
        <v>0</v>
      </c>
      <c r="M20" s="5">
        <f>(M14*'Main_O+R_WTC'!$H$14)*(M18*3/10^7)*(M$4&lt;='Main_O+R_WTC'!$G$54)</f>
        <v>0</v>
      </c>
      <c r="N20" s="5">
        <f>(N14*'Main_O+R_WTC'!$H$14)*(N18*3/10^7)*(N$4&lt;='Main_O+R_WTC'!$G$54)</f>
        <v>0</v>
      </c>
      <c r="O20" s="5">
        <f>(O14*'Main_O+R_WTC'!$H$14)*(O18*3/10^7)*(O$4&lt;='Main_O+R_WTC'!$G$54)</f>
        <v>0</v>
      </c>
      <c r="P20" s="5">
        <f>(P14*'Main_O+R_WTC'!$H$14)*(P18*3/10^7)*(P$4&lt;='Main_O+R_WTC'!$G$54)</f>
        <v>0</v>
      </c>
      <c r="Q20" s="5">
        <f>(Q14*'Main_O+R_WTC'!$H$14)*(Q18*3/10^7)*(Q$4&lt;='Main_O+R_WTC'!$G$54)</f>
        <v>0</v>
      </c>
      <c r="R20" s="5">
        <f>(R14*'Main_O+R_WTC'!$H$14)*(R18*3/10^7)*(R$4&lt;='Main_O+R_WTC'!$G$54)</f>
        <v>0</v>
      </c>
      <c r="S20" s="5">
        <f>(S14*'Main_O+R_WTC'!$H$14)*(S18*3/10^7)*(S$4&lt;='Main_O+R_WTC'!$G$54)</f>
        <v>0</v>
      </c>
      <c r="T20" s="5">
        <f>(T14*'Main_O+R_WTC'!$H$14)*(T18*3/10^7)*(T$4&lt;='Main_O+R_WTC'!$G$54)</f>
        <v>0</v>
      </c>
      <c r="U20" s="5">
        <f>(U14*'Main_O+R_WTC'!$H$14)*(U18*3/10^7)*(U$4&lt;='Main_O+R_WTC'!$G$54)</f>
        <v>0</v>
      </c>
      <c r="V20" s="5">
        <f>(V14*'Main_O+R_WTC'!$H$14)*(V18*3/10^7)*(V$4&lt;='Main_O+R_WTC'!$G$54)</f>
        <v>0</v>
      </c>
      <c r="W20" s="5">
        <f>(W14*'Main_O+R_WTC'!$H$14)*(W18*3/10^7)*(W$4&lt;='Main_O+R_WTC'!$G$54)</f>
        <v>0</v>
      </c>
      <c r="X20" s="5">
        <f>(X14*'Main_O+R_WTC'!$H$14)*(X18*3/10^7)*(X$4&lt;='Main_O+R_WTC'!$G$54)</f>
        <v>0</v>
      </c>
      <c r="Y20" s="5">
        <f>(Y14*'Main_O+R_WTC'!$H$14)*(Y18*3/10^7)*(Y$4&lt;='Main_O+R_WTC'!$G$54)</f>
        <v>0</v>
      </c>
      <c r="Z20" s="5">
        <f>(Z14*'Main_O+R_WTC'!$H$14)*(Z18*3/10^7)*(Z$4&lt;='Main_O+R_WTC'!$G$54)</f>
        <v>0</v>
      </c>
      <c r="AA20" s="5">
        <f>(AA14*'Main_O+R_WTC'!$H$14)*(AA18*3/10^7)*(AA$4&lt;='Main_O+R_WTC'!$G$54)</f>
        <v>0</v>
      </c>
      <c r="AB20" s="5">
        <f>(AB14*'Main_O+R_WTC'!$H$14)*(AB18*3/10^7)*(AB$4&lt;='Main_O+R_WTC'!$G$54)</f>
        <v>0</v>
      </c>
      <c r="AC20" s="5">
        <f>(AC14*'Main_O+R_WTC'!$H$14)*(AC18*3/10^7)*(AC$4&lt;='Main_O+R_WTC'!$G$54)</f>
        <v>0</v>
      </c>
      <c r="AD20" s="5">
        <f>(AD14*'Main_O+R_WTC'!$H$14)*(AD18*3/10^7)*(AD$4&lt;='Main_O+R_WTC'!$G$54)</f>
        <v>0</v>
      </c>
      <c r="AE20" s="5">
        <f>(AE14*'Main_O+R_WTC'!$H$14)*(AE18*3/10^7)*(AE$4&lt;='Main_O+R_WTC'!$G$54)</f>
        <v>0</v>
      </c>
      <c r="AF20" s="5">
        <f>(AF14*'Main_O+R_WTC'!$H$14)*(AF18*3/10^7)*(AF$4&lt;='Main_O+R_WTC'!$G$54)</f>
        <v>0</v>
      </c>
      <c r="AG20" s="5">
        <f>(AG14*'Main_O+R_WTC'!$H$14)*(AG18*3/10^7)*(AG$4&lt;='Main_O+R_WTC'!$G$54)</f>
        <v>0</v>
      </c>
      <c r="AH20" s="5">
        <f>(AH14*'Main_O+R_WTC'!$H$14)*(AH18*3/10^7)*(AH$4&lt;='Main_O+R_WTC'!$G$54)</f>
        <v>0</v>
      </c>
      <c r="AI20" s="5">
        <f>(AI14*'Main_O+R_WTC'!$H$14)*(AI18*3/10^7)*(AI$4&lt;='Main_O+R_WTC'!$G$54)</f>
        <v>0</v>
      </c>
      <c r="AJ20" s="5">
        <f>(AJ14*'Main_O+R_WTC'!$H$14)*(AJ18*3/10^7)*(AJ$4&lt;='Main_O+R_WTC'!$G$54)</f>
        <v>0</v>
      </c>
      <c r="AK20" s="5">
        <f>(AK14*'Main_O+R_WTC'!$H$14)*(AK18*3/10^7)*(AK$4&lt;='Main_O+R_WTC'!$G$54)</f>
        <v>0</v>
      </c>
      <c r="AL20" s="5">
        <f>(AL14*'Main_O+R_WTC'!$H$14)*(AL18*3/10^7)*(AL$4&lt;='Main_O+R_WTC'!$G$54)</f>
        <v>0</v>
      </c>
      <c r="AM20" s="5">
        <f>(AM14*'Main_O+R_WTC'!$H$14)*(AM18*3/10^7)*(AM$4&lt;='Main_O+R_WTC'!$G$54)</f>
        <v>0</v>
      </c>
      <c r="AN20" s="5">
        <f>(AN14*'Main_O+R_WTC'!$H$14)*(AN18*3/10^7)*(AN$4&lt;='Main_O+R_WTC'!$G$54)</f>
        <v>0</v>
      </c>
      <c r="AO20" s="5">
        <f>(AO14*'Main_O+R_WTC'!$H$14)*(AO18*3/10^7)*(AO$4&lt;='Main_O+R_WTC'!$G$54)</f>
        <v>0</v>
      </c>
      <c r="AP20" s="5">
        <f>(AP14*'Main_O+R_WTC'!$H$14)*(AP18*3/10^7)*(AP$4&lt;='Main_O+R_WTC'!$G$54)</f>
        <v>0</v>
      </c>
      <c r="AQ20" s="5">
        <f>(AQ14*'Main_O+R_WTC'!$H$14)*(AQ18*3/10^7)*(AQ$4&lt;='Main_O+R_WTC'!$G$54)</f>
        <v>0</v>
      </c>
    </row>
    <row r="21" spans="2:43">
      <c r="B21" s="13" t="s">
        <v>15</v>
      </c>
      <c r="H21" s="5">
        <f>(('Main_O+R_WTC'!$H$13*'Main_O+R_WTC'!$G$46)*('Main_O+R_WTC'!$G$47*H$6*H$18*3)/(10^7))</f>
        <v>0</v>
      </c>
      <c r="I21" s="5">
        <f>(('Main_O+R_WTC'!$H$13*'Main_O+R_WTC'!$G$46)*('Main_O+R_WTC'!$G$47*I$6*I$18*3)/(10^7))</f>
        <v>0</v>
      </c>
      <c r="J21" s="5">
        <f>(('Main_O+R_WTC'!$H$13*'Main_O+R_WTC'!$G$46)*('Main_O+R_WTC'!$G$47*J$6*J$18*3)/(10^7))</f>
        <v>0</v>
      </c>
      <c r="K21" s="5">
        <f>(('Main_O+R_WTC'!$H$13*'Main_O+R_WTC'!$G$46)*('Main_O+R_WTC'!$G$47*K$6*K$18*3)/(10^7))</f>
        <v>0</v>
      </c>
      <c r="L21" s="5">
        <f>(('Main_O+R_WTC'!$H$13*'Main_O+R_WTC'!$G$46)*('Main_O+R_WTC'!$G$47*L$6*L$18*3)/(10^7))</f>
        <v>0</v>
      </c>
      <c r="M21" s="5">
        <f>(('Main_O+R_WTC'!$H$13*'Main_O+R_WTC'!$G$46)*('Main_O+R_WTC'!$G$47*M$6*M$18*3)/(10^7))</f>
        <v>0</v>
      </c>
      <c r="N21" s="5">
        <f>(('Main_O+R_WTC'!$H$13*'Main_O+R_WTC'!$G$46)*('Main_O+R_WTC'!$G$47*N$6*N$18*3)/(10^7))</f>
        <v>0</v>
      </c>
      <c r="O21" s="5">
        <f>(('Main_O+R_WTC'!$H$13*'Main_O+R_WTC'!$G$46)*('Main_O+R_WTC'!$G$47*O$6*O$18*3)/(10^7))</f>
        <v>0</v>
      </c>
      <c r="P21" s="5">
        <f>(('Main_O+R_WTC'!$H$13*'Main_O+R_WTC'!$G$46)*('Main_O+R_WTC'!$G$47*P$6*P$18*3)/(10^7))</f>
        <v>0</v>
      </c>
      <c r="Q21" s="5">
        <f>(('Main_O+R_WTC'!$H$13*'Main_O+R_WTC'!$G$46)*('Main_O+R_WTC'!$G$47*Q$6*Q$18*3)/(10^7))</f>
        <v>0</v>
      </c>
      <c r="R21" s="5">
        <f>(('Main_O+R_WTC'!$H$13*'Main_O+R_WTC'!$G$46)*('Main_O+R_WTC'!$G$47*R$6*R$18*3)/(10^7))</f>
        <v>0</v>
      </c>
      <c r="S21" s="5">
        <f>(('Main_O+R_WTC'!$H$13*'Main_O+R_WTC'!$G$46)*('Main_O+R_WTC'!$G$47*S$6*S$18*3)/(10^7))</f>
        <v>0</v>
      </c>
      <c r="T21" s="5">
        <f>(('Main_O+R_WTC'!$H$13*'Main_O+R_WTC'!$G$46)*('Main_O+R_WTC'!$G$47*T$6*T$18*3)/(10^7))</f>
        <v>0</v>
      </c>
      <c r="U21" s="5">
        <f>(('Main_O+R_WTC'!$H$13*'Main_O+R_WTC'!$G$46)*('Main_O+R_WTC'!$G$47*U$6*U$18*3)/(10^7))</f>
        <v>0</v>
      </c>
      <c r="V21" s="5">
        <f>(('Main_O+R_WTC'!$H$13*'Main_O+R_WTC'!$G$46)*('Main_O+R_WTC'!$G$47*V$6*V$18*3)/(10^7))</f>
        <v>0</v>
      </c>
      <c r="W21" s="5">
        <f>(('Main_O+R_WTC'!$H$13*'Main_O+R_WTC'!$G$46)*('Main_O+R_WTC'!$G$47*W$6*W$18*3)/(10^7))</f>
        <v>0</v>
      </c>
      <c r="X21" s="5">
        <f>(('Main_O+R_WTC'!$H$13*'Main_O+R_WTC'!$G$46)*('Main_O+R_WTC'!$G$47*X$6*X$18*3)/(10^7))</f>
        <v>0</v>
      </c>
      <c r="Y21" s="5">
        <f>(('Main_O+R_WTC'!$H$13*'Main_O+R_WTC'!$G$46)*('Main_O+R_WTC'!$G$47*Y$6*Y$18*3)/(10^7))</f>
        <v>0</v>
      </c>
      <c r="Z21" s="5">
        <f>(('Main_O+R_WTC'!$H$13*'Main_O+R_WTC'!$G$46)*('Main_O+R_WTC'!$G$47*Z$6*Z$18*3)/(10^7))</f>
        <v>0</v>
      </c>
      <c r="AA21" s="5">
        <f>(('Main_O+R_WTC'!$H$13*'Main_O+R_WTC'!$G$46)*('Main_O+R_WTC'!$G$47*AA$6*AA$18*3)/(10^7))</f>
        <v>0</v>
      </c>
      <c r="AB21" s="5">
        <f>(('Main_O+R_WTC'!$H$13*'Main_O+R_WTC'!$G$46)*('Main_O+R_WTC'!$G$47*AB$6*AB$18*3)/(10^7))</f>
        <v>0</v>
      </c>
      <c r="AC21" s="5">
        <f>(('Main_O+R_WTC'!$H$13*'Main_O+R_WTC'!$G$46)*('Main_O+R_WTC'!$G$47*AC$6*AC$18*3)/(10^7))</f>
        <v>0</v>
      </c>
      <c r="AD21" s="5">
        <f>(('Main_O+R_WTC'!$H$13*'Main_O+R_WTC'!$G$46)*('Main_O+R_WTC'!$G$47*AD$6*AD$18*3)/(10^7))</f>
        <v>0</v>
      </c>
      <c r="AE21" s="5">
        <f>(('Main_O+R_WTC'!$H$13*'Main_O+R_WTC'!$G$46)*('Main_O+R_WTC'!$G$47*AE$6*AE$18*3)/(10^7))</f>
        <v>0</v>
      </c>
      <c r="AF21" s="5">
        <f>(('Main_O+R_WTC'!$H$13*'Main_O+R_WTC'!$G$46)*('Main_O+R_WTC'!$G$47*AF$6*AF$18*3)/(10^7))</f>
        <v>0</v>
      </c>
      <c r="AG21" s="5">
        <f>(('Main_O+R_WTC'!$H$13*'Main_O+R_WTC'!$G$46)*('Main_O+R_WTC'!$G$47*AG$6*AG$18*3)/(10^7))</f>
        <v>0</v>
      </c>
      <c r="AH21" s="5">
        <f>(('Main_O+R_WTC'!$H$13*'Main_O+R_WTC'!$G$46)*('Main_O+R_WTC'!$G$47*AH$6*AH$18*3)/(10^7))</f>
        <v>0</v>
      </c>
      <c r="AI21" s="5">
        <f>(('Main_O+R_WTC'!$H$13*'Main_O+R_WTC'!$G$46)*('Main_O+R_WTC'!$G$47*AI$6*AI$18*3)/(10^7))</f>
        <v>0</v>
      </c>
      <c r="AJ21" s="5">
        <f>(('Main_O+R_WTC'!$H$13*'Main_O+R_WTC'!$G$46)*('Main_O+R_WTC'!$G$47*AJ$6*AJ$18*3)/(10^7))</f>
        <v>0</v>
      </c>
      <c r="AK21" s="5">
        <f>(('Main_O+R_WTC'!$H$13*'Main_O+R_WTC'!$G$46)*('Main_O+R_WTC'!$G$47*AK$6*AK$18*3)/(10^7))</f>
        <v>0</v>
      </c>
      <c r="AL21" s="5">
        <f>(('Main_O+R_WTC'!$H$13*'Main_O+R_WTC'!$G$46)*('Main_O+R_WTC'!$G$47*AL$6*AL$18*3)/(10^7))</f>
        <v>0</v>
      </c>
      <c r="AM21" s="5">
        <f>(('Main_O+R_WTC'!$H$13*'Main_O+R_WTC'!$G$46)*('Main_O+R_WTC'!$G$47*AM$6*AM$18*3)/(10^7))</f>
        <v>0</v>
      </c>
      <c r="AN21" s="5">
        <f>(('Main_O+R_WTC'!$H$13*'Main_O+R_WTC'!$G$46)*('Main_O+R_WTC'!$G$47*AN$6*AN$18*3)/(10^7))</f>
        <v>0</v>
      </c>
      <c r="AO21" s="5">
        <f>(('Main_O+R_WTC'!$H$13*'Main_O+R_WTC'!$G$46)*('Main_O+R_WTC'!$G$47*AO$6*AO$18*3)/(10^7))</f>
        <v>0</v>
      </c>
      <c r="AP21" s="5">
        <f>(('Main_O+R_WTC'!$H$13*'Main_O+R_WTC'!$G$46)*('Main_O+R_WTC'!$G$47*AP$6*AP$18*3)/(10^7))</f>
        <v>0</v>
      </c>
      <c r="AQ21" s="5">
        <f>(('Main_O+R_WTC'!$H$13*'Main_O+R_WTC'!$G$46)*('Main_O+R_WTC'!$G$47*AQ$6*AQ$18*3)/(10^7))</f>
        <v>0</v>
      </c>
    </row>
    <row r="23" spans="2:43">
      <c r="B23" s="5" t="s">
        <v>195</v>
      </c>
    </row>
    <row r="24" spans="2:43">
      <c r="B24" s="47" t="s">
        <v>50</v>
      </c>
      <c r="H24" s="45">
        <f>+IF(AND(H4&gt;'Main_O+R_WTC'!$I$25,H4&lt;=('Main_O+R_WTC'!$I$25+'Main_O+R_WTC'!$I$40)),1/'Main_O+R_WTC'!$I$40,0)+G24</f>
        <v>0</v>
      </c>
      <c r="I24" s="45">
        <f>+IF(AND(I4&gt;'Main_O+R_WTC'!$I$25,I4&lt;=('Main_O+R_WTC'!$I$25+'Main_O+R_WTC'!$I$40)),1/'Main_O+R_WTC'!$I$40,0)+H24</f>
        <v>0</v>
      </c>
      <c r="J24" s="45">
        <f>+IF(AND(J4&gt;'Main_O+R_WTC'!$I$25,J4&lt;=('Main_O+R_WTC'!$I$25+'Main_O+R_WTC'!$I$40)),1/'Main_O+R_WTC'!$I$40,0)+I24</f>
        <v>0</v>
      </c>
      <c r="K24" s="45">
        <f>+IF(AND(K4&gt;'Main_O+R_WTC'!$I$25,K4&lt;=('Main_O+R_WTC'!$I$25+'Main_O+R_WTC'!$I$40)),1/'Main_O+R_WTC'!$I$40,0)+J24</f>
        <v>0</v>
      </c>
      <c r="L24" s="45">
        <f>+IF(AND(L4&gt;'Main_O+R_WTC'!$I$25,L4&lt;=('Main_O+R_WTC'!$I$25+'Main_O+R_WTC'!$I$40)),1/'Main_O+R_WTC'!$I$40,0)+K24</f>
        <v>0</v>
      </c>
      <c r="M24" s="45">
        <f>+IF(AND(M4&gt;'Main_O+R_WTC'!$I$25,M4&lt;=('Main_O+R_WTC'!$I$25+'Main_O+R_WTC'!$I$40)),1/'Main_O+R_WTC'!$I$40,0)+L24</f>
        <v>0</v>
      </c>
      <c r="N24" s="45">
        <f>+IF(AND(N4&gt;'Main_O+R_WTC'!$I$25,N4&lt;=('Main_O+R_WTC'!$I$25+'Main_O+R_WTC'!$I$40)),1/'Main_O+R_WTC'!$I$40,0)+M24</f>
        <v>0</v>
      </c>
      <c r="O24" s="45">
        <f>+IF(AND(O4&gt;'Main_O+R_WTC'!$I$25,O4&lt;=('Main_O+R_WTC'!$I$25+'Main_O+R_WTC'!$I$40)),1/'Main_O+R_WTC'!$I$40,0)+N24</f>
        <v>0</v>
      </c>
      <c r="P24" s="45">
        <f>+IF(AND(P4&gt;'Main_O+R_WTC'!$I$25,P4&lt;=('Main_O+R_WTC'!$I$25+'Main_O+R_WTC'!$I$40)),1/'Main_O+R_WTC'!$I$40,0)+O24</f>
        <v>0</v>
      </c>
      <c r="Q24" s="45">
        <f>+IF(AND(Q4&gt;'Main_O+R_WTC'!$I$25,Q4&lt;=('Main_O+R_WTC'!$I$25+'Main_O+R_WTC'!$I$40)),1/'Main_O+R_WTC'!$I$40,0)+P24</f>
        <v>0</v>
      </c>
      <c r="R24" s="45">
        <f>+IF(AND(R4&gt;'Main_O+R_WTC'!$I$25,R4&lt;=('Main_O+R_WTC'!$I$25+'Main_O+R_WTC'!$I$40)),1/'Main_O+R_WTC'!$I$40,0)+Q24</f>
        <v>0</v>
      </c>
      <c r="S24" s="45">
        <f>+IF(AND(S4&gt;'Main_O+R_WTC'!$I$25,S4&lt;=('Main_O+R_WTC'!$I$25+'Main_O+R_WTC'!$I$40)),1/'Main_O+R_WTC'!$I$40,0)+R24</f>
        <v>0</v>
      </c>
      <c r="T24" s="45">
        <f>+IF(AND(T4&gt;'Main_O+R_WTC'!$I$25,T4&lt;=('Main_O+R_WTC'!$I$25+'Main_O+R_WTC'!$I$40)),1/'Main_O+R_WTC'!$I$40,0)+S24</f>
        <v>0</v>
      </c>
      <c r="U24" s="45">
        <f>+IF(AND(U4&gt;'Main_O+R_WTC'!$I$25,U4&lt;=('Main_O+R_WTC'!$I$25+'Main_O+R_WTC'!$I$40)),1/'Main_O+R_WTC'!$I$40,0)+T24</f>
        <v>0</v>
      </c>
      <c r="V24" s="45">
        <f>+IF(AND(V4&gt;'Main_O+R_WTC'!$I$25,V4&lt;=('Main_O+R_WTC'!$I$25+'Main_O+R_WTC'!$I$40)),1/'Main_O+R_WTC'!$I$40,0)+U24</f>
        <v>0</v>
      </c>
      <c r="W24" s="45">
        <f>+IF(AND(W4&gt;'Main_O+R_WTC'!$I$25,W4&lt;=('Main_O+R_WTC'!$I$25+'Main_O+R_WTC'!$I$40)),1/'Main_O+R_WTC'!$I$40,0)+V24</f>
        <v>0</v>
      </c>
      <c r="X24" s="45">
        <f>+IF(AND(X4&gt;'Main_O+R_WTC'!$I$25,X4&lt;=('Main_O+R_WTC'!$I$25+'Main_O+R_WTC'!$I$40)),1/'Main_O+R_WTC'!$I$40,0)+W24</f>
        <v>0.25</v>
      </c>
      <c r="Y24" s="45">
        <f>+IF(AND(Y4&gt;'Main_O+R_WTC'!$I$25,Y4&lt;=('Main_O+R_WTC'!$I$25+'Main_O+R_WTC'!$I$40)),1/'Main_O+R_WTC'!$I$40,0)+X24</f>
        <v>0.5</v>
      </c>
      <c r="Z24" s="45">
        <f>+IF(AND(Z4&gt;'Main_O+R_WTC'!$I$25,Z4&lt;=('Main_O+R_WTC'!$I$25+'Main_O+R_WTC'!$I$40)),1/'Main_O+R_WTC'!$I$40,0)+Y24</f>
        <v>0.75</v>
      </c>
      <c r="AA24" s="45">
        <f>+IF(AND(AA4&gt;'Main_O+R_WTC'!$I$25,AA4&lt;=('Main_O+R_WTC'!$I$25+'Main_O+R_WTC'!$I$40)),1/'Main_O+R_WTC'!$I$40,0)+Z24</f>
        <v>1</v>
      </c>
      <c r="AB24" s="45">
        <f>+IF(AND(AB4&gt;'Main_O+R_WTC'!$I$25,AB4&lt;=('Main_O+R_WTC'!$I$25+'Main_O+R_WTC'!$I$40)),1/'Main_O+R_WTC'!$I$40,0)+AA24</f>
        <v>1</v>
      </c>
      <c r="AC24" s="45">
        <f>+IF(AND(AC4&gt;'Main_O+R_WTC'!$I$25,AC4&lt;=('Main_O+R_WTC'!$I$25+'Main_O+R_WTC'!$I$40)),1/'Main_O+R_WTC'!$I$40,0)+AB24</f>
        <v>1</v>
      </c>
      <c r="AD24" s="45">
        <f>+IF(AND(AD4&gt;'Main_O+R_WTC'!$I$25,AD4&lt;=('Main_O+R_WTC'!$I$25+'Main_O+R_WTC'!$I$40)),1/'Main_O+R_WTC'!$I$40,0)+AC24</f>
        <v>1</v>
      </c>
      <c r="AE24" s="45">
        <f>+IF(AND(AE4&gt;'Main_O+R_WTC'!$I$25,AE4&lt;=('Main_O+R_WTC'!$I$25+'Main_O+R_WTC'!$I$40)),1/'Main_O+R_WTC'!$I$40,0)+AD24</f>
        <v>1</v>
      </c>
      <c r="AF24" s="45">
        <f>+IF(AND(AF4&gt;'Main_O+R_WTC'!$I$25,AF4&lt;=('Main_O+R_WTC'!$I$25+'Main_O+R_WTC'!$I$40)),1/'Main_O+R_WTC'!$I$40,0)+AE24</f>
        <v>1</v>
      </c>
      <c r="AG24" s="45">
        <f>+IF(AND(AG4&gt;'Main_O+R_WTC'!$I$25,AG4&lt;=('Main_O+R_WTC'!$I$25+'Main_O+R_WTC'!$I$40)),1/'Main_O+R_WTC'!$I$40,0)+AF24</f>
        <v>1</v>
      </c>
      <c r="AH24" s="45">
        <f>+IF(AND(AH4&gt;'Main_O+R_WTC'!$I$25,AH4&lt;=('Main_O+R_WTC'!$I$25+'Main_O+R_WTC'!$I$40)),1/'Main_O+R_WTC'!$I$40,0)+AG24</f>
        <v>1</v>
      </c>
      <c r="AI24" s="45">
        <f>+IF(AND(AI4&gt;'Main_O+R_WTC'!$I$25,AI4&lt;=('Main_O+R_WTC'!$I$25+'Main_O+R_WTC'!$I$40)),1/'Main_O+R_WTC'!$I$40,0)+AH24</f>
        <v>1</v>
      </c>
      <c r="AJ24" s="45">
        <f>+IF(AND(AJ4&gt;'Main_O+R_WTC'!$I$25,AJ4&lt;=('Main_O+R_WTC'!$I$25+'Main_O+R_WTC'!$I$40)),1/'Main_O+R_WTC'!$I$40,0)+AI24</f>
        <v>1</v>
      </c>
      <c r="AK24" s="45">
        <f>+IF(AND(AK4&gt;'Main_O+R_WTC'!$I$25,AK4&lt;=('Main_O+R_WTC'!$I$25+'Main_O+R_WTC'!$I$40)),1/'Main_O+R_WTC'!$I$40,0)+AJ24</f>
        <v>1</v>
      </c>
      <c r="AL24" s="45">
        <f>+IF(AND(AL4&gt;'Main_O+R_WTC'!$I$25,AL4&lt;=('Main_O+R_WTC'!$I$25+'Main_O+R_WTC'!$I$40)),1/'Main_O+R_WTC'!$I$40,0)+AK24</f>
        <v>1</v>
      </c>
      <c r="AM24" s="45">
        <f>+IF(AND(AM4&gt;'Main_O+R_WTC'!$I$25,AM4&lt;=('Main_O+R_WTC'!$I$25+'Main_O+R_WTC'!$I$40)),1/'Main_O+R_WTC'!$I$40,0)+AL24</f>
        <v>1</v>
      </c>
      <c r="AN24" s="45">
        <f>+IF(AND(AN4&gt;'Main_O+R_WTC'!$I$25,AN4&lt;=('Main_O+R_WTC'!$I$25+'Main_O+R_WTC'!$I$40)),1/'Main_O+R_WTC'!$I$40,0)+AM24</f>
        <v>1</v>
      </c>
      <c r="AO24" s="45">
        <f>+IF(AND(AO4&gt;'Main_O+R_WTC'!$I$25,AO4&lt;=('Main_O+R_WTC'!$I$25+'Main_O+R_WTC'!$I$40)),1/'Main_O+R_WTC'!$I$40,0)+AN24</f>
        <v>1</v>
      </c>
      <c r="AP24" s="45">
        <f>+IF(AND(AP4&gt;'Main_O+R_WTC'!$I$25,AP4&lt;=('Main_O+R_WTC'!$I$25+'Main_O+R_WTC'!$I$40)),1/'Main_O+R_WTC'!$I$40,0)+AO24</f>
        <v>1</v>
      </c>
      <c r="AQ24" s="45">
        <f>+IF(AND(AQ4&gt;'Main_O+R_WTC'!$I$25,AQ4&lt;=('Main_O+R_WTC'!$I$25+'Main_O+R_WTC'!$I$40)),1/'Main_O+R_WTC'!$I$40,0)+AP24</f>
        <v>1</v>
      </c>
    </row>
    <row r="25" spans="2:43">
      <c r="B25" s="13" t="s">
        <v>17</v>
      </c>
      <c r="H25" s="5">
        <f>(H13*'Main_O+R_WTC'!$I$15)*(H24*3/10^7)*(H$4&lt;='Main_O+R_WTC'!$G$54)</f>
        <v>0</v>
      </c>
      <c r="I25" s="5">
        <f>(I13*'Main_O+R_WTC'!$I$15)*(I24*3/10^7)*(I$4&lt;='Main_O+R_WTC'!$G$54)</f>
        <v>0</v>
      </c>
      <c r="J25" s="5">
        <f>(J13*'Main_O+R_WTC'!$I$15)*(J24*3/10^7)*(J$4&lt;='Main_O+R_WTC'!$G$54)</f>
        <v>0</v>
      </c>
      <c r="K25" s="5">
        <f>(K13*'Main_O+R_WTC'!$I$15)*(K24*3/10^7)*(K$4&lt;='Main_O+R_WTC'!$G$54)</f>
        <v>0</v>
      </c>
      <c r="L25" s="5">
        <f>(L13*'Main_O+R_WTC'!$I$15)*(L24*3/10^7)*(L$4&lt;='Main_O+R_WTC'!$G$54)</f>
        <v>0</v>
      </c>
      <c r="M25" s="5">
        <f>(M13*'Main_O+R_WTC'!$I$15)*(M24*3/10^7)*(M$4&lt;='Main_O+R_WTC'!$G$54)</f>
        <v>0</v>
      </c>
      <c r="N25" s="5">
        <f>(N13*'Main_O+R_WTC'!$I$15)*(N24*3/10^7)*(N$4&lt;='Main_O+R_WTC'!$G$54)</f>
        <v>0</v>
      </c>
      <c r="O25" s="5">
        <f>(O13*'Main_O+R_WTC'!$I$15)*(O24*3/10^7)*(O$4&lt;='Main_O+R_WTC'!$G$54)</f>
        <v>0</v>
      </c>
      <c r="P25" s="5">
        <f>(P13*'Main_O+R_WTC'!$I$15)*(P24*3/10^7)*(P$4&lt;='Main_O+R_WTC'!$G$54)</f>
        <v>0</v>
      </c>
      <c r="Q25" s="5">
        <f>(Q13*'Main_O+R_WTC'!$I$15)*(Q24*3/10^7)*(Q$4&lt;='Main_O+R_WTC'!$G$54)</f>
        <v>0</v>
      </c>
      <c r="R25" s="5">
        <f>(R13*'Main_O+R_WTC'!$I$15)*(R24*3/10^7)*(R$4&lt;='Main_O+R_WTC'!$G$54)</f>
        <v>0</v>
      </c>
      <c r="S25" s="5">
        <f>(S13*'Main_O+R_WTC'!$I$15)*(S24*3/10^7)*(S$4&lt;='Main_O+R_WTC'!$G$54)</f>
        <v>0</v>
      </c>
      <c r="T25" s="5">
        <f>(T13*'Main_O+R_WTC'!$I$15)*(T24*3/10^7)*(T$4&lt;='Main_O+R_WTC'!$G$54)</f>
        <v>0</v>
      </c>
      <c r="U25" s="5">
        <f>(U13*'Main_O+R_WTC'!$I$15)*(U24*3/10^7)*(U$4&lt;='Main_O+R_WTC'!$G$54)</f>
        <v>0</v>
      </c>
      <c r="V25" s="5">
        <f>(V13*'Main_O+R_WTC'!$I$15)*(V24*3/10^7)*(V$4&lt;='Main_O+R_WTC'!$G$54)</f>
        <v>0</v>
      </c>
      <c r="W25" s="5">
        <f>(W13*'Main_O+R_WTC'!$I$15)*(W24*3/10^7)*(W$4&lt;='Main_O+R_WTC'!$G$54)</f>
        <v>0</v>
      </c>
      <c r="X25" s="5">
        <f>(X13*'Main_O+R_WTC'!$I$15)*(X24*3/10^7)*(X$4&lt;='Main_O+R_WTC'!$G$54)</f>
        <v>4.4217001871071924</v>
      </c>
      <c r="Y25" s="5">
        <f>(Y13*'Main_O+R_WTC'!$I$15)*(Y24*3/10^7)*(Y$4&lt;='Main_O+R_WTC'!$G$54)</f>
        <v>8.8434003742143847</v>
      </c>
      <c r="Z25" s="5">
        <f>(Z13*'Main_O+R_WTC'!$I$15)*(Z24*3/10^7)*(Z$4&lt;='Main_O+R_WTC'!$G$54)</f>
        <v>13.265100561321578</v>
      </c>
      <c r="AA25" s="5">
        <f>(AA13*'Main_O+R_WTC'!$I$15)*(AA24*3/10^7)*(AA$4&lt;='Main_O+R_WTC'!$G$54)</f>
        <v>17.686800748428769</v>
      </c>
      <c r="AB25" s="5">
        <f>(AB13*'Main_O+R_WTC'!$I$15)*(AB24*3/10^7)*(AB$4&lt;='Main_O+R_WTC'!$G$54)</f>
        <v>17.686800748428769</v>
      </c>
      <c r="AC25" s="5">
        <f>(AC13*'Main_O+R_WTC'!$I$15)*(AC24*3/10^7)*(AC$4&lt;='Main_O+R_WTC'!$G$54)</f>
        <v>0</v>
      </c>
      <c r="AD25" s="5">
        <f>(AD13*'Main_O+R_WTC'!$I$15)*(AD24*3/10^7)*(AD$4&lt;='Main_O+R_WTC'!$G$54)</f>
        <v>0</v>
      </c>
      <c r="AE25" s="5">
        <f>(AE13*'Main_O+R_WTC'!$I$15)*(AE24*3/10^7)*(AE$4&lt;='Main_O+R_WTC'!$G$54)</f>
        <v>0</v>
      </c>
      <c r="AF25" s="5">
        <f>(AF13*'Main_O+R_WTC'!$I$15)*(AF24*3/10^7)*(AF$4&lt;='Main_O+R_WTC'!$G$54)</f>
        <v>0</v>
      </c>
      <c r="AG25" s="5">
        <f>(AG13*'Main_O+R_WTC'!$I$15)*(AG24*3/10^7)*(AG$4&lt;='Main_O+R_WTC'!$G$54)</f>
        <v>0</v>
      </c>
      <c r="AH25" s="5">
        <f>(AH13*'Main_O+R_WTC'!$I$15)*(AH24*3/10^7)*(AH$4&lt;='Main_O+R_WTC'!$G$54)</f>
        <v>0</v>
      </c>
      <c r="AI25" s="5">
        <f>(AI13*'Main_O+R_WTC'!$I$15)*(AI24*3/10^7)*(AI$4&lt;='Main_O+R_WTC'!$G$54)</f>
        <v>0</v>
      </c>
      <c r="AJ25" s="5">
        <f>(AJ13*'Main_O+R_WTC'!$I$15)*(AJ24*3/10^7)*(AJ$4&lt;='Main_O+R_WTC'!$G$54)</f>
        <v>0</v>
      </c>
      <c r="AK25" s="5">
        <f>(AK13*'Main_O+R_WTC'!$I$15)*(AK24*3/10^7)*(AK$4&lt;='Main_O+R_WTC'!$G$54)</f>
        <v>0</v>
      </c>
      <c r="AL25" s="5">
        <f>(AL13*'Main_O+R_WTC'!$I$15)*(AL24*3/10^7)*(AL$4&lt;='Main_O+R_WTC'!$G$54)</f>
        <v>0</v>
      </c>
      <c r="AM25" s="5">
        <f>(AM13*'Main_O+R_WTC'!$I$15)*(AM24*3/10^7)*(AM$4&lt;='Main_O+R_WTC'!$G$54)</f>
        <v>0</v>
      </c>
      <c r="AN25" s="5">
        <f>(AN13*'Main_O+R_WTC'!$I$15)*(AN24*3/10^7)*(AN$4&lt;='Main_O+R_WTC'!$G$54)</f>
        <v>0</v>
      </c>
      <c r="AO25" s="5">
        <f>(AO13*'Main_O+R_WTC'!$I$15)*(AO24*3/10^7)*(AO$4&lt;='Main_O+R_WTC'!$G$54)</f>
        <v>0</v>
      </c>
      <c r="AP25" s="5">
        <f>(AP13*'Main_O+R_WTC'!$I$15)*(AP24*3/10^7)*(AP$4&lt;='Main_O+R_WTC'!$G$54)</f>
        <v>0</v>
      </c>
      <c r="AQ25" s="5">
        <f>(AQ13*'Main_O+R_WTC'!$I$15)*(AQ24*3/10^7)*(AQ$4&lt;='Main_O+R_WTC'!$G$54)</f>
        <v>0</v>
      </c>
    </row>
    <row r="26" spans="2:43">
      <c r="B26" s="13" t="s">
        <v>16</v>
      </c>
      <c r="H26" s="5">
        <f>(H14*'Main_O+R_WTC'!$I$14)*(H24*3/10^7)*(H$4&lt;='Main_O+R_WTC'!$G$54)</f>
        <v>0</v>
      </c>
      <c r="I26" s="5">
        <f>(I14*'Main_O+R_WTC'!$I$14)*(I24*3/10^7)*(I$4&lt;='Main_O+R_WTC'!$G$54)</f>
        <v>0</v>
      </c>
      <c r="J26" s="5">
        <f>(J14*'Main_O+R_WTC'!$I$14)*(J24*3/10^7)*(J$4&lt;='Main_O+R_WTC'!$G$54)</f>
        <v>0</v>
      </c>
      <c r="K26" s="5">
        <f>(K14*'Main_O+R_WTC'!$I$14)*(K24*3/10^7)*(K$4&lt;='Main_O+R_WTC'!$G$54)</f>
        <v>0</v>
      </c>
      <c r="L26" s="5">
        <f>(L14*'Main_O+R_WTC'!$I$14)*(L24*3/10^7)*(L$4&lt;='Main_O+R_WTC'!$G$54)</f>
        <v>0</v>
      </c>
      <c r="M26" s="5">
        <f>(M14*'Main_O+R_WTC'!$I$14)*(M24*3/10^7)*(M$4&lt;='Main_O+R_WTC'!$G$54)</f>
        <v>0</v>
      </c>
      <c r="N26" s="5">
        <f>(N14*'Main_O+R_WTC'!$I$14)*(N24*3/10^7)*(N$4&lt;='Main_O+R_WTC'!$G$54)</f>
        <v>0</v>
      </c>
      <c r="O26" s="5">
        <f>(O14*'Main_O+R_WTC'!$I$14)*(O24*3/10^7)*(O$4&lt;='Main_O+R_WTC'!$G$54)</f>
        <v>0</v>
      </c>
      <c r="P26" s="5">
        <f>(P14*'Main_O+R_WTC'!$I$14)*(P24*3/10^7)*(P$4&lt;='Main_O+R_WTC'!$G$54)</f>
        <v>0</v>
      </c>
      <c r="Q26" s="5">
        <f>(Q14*'Main_O+R_WTC'!$I$14)*(Q24*3/10^7)*(Q$4&lt;='Main_O+R_WTC'!$G$54)</f>
        <v>0</v>
      </c>
      <c r="R26" s="5">
        <f>(R14*'Main_O+R_WTC'!$I$14)*(R24*3/10^7)*(R$4&lt;='Main_O+R_WTC'!$G$54)</f>
        <v>0</v>
      </c>
      <c r="S26" s="5">
        <f>(S14*'Main_O+R_WTC'!$I$14)*(S24*3/10^7)*(S$4&lt;='Main_O+R_WTC'!$G$54)</f>
        <v>0</v>
      </c>
      <c r="T26" s="5">
        <f>(T14*'Main_O+R_WTC'!$I$14)*(T24*3/10^7)*(T$4&lt;='Main_O+R_WTC'!$G$54)</f>
        <v>0</v>
      </c>
      <c r="U26" s="5">
        <f>(U14*'Main_O+R_WTC'!$I$14)*(U24*3/10^7)*(U$4&lt;='Main_O+R_WTC'!$G$54)</f>
        <v>0</v>
      </c>
      <c r="V26" s="5">
        <f>(V14*'Main_O+R_WTC'!$I$14)*(V24*3/10^7)*(V$4&lt;='Main_O+R_WTC'!$G$54)</f>
        <v>0</v>
      </c>
      <c r="W26" s="5">
        <f>(W14*'Main_O+R_WTC'!$I$14)*(W24*3/10^7)*(W$4&lt;='Main_O+R_WTC'!$G$54)</f>
        <v>0</v>
      </c>
      <c r="X26" s="5">
        <f>(X14*'Main_O+R_WTC'!$I$14)*(X24*3/10^7)*(X$4&lt;='Main_O+R_WTC'!$G$54)</f>
        <v>0</v>
      </c>
      <c r="Y26" s="5">
        <f>(Y14*'Main_O+R_WTC'!$I$14)*(Y24*3/10^7)*(Y$4&lt;='Main_O+R_WTC'!$G$54)</f>
        <v>0</v>
      </c>
      <c r="Z26" s="5">
        <f>(Z14*'Main_O+R_WTC'!$I$14)*(Z24*3/10^7)*(Z$4&lt;='Main_O+R_WTC'!$G$54)</f>
        <v>0</v>
      </c>
      <c r="AA26" s="5">
        <f>(AA14*'Main_O+R_WTC'!$I$14)*(AA24*3/10^7)*(AA$4&lt;='Main_O+R_WTC'!$G$54)</f>
        <v>0</v>
      </c>
      <c r="AB26" s="5">
        <f>(AB14*'Main_O+R_WTC'!$I$14)*(AB24*3/10^7)*(AB$4&lt;='Main_O+R_WTC'!$G$54)</f>
        <v>0</v>
      </c>
      <c r="AC26" s="5">
        <f>(AC14*'Main_O+R_WTC'!$I$14)*(AC24*3/10^7)*(AC$4&lt;='Main_O+R_WTC'!$G$54)</f>
        <v>0</v>
      </c>
      <c r="AD26" s="5">
        <f>(AD14*'Main_O+R_WTC'!$I$14)*(AD24*3/10^7)*(AD$4&lt;='Main_O+R_WTC'!$G$54)</f>
        <v>0</v>
      </c>
      <c r="AE26" s="5">
        <f>(AE14*'Main_O+R_WTC'!$I$14)*(AE24*3/10^7)*(AE$4&lt;='Main_O+R_WTC'!$G$54)</f>
        <v>0</v>
      </c>
      <c r="AF26" s="5">
        <f>(AF14*'Main_O+R_WTC'!$I$14)*(AF24*3/10^7)*(AF$4&lt;='Main_O+R_WTC'!$G$54)</f>
        <v>0</v>
      </c>
      <c r="AG26" s="5">
        <f>(AG14*'Main_O+R_WTC'!$I$14)*(AG24*3/10^7)*(AG$4&lt;='Main_O+R_WTC'!$G$54)</f>
        <v>0</v>
      </c>
      <c r="AH26" s="5">
        <f>(AH14*'Main_O+R_WTC'!$I$14)*(AH24*3/10^7)*(AH$4&lt;='Main_O+R_WTC'!$G$54)</f>
        <v>0</v>
      </c>
      <c r="AI26" s="5">
        <f>(AI14*'Main_O+R_WTC'!$I$14)*(AI24*3/10^7)*(AI$4&lt;='Main_O+R_WTC'!$G$54)</f>
        <v>0</v>
      </c>
      <c r="AJ26" s="5">
        <f>(AJ14*'Main_O+R_WTC'!$I$14)*(AJ24*3/10^7)*(AJ$4&lt;='Main_O+R_WTC'!$G$54)</f>
        <v>0</v>
      </c>
      <c r="AK26" s="5">
        <f>(AK14*'Main_O+R_WTC'!$I$14)*(AK24*3/10^7)*(AK$4&lt;='Main_O+R_WTC'!$G$54)</f>
        <v>0</v>
      </c>
      <c r="AL26" s="5">
        <f>(AL14*'Main_O+R_WTC'!$I$14)*(AL24*3/10^7)*(AL$4&lt;='Main_O+R_WTC'!$G$54)</f>
        <v>0</v>
      </c>
      <c r="AM26" s="5">
        <f>(AM14*'Main_O+R_WTC'!$I$14)*(AM24*3/10^7)*(AM$4&lt;='Main_O+R_WTC'!$G$54)</f>
        <v>0</v>
      </c>
      <c r="AN26" s="5">
        <f>(AN14*'Main_O+R_WTC'!$I$14)*(AN24*3/10^7)*(AN$4&lt;='Main_O+R_WTC'!$G$54)</f>
        <v>0</v>
      </c>
      <c r="AO26" s="5">
        <f>(AO14*'Main_O+R_WTC'!$I$14)*(AO24*3/10^7)*(AO$4&lt;='Main_O+R_WTC'!$G$54)</f>
        <v>0</v>
      </c>
      <c r="AP26" s="5">
        <f>(AP14*'Main_O+R_WTC'!$I$14)*(AP24*3/10^7)*(AP$4&lt;='Main_O+R_WTC'!$G$54)</f>
        <v>0</v>
      </c>
      <c r="AQ26" s="5">
        <f>(AQ14*'Main_O+R_WTC'!$I$14)*(AQ24*3/10^7)*(AQ$4&lt;='Main_O+R_WTC'!$G$54)</f>
        <v>0</v>
      </c>
    </row>
    <row r="27" spans="2:43">
      <c r="B27" s="13" t="s">
        <v>15</v>
      </c>
      <c r="H27" s="5">
        <f>(('Main_O+R_WTC'!$I$13*'Main_O+R_WTC'!$G$46)*('Main_O+R_WTC'!$G$47*H$6*H$24*3)/(10^7))</f>
        <v>0</v>
      </c>
      <c r="I27" s="5">
        <f>(('Main_O+R_WTC'!$I$13*'Main_O+R_WTC'!$G$46)*('Main_O+R_WTC'!$G$47*I$6*I$24*3)/(10^7))</f>
        <v>0</v>
      </c>
      <c r="J27" s="5">
        <f>(('Main_O+R_WTC'!$I$13*'Main_O+R_WTC'!$G$46)*('Main_O+R_WTC'!$G$47*J$6*J$24*3)/(10^7))</f>
        <v>0</v>
      </c>
      <c r="K27" s="5">
        <f>(('Main_O+R_WTC'!$I$13*'Main_O+R_WTC'!$G$46)*('Main_O+R_WTC'!$G$47*K$6*K$24*3)/(10^7))</f>
        <v>0</v>
      </c>
      <c r="L27" s="5">
        <f>(('Main_O+R_WTC'!$I$13*'Main_O+R_WTC'!$G$46)*('Main_O+R_WTC'!$G$47*L$6*L$24*3)/(10^7))</f>
        <v>0</v>
      </c>
      <c r="M27" s="5">
        <f>(('Main_O+R_WTC'!$I$13*'Main_O+R_WTC'!$G$46)*('Main_O+R_WTC'!$G$47*M$6*M$24*3)/(10^7))</f>
        <v>0</v>
      </c>
      <c r="N27" s="5">
        <f>(('Main_O+R_WTC'!$I$13*'Main_O+R_WTC'!$G$46)*('Main_O+R_WTC'!$G$47*N$6*N$24*3)/(10^7))</f>
        <v>0</v>
      </c>
      <c r="O27" s="5">
        <f>(('Main_O+R_WTC'!$I$13*'Main_O+R_WTC'!$G$46)*('Main_O+R_WTC'!$G$47*O$6*O$24*3)/(10^7))</f>
        <v>0</v>
      </c>
      <c r="P27" s="5">
        <f>(('Main_O+R_WTC'!$I$13*'Main_O+R_WTC'!$G$46)*('Main_O+R_WTC'!$G$47*P$6*P$24*3)/(10^7))</f>
        <v>0</v>
      </c>
      <c r="Q27" s="5">
        <f>(('Main_O+R_WTC'!$I$13*'Main_O+R_WTC'!$G$46)*('Main_O+R_WTC'!$G$47*Q$6*Q$24*3)/(10^7))</f>
        <v>0</v>
      </c>
      <c r="R27" s="5">
        <f>(('Main_O+R_WTC'!$I$13*'Main_O+R_WTC'!$G$46)*('Main_O+R_WTC'!$G$47*R$6*R$24*3)/(10^7))</f>
        <v>0</v>
      </c>
      <c r="S27" s="5">
        <f>(('Main_O+R_WTC'!$I$13*'Main_O+R_WTC'!$G$46)*('Main_O+R_WTC'!$G$47*S$6*S$24*3)/(10^7))</f>
        <v>0</v>
      </c>
      <c r="T27" s="5">
        <f>(('Main_O+R_WTC'!$I$13*'Main_O+R_WTC'!$G$46)*('Main_O+R_WTC'!$G$47*T$6*T$24*3)/(10^7))</f>
        <v>0</v>
      </c>
      <c r="U27" s="5">
        <f>(('Main_O+R_WTC'!$I$13*'Main_O+R_WTC'!$G$46)*('Main_O+R_WTC'!$G$47*U$6*U$24*3)/(10^7))</f>
        <v>0</v>
      </c>
      <c r="V27" s="5">
        <f>(('Main_O+R_WTC'!$I$13*'Main_O+R_WTC'!$G$46)*('Main_O+R_WTC'!$G$47*V$6*V$24*3)/(10^7))</f>
        <v>0</v>
      </c>
      <c r="W27" s="5">
        <f>(('Main_O+R_WTC'!$I$13*'Main_O+R_WTC'!$G$46)*('Main_O+R_WTC'!$G$47*W$6*W$24*3)/(10^7))</f>
        <v>0</v>
      </c>
      <c r="X27" s="5">
        <f>(('Main_O+R_WTC'!$I$13*'Main_O+R_WTC'!$G$46)*('Main_O+R_WTC'!$G$47*X$6*X$24*3)/(10^7))</f>
        <v>0</v>
      </c>
      <c r="Y27" s="5">
        <f>(('Main_O+R_WTC'!$I$13*'Main_O+R_WTC'!$G$46)*('Main_O+R_WTC'!$G$47*Y$6*Y$24*3)/(10^7))</f>
        <v>0</v>
      </c>
      <c r="Z27" s="5">
        <f>(('Main_O+R_WTC'!$I$13*'Main_O+R_WTC'!$G$46)*('Main_O+R_WTC'!$G$47*Z$6*Z$24*3)/(10^7))</f>
        <v>0</v>
      </c>
      <c r="AA27" s="5">
        <f>(('Main_O+R_WTC'!$I$13*'Main_O+R_WTC'!$G$46)*('Main_O+R_WTC'!$G$47*AA$6*AA$24*3)/(10^7))</f>
        <v>0</v>
      </c>
      <c r="AB27" s="5">
        <f>(('Main_O+R_WTC'!$I$13*'Main_O+R_WTC'!$G$46)*('Main_O+R_WTC'!$G$47*AB$6*AB$24*3)/(10^7))</f>
        <v>0</v>
      </c>
      <c r="AC27" s="5">
        <f>(('Main_O+R_WTC'!$I$13*'Main_O+R_WTC'!$G$46)*('Main_O+R_WTC'!$G$47*AC$6*AC$24*3)/(10^7))</f>
        <v>0</v>
      </c>
      <c r="AD27" s="5">
        <f>(('Main_O+R_WTC'!$I$13*'Main_O+R_WTC'!$G$46)*('Main_O+R_WTC'!$G$47*AD$6*AD$24*3)/(10^7))</f>
        <v>0</v>
      </c>
      <c r="AE27" s="5">
        <f>(('Main_O+R_WTC'!$I$13*'Main_O+R_WTC'!$G$46)*('Main_O+R_WTC'!$G$47*AE$6*AE$24*3)/(10^7))</f>
        <v>0</v>
      </c>
      <c r="AF27" s="5">
        <f>(('Main_O+R_WTC'!$I$13*'Main_O+R_WTC'!$G$46)*('Main_O+R_WTC'!$G$47*AF$6*AF$24*3)/(10^7))</f>
        <v>0</v>
      </c>
      <c r="AG27" s="5">
        <f>(('Main_O+R_WTC'!$I$13*'Main_O+R_WTC'!$G$46)*('Main_O+R_WTC'!$G$47*AG$6*AG$24*3)/(10^7))</f>
        <v>0</v>
      </c>
      <c r="AH27" s="5">
        <f>(('Main_O+R_WTC'!$I$13*'Main_O+R_WTC'!$G$46)*('Main_O+R_WTC'!$G$47*AH$6*AH$24*3)/(10^7))</f>
        <v>0</v>
      </c>
      <c r="AI27" s="5">
        <f>(('Main_O+R_WTC'!$I$13*'Main_O+R_WTC'!$G$46)*('Main_O+R_WTC'!$G$47*AI$6*AI$24*3)/(10^7))</f>
        <v>0</v>
      </c>
      <c r="AJ27" s="5">
        <f>(('Main_O+R_WTC'!$I$13*'Main_O+R_WTC'!$G$46)*('Main_O+R_WTC'!$G$47*AJ$6*AJ$24*3)/(10^7))</f>
        <v>0</v>
      </c>
      <c r="AK27" s="5">
        <f>(('Main_O+R_WTC'!$I$13*'Main_O+R_WTC'!$G$46)*('Main_O+R_WTC'!$G$47*AK$6*AK$24*3)/(10^7))</f>
        <v>0</v>
      </c>
      <c r="AL27" s="5">
        <f>(('Main_O+R_WTC'!$I$13*'Main_O+R_WTC'!$G$46)*('Main_O+R_WTC'!$G$47*AL$6*AL$24*3)/(10^7))</f>
        <v>0</v>
      </c>
      <c r="AM27" s="5">
        <f>(('Main_O+R_WTC'!$I$13*'Main_O+R_WTC'!$G$46)*('Main_O+R_WTC'!$G$47*AM$6*AM$24*3)/(10^7))</f>
        <v>0</v>
      </c>
      <c r="AN27" s="5">
        <f>(('Main_O+R_WTC'!$I$13*'Main_O+R_WTC'!$G$46)*('Main_O+R_WTC'!$G$47*AN$6*AN$24*3)/(10^7))</f>
        <v>0</v>
      </c>
      <c r="AO27" s="5">
        <f>(('Main_O+R_WTC'!$I$13*'Main_O+R_WTC'!$G$46)*('Main_O+R_WTC'!$G$47*AO$6*AO$24*3)/(10^7))</f>
        <v>0</v>
      </c>
      <c r="AP27" s="5">
        <f>(('Main_O+R_WTC'!$I$13*'Main_O+R_WTC'!$G$46)*('Main_O+R_WTC'!$G$47*AP$6*AP$24*3)/(10^7))</f>
        <v>0</v>
      </c>
      <c r="AQ27" s="5">
        <f>(('Main_O+R_WTC'!$I$13*'Main_O+R_WTC'!$G$46)*('Main_O+R_WTC'!$G$47*AQ$6*AQ$24*3)/(10^7))</f>
        <v>0</v>
      </c>
    </row>
    <row r="28" spans="2:43">
      <c r="B28" s="13"/>
    </row>
    <row r="29" spans="2:43">
      <c r="B29" s="5" t="s">
        <v>196</v>
      </c>
    </row>
    <row r="30" spans="2:43">
      <c r="B30" s="47" t="s">
        <v>50</v>
      </c>
      <c r="H30" s="45">
        <f>+IF(AND(H4&gt;'Main_O+R_WTC'!$J$25,H4&lt;=('Main_O+R_WTC'!$J$25+'Main_O+R_WTC'!$J$40)),1/'Main_O+R_WTC'!$J$40,0)+G30</f>
        <v>0</v>
      </c>
      <c r="I30" s="45">
        <f>+IF(AND(I4&gt;'Main_O+R_WTC'!$J$25,I4&lt;=('Main_O+R_WTC'!$J$25+'Main_O+R_WTC'!$J$40)),1/'Main_O+R_WTC'!$J$40,0)+H30</f>
        <v>0</v>
      </c>
      <c r="J30" s="45">
        <f>+IF(AND(J4&gt;'Main_O+R_WTC'!$J$25,J4&lt;=('Main_O+R_WTC'!$J$25+'Main_O+R_WTC'!$J$40)),1/'Main_O+R_WTC'!$J$40,0)+I30</f>
        <v>0</v>
      </c>
      <c r="K30" s="45">
        <f>+IF(AND(K4&gt;'Main_O+R_WTC'!$J$25,K4&lt;=('Main_O+R_WTC'!$J$25+'Main_O+R_WTC'!$J$40)),1/'Main_O+R_WTC'!$J$40,0)+J30</f>
        <v>0</v>
      </c>
      <c r="L30" s="45">
        <f>+IF(AND(L4&gt;'Main_O+R_WTC'!$J$25,L4&lt;=('Main_O+R_WTC'!$J$25+'Main_O+R_WTC'!$J$40)),1/'Main_O+R_WTC'!$J$40,0)+K30</f>
        <v>0</v>
      </c>
      <c r="M30" s="45">
        <f>+IF(AND(M4&gt;'Main_O+R_WTC'!$J$25,M4&lt;=('Main_O+R_WTC'!$J$25+'Main_O+R_WTC'!$J$40)),1/'Main_O+R_WTC'!$J$40,0)+L30</f>
        <v>0</v>
      </c>
      <c r="N30" s="45">
        <f>+IF(AND(N4&gt;'Main_O+R_WTC'!$J$25,N4&lt;=('Main_O+R_WTC'!$J$25+'Main_O+R_WTC'!$J$40)),1/'Main_O+R_WTC'!$J$40,0)+M30</f>
        <v>0</v>
      </c>
      <c r="O30" s="45">
        <f>+IF(AND(O4&gt;'Main_O+R_WTC'!$J$25,O4&lt;=('Main_O+R_WTC'!$J$25+'Main_O+R_WTC'!$J$40)),1/'Main_O+R_WTC'!$J$40,0)+N30</f>
        <v>0</v>
      </c>
      <c r="P30" s="45">
        <f>+IF(AND(P4&gt;'Main_O+R_WTC'!$J$25,P4&lt;=('Main_O+R_WTC'!$J$25+'Main_O+R_WTC'!$J$40)),1/'Main_O+R_WTC'!$J$40,0)+O30</f>
        <v>0</v>
      </c>
      <c r="Q30" s="45">
        <f>+IF(AND(Q4&gt;'Main_O+R_WTC'!$J$25,Q4&lt;=('Main_O+R_WTC'!$J$25+'Main_O+R_WTC'!$J$40)),1/'Main_O+R_WTC'!$J$40,0)+P30</f>
        <v>0</v>
      </c>
      <c r="R30" s="45">
        <f>+IF(AND(R4&gt;'Main_O+R_WTC'!$J$25,R4&lt;=('Main_O+R_WTC'!$J$25+'Main_O+R_WTC'!$J$40)),1/'Main_O+R_WTC'!$J$40,0)+Q30</f>
        <v>0</v>
      </c>
      <c r="S30" s="45">
        <f>+IF(AND(S4&gt;'Main_O+R_WTC'!$J$25,S4&lt;=('Main_O+R_WTC'!$J$25+'Main_O+R_WTC'!$J$40)),1/'Main_O+R_WTC'!$J$40,0)+R30</f>
        <v>0</v>
      </c>
      <c r="T30" s="45">
        <f>+IF(AND(T4&gt;'Main_O+R_WTC'!$J$25,T4&lt;=('Main_O+R_WTC'!$J$25+'Main_O+R_WTC'!$J$40)),1/'Main_O+R_WTC'!$J$40,0)+S30</f>
        <v>0</v>
      </c>
      <c r="U30" s="45">
        <f>+IF(AND(U4&gt;'Main_O+R_WTC'!$J$25,U4&lt;=('Main_O+R_WTC'!$J$25+'Main_O+R_WTC'!$J$40)),1/'Main_O+R_WTC'!$J$40,0)+T30</f>
        <v>0</v>
      </c>
      <c r="V30" s="45">
        <f>+IF(AND(V4&gt;'Main_O+R_WTC'!$J$25,V4&lt;=('Main_O+R_WTC'!$J$25+'Main_O+R_WTC'!$J$40)),1/'Main_O+R_WTC'!$J$40,0)+U30</f>
        <v>0</v>
      </c>
      <c r="W30" s="45">
        <f>+IF(AND(W4&gt;'Main_O+R_WTC'!$J$25,W4&lt;=('Main_O+R_WTC'!$J$25+'Main_O+R_WTC'!$J$40)),1/'Main_O+R_WTC'!$J$40,0)+V30</f>
        <v>0</v>
      </c>
      <c r="X30" s="45">
        <f>+IF(AND(X4&gt;'Main_O+R_WTC'!$J$25,X4&lt;=('Main_O+R_WTC'!$J$25+'Main_O+R_WTC'!$J$40)),1/'Main_O+R_WTC'!$J$40,0)+W30</f>
        <v>0.33333333333333331</v>
      </c>
      <c r="Y30" s="45">
        <f>+IF(AND(Y4&gt;'Main_O+R_WTC'!$J$25,Y4&lt;=('Main_O+R_WTC'!$J$25+'Main_O+R_WTC'!$J$40)),1/'Main_O+R_WTC'!$J$40,0)+X30</f>
        <v>0.66666666666666663</v>
      </c>
      <c r="Z30" s="45">
        <f>+IF(AND(Z4&gt;'Main_O+R_WTC'!$J$25,Z4&lt;=('Main_O+R_WTC'!$J$25+'Main_O+R_WTC'!$J$40)),1/'Main_O+R_WTC'!$J$40,0)+Y30</f>
        <v>1</v>
      </c>
      <c r="AA30" s="45">
        <f>+IF(AND(AA4&gt;'Main_O+R_WTC'!$J$25,AA4&lt;=('Main_O+R_WTC'!$J$25+'Main_O+R_WTC'!$J$40)),1/'Main_O+R_WTC'!$J$40,0)+Z30</f>
        <v>1</v>
      </c>
      <c r="AB30" s="45">
        <f>+IF(AND(AB4&gt;'Main_O+R_WTC'!$J$25,AB4&lt;=('Main_O+R_WTC'!$J$25+'Main_O+R_WTC'!$J$40)),1/'Main_O+R_WTC'!$J$40,0)+AA30</f>
        <v>1</v>
      </c>
      <c r="AC30" s="45">
        <f>+IF(AND(AC4&gt;'Main_O+R_WTC'!$J$25,AC4&lt;=('Main_O+R_WTC'!$J$25+'Main_O+R_WTC'!$J$40)),1/'Main_O+R_WTC'!$J$40,0)+AB30</f>
        <v>1</v>
      </c>
      <c r="AD30" s="45">
        <f>+IF(AND(AD4&gt;'Main_O+R_WTC'!$J$25,AD4&lt;=('Main_O+R_WTC'!$J$25+'Main_O+R_WTC'!$J$40)),1/'Main_O+R_WTC'!$J$40,0)+AC30</f>
        <v>1</v>
      </c>
      <c r="AE30" s="45">
        <f>+IF(AND(AE4&gt;'Main_O+R_WTC'!$J$25,AE4&lt;=('Main_O+R_WTC'!$J$25+'Main_O+R_WTC'!$J$40)),1/'Main_O+R_WTC'!$J$40,0)+AD30</f>
        <v>1</v>
      </c>
      <c r="AF30" s="45">
        <f>+IF(AND(AF4&gt;'Main_O+R_WTC'!$J$25,AF4&lt;=('Main_O+R_WTC'!$J$25+'Main_O+R_WTC'!$J$40)),1/'Main_O+R_WTC'!$J$40,0)+AE30</f>
        <v>1</v>
      </c>
      <c r="AG30" s="45">
        <f>+IF(AND(AG4&gt;'Main_O+R_WTC'!$J$25,AG4&lt;=('Main_O+R_WTC'!$J$25+'Main_O+R_WTC'!$J$40)),1/'Main_O+R_WTC'!$J$40,0)+AF30</f>
        <v>1</v>
      </c>
      <c r="AH30" s="45">
        <f>+IF(AND(AH4&gt;'Main_O+R_WTC'!$J$25,AH4&lt;=('Main_O+R_WTC'!$J$25+'Main_O+R_WTC'!$J$40)),1/'Main_O+R_WTC'!$J$40,0)+AG30</f>
        <v>1</v>
      </c>
      <c r="AI30" s="45">
        <f>+IF(AND(AI4&gt;'Main_O+R_WTC'!$J$25,AI4&lt;=('Main_O+R_WTC'!$J$25+'Main_O+R_WTC'!$J$40)),1/'Main_O+R_WTC'!$J$40,0)+AH30</f>
        <v>1</v>
      </c>
      <c r="AJ30" s="45">
        <f>+IF(AND(AJ4&gt;'Main_O+R_WTC'!$J$25,AJ4&lt;=('Main_O+R_WTC'!$J$25+'Main_O+R_WTC'!$J$40)),1/'Main_O+R_WTC'!$J$40,0)+AI30</f>
        <v>1</v>
      </c>
      <c r="AK30" s="45">
        <f>+IF(AND(AK4&gt;'Main_O+R_WTC'!$J$25,AK4&lt;=('Main_O+R_WTC'!$J$25+'Main_O+R_WTC'!$J$40)),1/'Main_O+R_WTC'!$J$40,0)+AJ30</f>
        <v>1</v>
      </c>
      <c r="AL30" s="45">
        <f>+IF(AND(AL4&gt;'Main_O+R_WTC'!$J$25,AL4&lt;=('Main_O+R_WTC'!$J$25+'Main_O+R_WTC'!$J$40)),1/'Main_O+R_WTC'!$J$40,0)+AK30</f>
        <v>1</v>
      </c>
      <c r="AM30" s="45">
        <f>+IF(AND(AM4&gt;'Main_O+R_WTC'!$J$25,AM4&lt;=('Main_O+R_WTC'!$J$25+'Main_O+R_WTC'!$J$40)),1/'Main_O+R_WTC'!$J$40,0)+AL30</f>
        <v>1</v>
      </c>
      <c r="AN30" s="45">
        <f>+IF(AND(AN4&gt;'Main_O+R_WTC'!$J$25,AN4&lt;=('Main_O+R_WTC'!$J$25+'Main_O+R_WTC'!$J$40)),1/'Main_O+R_WTC'!$J$40,0)+AM30</f>
        <v>1</v>
      </c>
      <c r="AO30" s="45">
        <f>+IF(AND(AO4&gt;'Main_O+R_WTC'!$J$25,AO4&lt;=('Main_O+R_WTC'!$J$25+'Main_O+R_WTC'!$J$40)),1/'Main_O+R_WTC'!$J$40,0)+AN30</f>
        <v>1</v>
      </c>
      <c r="AP30" s="45">
        <f>+IF(AND(AP4&gt;'Main_O+R_WTC'!$J$25,AP4&lt;=('Main_O+R_WTC'!$J$25+'Main_O+R_WTC'!$J$40)),1/'Main_O+R_WTC'!$J$40,0)+AO30</f>
        <v>1</v>
      </c>
      <c r="AQ30" s="45">
        <f>+IF(AND(AQ4&gt;'Main_O+R_WTC'!$J$25,AQ4&lt;=('Main_O+R_WTC'!$J$25+'Main_O+R_WTC'!$J$40)),1/'Main_O+R_WTC'!$J$40,0)+AP30</f>
        <v>1</v>
      </c>
    </row>
    <row r="31" spans="2:43">
      <c r="B31" s="13" t="s">
        <v>17</v>
      </c>
      <c r="H31" s="5">
        <f>(H13*'Main_O+R_WTC'!$J$15)*('PH1_O+R'!H30*((3/10^7)))*(H$4&lt;='Main_O+R_WTC'!$G$54)</f>
        <v>0</v>
      </c>
      <c r="I31" s="5">
        <f>(I13*'Main_O+R_WTC'!$J$15)*('PH1_O+R'!I30*((3/10^7)))*(I$4&lt;='Main_O+R_WTC'!$G$54)</f>
        <v>0</v>
      </c>
      <c r="J31" s="5">
        <f>(J13*'Main_O+R_WTC'!$J$15)*('PH1_O+R'!J30*((3/10^7)))*(J$4&lt;='Main_O+R_WTC'!$G$54)</f>
        <v>0</v>
      </c>
      <c r="K31" s="5">
        <f>(K13*'Main_O+R_WTC'!$J$15)*('PH1_O+R'!K30*((3/10^7)))*(K$4&lt;='Main_O+R_WTC'!$G$54)</f>
        <v>0</v>
      </c>
      <c r="L31" s="5">
        <f>(L13*'Main_O+R_WTC'!$J$15)*('PH1_O+R'!L30*((3/10^7)))*(L$4&lt;='Main_O+R_WTC'!$G$54)</f>
        <v>0</v>
      </c>
      <c r="M31" s="5">
        <f>(M13*'Main_O+R_WTC'!$J$15)*('PH1_O+R'!M30*((3/10^7)))*(M$4&lt;='Main_O+R_WTC'!$G$54)</f>
        <v>0</v>
      </c>
      <c r="N31" s="5">
        <f>(N13*'Main_O+R_WTC'!$J$15)*('PH1_O+R'!N30*((3/10^7)))*(N$4&lt;='Main_O+R_WTC'!$G$54)</f>
        <v>0</v>
      </c>
      <c r="O31" s="5">
        <f>(O13*'Main_O+R_WTC'!$J$15)*('PH1_O+R'!O30*((3/10^7)))*(O$4&lt;='Main_O+R_WTC'!$G$54)</f>
        <v>0</v>
      </c>
      <c r="P31" s="5">
        <f>(P13*'Main_O+R_WTC'!$J$15)*('PH1_O+R'!P30*((3/10^7)))*(P$4&lt;='Main_O+R_WTC'!$G$54)</f>
        <v>0</v>
      </c>
      <c r="Q31" s="5">
        <f>(Q13*'Main_O+R_WTC'!$J$15)*('PH1_O+R'!Q30*((3/10^7)))*(Q$4&lt;='Main_O+R_WTC'!$G$54)</f>
        <v>0</v>
      </c>
      <c r="R31" s="5">
        <f>(R13*'Main_O+R_WTC'!$J$15)*('PH1_O+R'!R30*((3/10^7)))*(R$4&lt;='Main_O+R_WTC'!$G$54)</f>
        <v>0</v>
      </c>
      <c r="S31" s="5">
        <f>(S13*'Main_O+R_WTC'!$J$15)*('PH1_O+R'!S30*((3/10^7)))*(S$4&lt;='Main_O+R_WTC'!$G$54)</f>
        <v>0</v>
      </c>
      <c r="T31" s="5">
        <f>(T13*'Main_O+R_WTC'!$J$15)*('PH1_O+R'!T30*((3/10^7)))*(T$4&lt;='Main_O+R_WTC'!$G$54)</f>
        <v>0</v>
      </c>
      <c r="U31" s="5">
        <f>(U13*'Main_O+R_WTC'!$J$15)*('PH1_O+R'!U30*((3/10^7)))*(U$4&lt;='Main_O+R_WTC'!$G$54)</f>
        <v>0</v>
      </c>
      <c r="V31" s="5">
        <f>(V13*'Main_O+R_WTC'!$J$15)*('PH1_O+R'!V30*((3/10^7)))*(V$4&lt;='Main_O+R_WTC'!$G$54)</f>
        <v>0</v>
      </c>
      <c r="W31" s="5">
        <f>(W13*'Main_O+R_WTC'!$J$15)*('PH1_O+R'!W30*((3/10^7)))*(W$4&lt;='Main_O+R_WTC'!$G$54)</f>
        <v>0</v>
      </c>
      <c r="X31" s="5">
        <f>(X13*'Main_O+R_WTC'!$J$15)*('PH1_O+R'!X30*((3/10^7)))*(X$4&lt;='Main_O+R_WTC'!$G$54)</f>
        <v>0</v>
      </c>
      <c r="Y31" s="5">
        <f>(Y13*'Main_O+R_WTC'!$J$15)*('PH1_O+R'!Y30*((3/10^7)))*(Y$4&lt;='Main_O+R_WTC'!$G$54)</f>
        <v>0</v>
      </c>
      <c r="Z31" s="5">
        <f>(Z13*'Main_O+R_WTC'!$J$15)*('PH1_O+R'!Z30*((3/10^7)))*(Z$4&lt;='Main_O+R_WTC'!$G$54)</f>
        <v>0</v>
      </c>
      <c r="AA31" s="5">
        <f>(AA13*'Main_O+R_WTC'!$J$15)*('PH1_O+R'!AA30*((3/10^7)))*(AA$4&lt;='Main_O+R_WTC'!$G$54)</f>
        <v>0</v>
      </c>
      <c r="AB31" s="5">
        <f>(AB13*'Main_O+R_WTC'!$J$15)*('PH1_O+R'!AB30*((3/10^7)))*(AB$4&lt;='Main_O+R_WTC'!$G$54)</f>
        <v>0</v>
      </c>
      <c r="AC31" s="5">
        <f>(AC13*'Main_O+R_WTC'!$J$15)*('PH1_O+R'!AC30*((3/10^7)))*(AC$4&lt;='Main_O+R_WTC'!$G$54)</f>
        <v>0</v>
      </c>
      <c r="AD31" s="5">
        <f>(AD13*'Main_O+R_WTC'!$J$15)*('PH1_O+R'!AD30*((3/10^7)))*(AD$4&lt;='Main_O+R_WTC'!$G$54)</f>
        <v>0</v>
      </c>
      <c r="AE31" s="5">
        <f>(AE13*'Main_O+R_WTC'!$J$15)*('PH1_O+R'!AE30*((3/10^7)))*(AE$4&lt;='Main_O+R_WTC'!$G$54)</f>
        <v>0</v>
      </c>
      <c r="AF31" s="5">
        <f>(AF13*'Main_O+R_WTC'!$J$15)*('PH1_O+R'!AF30*((3/10^7)))*(AF$4&lt;='Main_O+R_WTC'!$G$54)</f>
        <v>0</v>
      </c>
      <c r="AG31" s="5">
        <f>(AG13*'Main_O+R_WTC'!$J$15)*('PH1_O+R'!AG30*((3/10^7)))*(AG$4&lt;='Main_O+R_WTC'!$G$54)</f>
        <v>0</v>
      </c>
      <c r="AH31" s="5">
        <f>(AH13*'Main_O+R_WTC'!$J$15)*('PH1_O+R'!AH30*((3/10^7)))*(AH$4&lt;='Main_O+R_WTC'!$G$54)</f>
        <v>0</v>
      </c>
      <c r="AI31" s="5">
        <f>(AI13*'Main_O+R_WTC'!$J$15)*('PH1_O+R'!AI30*((3/10^7)))*(AI$4&lt;='Main_O+R_WTC'!$G$54)</f>
        <v>0</v>
      </c>
      <c r="AJ31" s="5">
        <f>(AJ13*'Main_O+R_WTC'!$J$15)*('PH1_O+R'!AJ30*((3/10^7)))*(AJ$4&lt;='Main_O+R_WTC'!$G$54)</f>
        <v>0</v>
      </c>
      <c r="AK31" s="5">
        <f>(AK13*'Main_O+R_WTC'!$J$15)*('PH1_O+R'!AK30*((3/10^7)))*(AK$4&lt;='Main_O+R_WTC'!$G$54)</f>
        <v>0</v>
      </c>
      <c r="AL31" s="5">
        <f>(AL13*'Main_O+R_WTC'!$J$15)*('PH1_O+R'!AL30*((3/10^7)))*(AL$4&lt;='Main_O+R_WTC'!$G$54)</f>
        <v>0</v>
      </c>
      <c r="AM31" s="5">
        <f>(AM13*'Main_O+R_WTC'!$J$15)*('PH1_O+R'!AM30*((3/10^7)))*(AM$4&lt;='Main_O+R_WTC'!$G$54)</f>
        <v>0</v>
      </c>
      <c r="AN31" s="5">
        <f>(AN13*'Main_O+R_WTC'!$J$15)*('PH1_O+R'!AN30*((3/10^7)))*(AN$4&lt;='Main_O+R_WTC'!$G$54)</f>
        <v>0</v>
      </c>
      <c r="AO31" s="5">
        <f>(AO13*'Main_O+R_WTC'!$J$15)*('PH1_O+R'!AO30*((3/10^7)))*(AO$4&lt;='Main_O+R_WTC'!$G$54)</f>
        <v>0</v>
      </c>
      <c r="AP31" s="5">
        <f>(AP13*'Main_O+R_WTC'!$J$15)*('PH1_O+R'!AP30*((3/10^7)))*(AP$4&lt;='Main_O+R_WTC'!$G$54)</f>
        <v>0</v>
      </c>
      <c r="AQ31" s="5">
        <f>(AQ13*'Main_O+R_WTC'!$J$15)*('PH1_O+R'!AQ30*((3/10^7)))*(AQ$4&lt;='Main_O+R_WTC'!$G$54)</f>
        <v>0</v>
      </c>
    </row>
    <row r="32" spans="2:43">
      <c r="B32" s="13" t="s">
        <v>16</v>
      </c>
      <c r="H32" s="5">
        <f>((H14*'Main_O+R_WTC'!$J$14)*('PH1_O+R'!H30*(3/10^7)))*(H$4&lt;='Main_O+R_WTC'!$G$54)</f>
        <v>0</v>
      </c>
      <c r="I32" s="5">
        <f>((I14*'Main_O+R_WTC'!$J$14)*('PH1_O+R'!I30*(3/10^7)))*(I$4&lt;='Main_O+R_WTC'!$G$54)</f>
        <v>0</v>
      </c>
      <c r="J32" s="5">
        <f>((J14*'Main_O+R_WTC'!$J$14)*('PH1_O+R'!J30*(3/10^7)))*(J$4&lt;='Main_O+R_WTC'!$G$54)</f>
        <v>0</v>
      </c>
      <c r="K32" s="5">
        <f>((K14*'Main_O+R_WTC'!$J$14)*('PH1_O+R'!K30*(3/10^7)))*(K$4&lt;='Main_O+R_WTC'!$G$54)</f>
        <v>0</v>
      </c>
      <c r="L32" s="5">
        <f>((L14*'Main_O+R_WTC'!$J$14)*('PH1_O+R'!L30*(3/10^7)))*(L$4&lt;='Main_O+R_WTC'!$G$54)</f>
        <v>0</v>
      </c>
      <c r="M32" s="5">
        <f>((M14*'Main_O+R_WTC'!$J$14)*('PH1_O+R'!M30*(3/10^7)))*(M$4&lt;='Main_O+R_WTC'!$G$54)</f>
        <v>0</v>
      </c>
      <c r="N32" s="5">
        <f>((N14*'Main_O+R_WTC'!$J$14)*('PH1_O+R'!N30*(3/10^7)))*(N$4&lt;='Main_O+R_WTC'!$G$54)</f>
        <v>0</v>
      </c>
      <c r="O32" s="5">
        <f>((O14*'Main_O+R_WTC'!$J$14)*('PH1_O+R'!O30*(3/10^7)))*(O$4&lt;='Main_O+R_WTC'!$G$54)</f>
        <v>0</v>
      </c>
      <c r="P32" s="5">
        <f>((P14*'Main_O+R_WTC'!$J$14)*('PH1_O+R'!P30*(3/10^7)))*(P$4&lt;='Main_O+R_WTC'!$G$54)</f>
        <v>0</v>
      </c>
      <c r="Q32" s="5">
        <f>((Q14*'Main_O+R_WTC'!$J$14)*('PH1_O+R'!Q30*(3/10^7)))*(Q$4&lt;='Main_O+R_WTC'!$G$54)</f>
        <v>0</v>
      </c>
      <c r="R32" s="5">
        <f>((R14*'Main_O+R_WTC'!$J$14)*('PH1_O+R'!R30*(3/10^7)))*(R$4&lt;='Main_O+R_WTC'!$G$54)</f>
        <v>0</v>
      </c>
      <c r="S32" s="5">
        <f>((S14*'Main_O+R_WTC'!$J$14)*('PH1_O+R'!S30*(3/10^7)))*(S$4&lt;='Main_O+R_WTC'!$G$54)</f>
        <v>0</v>
      </c>
      <c r="T32" s="5">
        <f>((T14*'Main_O+R_WTC'!$J$14)*('PH1_O+R'!T30*(3/10^7)))*(T$4&lt;='Main_O+R_WTC'!$G$54)</f>
        <v>0</v>
      </c>
      <c r="U32" s="5">
        <f>((U14*'Main_O+R_WTC'!$J$14)*('PH1_O+R'!U30*(3/10^7)))*(U$4&lt;='Main_O+R_WTC'!$G$54)</f>
        <v>0</v>
      </c>
      <c r="V32" s="5">
        <f>((V14*'Main_O+R_WTC'!$J$14)*('PH1_O+R'!V30*(3/10^7)))*(V$4&lt;='Main_O+R_WTC'!$G$54)</f>
        <v>0</v>
      </c>
      <c r="W32" s="5">
        <f>((W14*'Main_O+R_WTC'!$J$14)*('PH1_O+R'!W30*(3/10^7)))*(W$4&lt;='Main_O+R_WTC'!$G$54)</f>
        <v>0</v>
      </c>
      <c r="X32" s="5">
        <f>((X14*'Main_O+R_WTC'!$J$14)*('PH1_O+R'!X30*(3/10^7)))*(X$4&lt;='Main_O+R_WTC'!$G$54)</f>
        <v>1.2671269027054748</v>
      </c>
      <c r="Y32" s="5">
        <f>((Y14*'Main_O+R_WTC'!$J$14)*('PH1_O+R'!Y30*(3/10^7)))*(Y$4&lt;='Main_O+R_WTC'!$G$54)</f>
        <v>2.5342538054109496</v>
      </c>
      <c r="Z32" s="5">
        <f>((Z14*'Main_O+R_WTC'!$J$14)*('PH1_O+R'!Z30*(3/10^7)))*(Z$4&lt;='Main_O+R_WTC'!$G$54)</f>
        <v>3.8013807081164246</v>
      </c>
      <c r="AA32" s="5">
        <f>((AA14*'Main_O+R_WTC'!$J$14)*('PH1_O+R'!AA30*(3/10^7)))*(AA$4&lt;='Main_O+R_WTC'!$G$54)</f>
        <v>3.8013807081164246</v>
      </c>
      <c r="AB32" s="5">
        <f>((AB14*'Main_O+R_WTC'!$J$14)*('PH1_O+R'!AB30*(3/10^7)))*(AB$4&lt;='Main_O+R_WTC'!$G$54)</f>
        <v>3.8013807081164246</v>
      </c>
      <c r="AC32" s="5">
        <f>((AC14*'Main_O+R_WTC'!$J$14)*('PH1_O+R'!AC30*(3/10^7)))*(AC$4&lt;='Main_O+R_WTC'!$G$54)</f>
        <v>0</v>
      </c>
      <c r="AD32" s="5">
        <f>((AD14*'Main_O+R_WTC'!$J$14)*('PH1_O+R'!AD30*(3/10^7)))*(AD$4&lt;='Main_O+R_WTC'!$G$54)</f>
        <v>0</v>
      </c>
      <c r="AE32" s="5">
        <f>((AE14*'Main_O+R_WTC'!$J$14)*('PH1_O+R'!AE30*(3/10^7)))*(AE$4&lt;='Main_O+R_WTC'!$G$54)</f>
        <v>0</v>
      </c>
      <c r="AF32" s="5">
        <f>((AF14*'Main_O+R_WTC'!$J$14)*('PH1_O+R'!AF30*(3/10^7)))*(AF$4&lt;='Main_O+R_WTC'!$G$54)</f>
        <v>0</v>
      </c>
      <c r="AG32" s="5">
        <f>((AG14*'Main_O+R_WTC'!$J$14)*('PH1_O+R'!AG30*(3/10^7)))*(AG$4&lt;='Main_O+R_WTC'!$G$54)</f>
        <v>0</v>
      </c>
      <c r="AH32" s="5">
        <f>((AH14*'Main_O+R_WTC'!$J$14)*('PH1_O+R'!AH30*(3/10^7)))*(AH$4&lt;='Main_O+R_WTC'!$G$54)</f>
        <v>0</v>
      </c>
      <c r="AI32" s="5">
        <f>((AI14*'Main_O+R_WTC'!$J$14)*('PH1_O+R'!AI30*(3/10^7)))*(AI$4&lt;='Main_O+R_WTC'!$G$54)</f>
        <v>0</v>
      </c>
      <c r="AJ32" s="5">
        <f>((AJ14*'Main_O+R_WTC'!$J$14)*('PH1_O+R'!AJ30*(3/10^7)))*(AJ$4&lt;='Main_O+R_WTC'!$G$54)</f>
        <v>0</v>
      </c>
      <c r="AK32" s="5">
        <f>((AK14*'Main_O+R_WTC'!$J$14)*('PH1_O+R'!AK30*(3/10^7)))*(AK$4&lt;='Main_O+R_WTC'!$G$54)</f>
        <v>0</v>
      </c>
      <c r="AL32" s="5">
        <f>((AL14*'Main_O+R_WTC'!$J$14)*('PH1_O+R'!AL30*(3/10^7)))*(AL$4&lt;='Main_O+R_WTC'!$G$54)</f>
        <v>0</v>
      </c>
      <c r="AM32" s="5">
        <f>((AM14*'Main_O+R_WTC'!$J$14)*('PH1_O+R'!AM30*(3/10^7)))*(AM$4&lt;='Main_O+R_WTC'!$G$54)</f>
        <v>0</v>
      </c>
      <c r="AN32" s="5">
        <f>((AN14*'Main_O+R_WTC'!$J$14)*('PH1_O+R'!AN30*(3/10^7)))*(AN$4&lt;='Main_O+R_WTC'!$G$54)</f>
        <v>0</v>
      </c>
      <c r="AO32" s="5">
        <f>((AO14*'Main_O+R_WTC'!$J$14)*('PH1_O+R'!AO30*(3/10^7)))*(AO$4&lt;='Main_O+R_WTC'!$G$54)</f>
        <v>0</v>
      </c>
      <c r="AP32" s="5">
        <f>((AP14*'Main_O+R_WTC'!$J$14)*('PH1_O+R'!AP30*(3/10^7)))*(AP$4&lt;='Main_O+R_WTC'!$G$54)</f>
        <v>0</v>
      </c>
      <c r="AQ32" s="5">
        <f>((AQ14*'Main_O+R_WTC'!$J$14)*('PH1_O+R'!AQ30*(3/10^7)))*(AQ$4&lt;='Main_O+R_WTC'!$G$54)</f>
        <v>0</v>
      </c>
    </row>
    <row r="33" spans="2:43">
      <c r="B33" s="13" t="s">
        <v>15</v>
      </c>
      <c r="H33" s="5">
        <f>(('Main_O+R_WTC'!$J$13*'Main_O+R_WTC'!$G$46)*('Main_O+R_WTC'!$G$47*H$6*H$30*3)/(10^7))</f>
        <v>0</v>
      </c>
      <c r="I33" s="5">
        <f>(('Main_O+R_WTC'!$J$13*'Main_O+R_WTC'!$G$46)*('Main_O+R_WTC'!$G$47*I$6*I$30*3)/(10^7))</f>
        <v>0</v>
      </c>
      <c r="J33" s="5">
        <f>(('Main_O+R_WTC'!$J$13*'Main_O+R_WTC'!$G$46)*('Main_O+R_WTC'!$G$47*J$6*J$30*3)/(10^7))</f>
        <v>0</v>
      </c>
      <c r="K33" s="5">
        <f>(('Main_O+R_WTC'!$J$13*'Main_O+R_WTC'!$G$46)*('Main_O+R_WTC'!$G$47*K$6*K$30*3)/(10^7))</f>
        <v>0</v>
      </c>
      <c r="L33" s="5">
        <f>(('Main_O+R_WTC'!$J$13*'Main_O+R_WTC'!$G$46)*('Main_O+R_WTC'!$G$47*L$6*L$30*3)/(10^7))</f>
        <v>0</v>
      </c>
      <c r="M33" s="5">
        <f>(('Main_O+R_WTC'!$J$13*'Main_O+R_WTC'!$G$46)*('Main_O+R_WTC'!$G$47*M$6*M$30*3)/(10^7))</f>
        <v>0</v>
      </c>
      <c r="N33" s="5">
        <f>(('Main_O+R_WTC'!$J$13*'Main_O+R_WTC'!$G$46)*('Main_O+R_WTC'!$G$47*N$6*N$30*3)/(10^7))</f>
        <v>0</v>
      </c>
      <c r="O33" s="5">
        <f>(('Main_O+R_WTC'!$J$13*'Main_O+R_WTC'!$G$46)*('Main_O+R_WTC'!$G$47*O$6*O$30*3)/(10^7))</f>
        <v>0</v>
      </c>
      <c r="P33" s="5">
        <f>(('Main_O+R_WTC'!$J$13*'Main_O+R_WTC'!$G$46)*('Main_O+R_WTC'!$G$47*P$6*P$30*3)/(10^7))</f>
        <v>0</v>
      </c>
      <c r="Q33" s="5">
        <f>(('Main_O+R_WTC'!$J$13*'Main_O+R_WTC'!$G$46)*('Main_O+R_WTC'!$G$47*Q$6*Q$30*3)/(10^7))</f>
        <v>0</v>
      </c>
      <c r="R33" s="5">
        <f>(('Main_O+R_WTC'!$J$13*'Main_O+R_WTC'!$G$46)*('Main_O+R_WTC'!$G$47*R$6*R$30*3)/(10^7))</f>
        <v>0</v>
      </c>
      <c r="S33" s="5">
        <f>(('Main_O+R_WTC'!$J$13*'Main_O+R_WTC'!$G$46)*('Main_O+R_WTC'!$G$47*S$6*S$30*3)/(10^7))</f>
        <v>0</v>
      </c>
      <c r="T33" s="5">
        <f>(('Main_O+R_WTC'!$J$13*'Main_O+R_WTC'!$G$46)*('Main_O+R_WTC'!$G$47*T$6*T$30*3)/(10^7))</f>
        <v>0</v>
      </c>
      <c r="U33" s="5">
        <f>(('Main_O+R_WTC'!$J$13*'Main_O+R_WTC'!$G$46)*('Main_O+R_WTC'!$G$47*U$6*U$30*3)/(10^7))</f>
        <v>0</v>
      </c>
      <c r="V33" s="5">
        <f>(('Main_O+R_WTC'!$J$13*'Main_O+R_WTC'!$G$46)*('Main_O+R_WTC'!$G$47*V$6*V$30*3)/(10^7))</f>
        <v>0</v>
      </c>
      <c r="W33" s="5">
        <f>(('Main_O+R_WTC'!$J$13*'Main_O+R_WTC'!$G$46)*('Main_O+R_WTC'!$G$47*W$6*W$30*3)/(10^7))</f>
        <v>0</v>
      </c>
      <c r="X33" s="5">
        <f>(('Main_O+R_WTC'!$J$13*'Main_O+R_WTC'!$G$46)*('Main_O+R_WTC'!$G$47*X$6*X$30*3)/(10^7))</f>
        <v>0</v>
      </c>
      <c r="Y33" s="5">
        <f>(('Main_O+R_WTC'!$J$13*'Main_O+R_WTC'!$G$46)*('Main_O+R_WTC'!$G$47*Y$6*Y$30*3)/(10^7))</f>
        <v>0</v>
      </c>
      <c r="Z33" s="5">
        <f>(('Main_O+R_WTC'!$J$13*'Main_O+R_WTC'!$G$46)*('Main_O+R_WTC'!$G$47*Z$6*Z$30*3)/(10^7))</f>
        <v>0</v>
      </c>
      <c r="AA33" s="5">
        <f>(('Main_O+R_WTC'!$J$13*'Main_O+R_WTC'!$G$46)*('Main_O+R_WTC'!$G$47*AA$6*AA$30*3)/(10^7))</f>
        <v>0</v>
      </c>
      <c r="AB33" s="5">
        <f>(('Main_O+R_WTC'!$J$13*'Main_O+R_WTC'!$G$46)*('Main_O+R_WTC'!$G$47*AB$6*AB$30*3)/(10^7))</f>
        <v>0</v>
      </c>
      <c r="AC33" s="5">
        <f>(('Main_O+R_WTC'!$J$13*'Main_O+R_WTC'!$G$46)*('Main_O+R_WTC'!$G$47*AC$6*AC$30*3)/(10^7))</f>
        <v>0</v>
      </c>
      <c r="AD33" s="5">
        <f>(('Main_O+R_WTC'!$J$13*'Main_O+R_WTC'!$G$46)*('Main_O+R_WTC'!$G$47*AD$6*AD$30*3)/(10^7))</f>
        <v>0</v>
      </c>
      <c r="AE33" s="5">
        <f>(('Main_O+R_WTC'!$J$13*'Main_O+R_WTC'!$G$46)*('Main_O+R_WTC'!$G$47*AE$6*AE$30*3)/(10^7))</f>
        <v>0</v>
      </c>
      <c r="AF33" s="5">
        <f>(('Main_O+R_WTC'!$J$13*'Main_O+R_WTC'!$G$46)*('Main_O+R_WTC'!$G$47*AF$6*AF$30*3)/(10^7))</f>
        <v>0</v>
      </c>
      <c r="AG33" s="5">
        <f>(('Main_O+R_WTC'!$J$13*'Main_O+R_WTC'!$G$46)*('Main_O+R_WTC'!$G$47*AG$6*AG$30*3)/(10^7))</f>
        <v>0</v>
      </c>
      <c r="AH33" s="5">
        <f>(('Main_O+R_WTC'!$J$13*'Main_O+R_WTC'!$G$46)*('Main_O+R_WTC'!$G$47*AH$6*AH$30*3)/(10^7))</f>
        <v>0</v>
      </c>
      <c r="AI33" s="5">
        <f>(('Main_O+R_WTC'!$J$13*'Main_O+R_WTC'!$G$46)*('Main_O+R_WTC'!$G$47*AI$6*AI$30*3)/(10^7))</f>
        <v>0</v>
      </c>
      <c r="AJ33" s="5">
        <f>(('Main_O+R_WTC'!$J$13*'Main_O+R_WTC'!$G$46)*('Main_O+R_WTC'!$G$47*AJ$6*AJ$30*3)/(10^7))</f>
        <v>0</v>
      </c>
      <c r="AK33" s="5">
        <f>(('Main_O+R_WTC'!$J$13*'Main_O+R_WTC'!$G$46)*('Main_O+R_WTC'!$G$47*AK$6*AK$30*3)/(10^7))</f>
        <v>0</v>
      </c>
      <c r="AL33" s="5">
        <f>(('Main_O+R_WTC'!$J$13*'Main_O+R_WTC'!$G$46)*('Main_O+R_WTC'!$G$47*AL$6*AL$30*3)/(10^7))</f>
        <v>0</v>
      </c>
      <c r="AM33" s="5">
        <f>(('Main_O+R_WTC'!$J$13*'Main_O+R_WTC'!$G$46)*('Main_O+R_WTC'!$G$47*AM$6*AM$30*3)/(10^7))</f>
        <v>0</v>
      </c>
      <c r="AN33" s="5">
        <f>(('Main_O+R_WTC'!$J$13*'Main_O+R_WTC'!$G$46)*('Main_O+R_WTC'!$G$47*AN$6*AN$30*3)/(10^7))</f>
        <v>0</v>
      </c>
      <c r="AO33" s="5">
        <f>(('Main_O+R_WTC'!$J$13*'Main_O+R_WTC'!$G$46)*('Main_O+R_WTC'!$G$47*AO$6*AO$30*3)/(10^7))</f>
        <v>0</v>
      </c>
      <c r="AP33" s="5">
        <f>(('Main_O+R_WTC'!$J$13*'Main_O+R_WTC'!$G$46)*('Main_O+R_WTC'!$G$47*AP$6*AP$30*3)/(10^7))</f>
        <v>0</v>
      </c>
      <c r="AQ33" s="5">
        <f>(('Main_O+R_WTC'!$J$13*'Main_O+R_WTC'!$G$46)*('Main_O+R_WTC'!$G$47*AQ$6*AQ$30*3)/(10^7))</f>
        <v>0</v>
      </c>
    </row>
    <row r="35" spans="2:43">
      <c r="B35" s="5" t="s">
        <v>61</v>
      </c>
      <c r="H35" s="5">
        <f>+IF(H4='Main_O+R_WTC'!$G$54,SUM(H19:H20,H25:H26,H31:H32)*4/'Main_O+R_WTC'!$G$51,0)*(1-'Main_O+R_WTC'!$G$58)*'Main_O+R_WTC'!$G$53</f>
        <v>0</v>
      </c>
      <c r="I35" s="5">
        <f>+IF(I4='Main_O+R_WTC'!$G$54,SUM(I19:I20,I25:I26,I31:I32)*4/'Main_O+R_WTC'!$G$51,0)*(1-'Main_O+R_WTC'!$G$58)*'Main_O+R_WTC'!$G$53</f>
        <v>0</v>
      </c>
      <c r="J35" s="5">
        <f>+IF(J4='Main_O+R_WTC'!$G$54,SUM(J19:J20,J25:J26,J31:J32)*4/'Main_O+R_WTC'!$G$51,0)*(1-'Main_O+R_WTC'!$G$58)*'Main_O+R_WTC'!$G$53</f>
        <v>0</v>
      </c>
      <c r="K35" s="5">
        <f>+IF(K4='Main_O+R_WTC'!$G$54,SUM(K19:K20,K25:K26,K31:K32)*4/'Main_O+R_WTC'!$G$51,0)*(1-'Main_O+R_WTC'!$G$58)*'Main_O+R_WTC'!$G$53</f>
        <v>0</v>
      </c>
      <c r="L35" s="5">
        <f>+IF(L4='Main_O+R_WTC'!$G$54,SUM(L19:L20,L25:L26,L31:L32)*4/'Main_O+R_WTC'!$G$51,0)*(1-'Main_O+R_WTC'!$G$58)*'Main_O+R_WTC'!$G$53</f>
        <v>0</v>
      </c>
      <c r="M35" s="5">
        <f>+IF(M4='Main_O+R_WTC'!$G$54,SUM(M19:M20,M25:M26,M31:M32)*4/'Main_O+R_WTC'!$G$51,0)*(1-'Main_O+R_WTC'!$G$58)*'Main_O+R_WTC'!$G$53</f>
        <v>0</v>
      </c>
      <c r="N35" s="5">
        <f>+IF(N4='Main_O+R_WTC'!$G$54,SUM(N19:N20,N25:N26,N31:N32)*4/'Main_O+R_WTC'!$G$51,0)*(1-'Main_O+R_WTC'!$G$58)*'Main_O+R_WTC'!$G$53</f>
        <v>0</v>
      </c>
      <c r="O35" s="5">
        <f>+IF(O4='Main_O+R_WTC'!$G$54,SUM(O19:O20,O25:O26,O31:O32)*4/'Main_O+R_WTC'!$G$51,0)*(1-'Main_O+R_WTC'!$G$58)*'Main_O+R_WTC'!$G$53</f>
        <v>0</v>
      </c>
      <c r="P35" s="5">
        <f>+IF(P4='Main_O+R_WTC'!$G$54,SUM(P19:P20,P25:P26,P31:P32)*4/'Main_O+R_WTC'!$G$51,0)*(1-'Main_O+R_WTC'!$G$58)*'Main_O+R_WTC'!$G$53</f>
        <v>0</v>
      </c>
      <c r="Q35" s="5">
        <f>+IF(Q4='Main_O+R_WTC'!$G$54,SUM(Q19:Q20,Q25:Q26,Q31:Q32)*4/'Main_O+R_WTC'!$G$51,0)*(1-'Main_O+R_WTC'!$G$58)*'Main_O+R_WTC'!$G$53</f>
        <v>0</v>
      </c>
      <c r="R35" s="5">
        <f>+IF(R4='Main_O+R_WTC'!$G$54,SUM(R19:R20,R25:R26,R31:R32)*4/'Main_O+R_WTC'!$G$51,0)*(1-'Main_O+R_WTC'!$G$58)*'Main_O+R_WTC'!$G$53</f>
        <v>0</v>
      </c>
      <c r="S35" s="5">
        <f>+IF(S4='Main_O+R_WTC'!$G$54,SUM(S19:S20,S25:S26,S31:S32)*4/'Main_O+R_WTC'!$G$51,0)*(1-'Main_O+R_WTC'!$G$58)*'Main_O+R_WTC'!$G$53</f>
        <v>0</v>
      </c>
      <c r="T35" s="5">
        <f>+IF(T4='Main_O+R_WTC'!$G$54,SUM(T19:T20,T25:T26,T31:T32)*4/'Main_O+R_WTC'!$G$51,0)*(1-'Main_O+R_WTC'!$G$58)*'Main_O+R_WTC'!$G$53</f>
        <v>0</v>
      </c>
      <c r="U35" s="5">
        <f>+IF(U4='Main_O+R_WTC'!$G$54,SUM(U19:U20,U25:U26,U31:U32)*4/'Main_O+R_WTC'!$G$51,0)*(1-'Main_O+R_WTC'!$G$58)*'Main_O+R_WTC'!$G$53</f>
        <v>0</v>
      </c>
      <c r="V35" s="5">
        <f>+IF(V4='Main_O+R_WTC'!$G$54,SUM(V19:V20,V25:V26,V31:V32)*4/'Main_O+R_WTC'!$G$51,0)*(1-'Main_O+R_WTC'!$G$58)*'Main_O+R_WTC'!$G$53</f>
        <v>0</v>
      </c>
      <c r="W35" s="5">
        <f>+IF(W4='Main_O+R_WTC'!$G$54,SUM(W19:W20,W25:W26,W31:W32)*4/'Main_O+R_WTC'!$G$51,0)*(1-'Main_O+R_WTC'!$G$58)*'Main_O+R_WTC'!$G$53</f>
        <v>0</v>
      </c>
      <c r="X35" s="5">
        <f>+IF(X4='Main_O+R_WTC'!$G$54,SUM(X19:X20,X25:X26,X31:X32)*4/'Main_O+R_WTC'!$G$51,0)*(1-'Main_O+R_WTC'!$G$58)*'Main_O+R_WTC'!$G$53</f>
        <v>0</v>
      </c>
      <c r="Y35" s="5">
        <f>+IF(Y4='Main_O+R_WTC'!$G$54,SUM(Y19:Y20,Y25:Y26,Y31:Y32)*4/'Main_O+R_WTC'!$G$51,0)*(1-'Main_O+R_WTC'!$G$58)*'Main_O+R_WTC'!$G$53</f>
        <v>0</v>
      </c>
      <c r="Z35" s="5">
        <f>+IF(Z4='Main_O+R_WTC'!$G$54,SUM(Z19:Z20,Z25:Z26,Z31:Z32)*4/'Main_O+R_WTC'!$G$51,0)*(1-'Main_O+R_WTC'!$G$58)*'Main_O+R_WTC'!$G$53</f>
        <v>0</v>
      </c>
      <c r="AA35" s="5">
        <f>+IF(AA4='Main_O+R_WTC'!$G$54,SUM(AA19:AA20,AA25:AA26,AA31:AA32)*4/'Main_O+R_WTC'!$G$51,0)*(1-'Main_O+R_WTC'!$G$58)*'Main_O+R_WTC'!$G$53</f>
        <v>0</v>
      </c>
      <c r="AB35" s="5">
        <f>+IF(AB4='Main_O+R_WTC'!$G$54,SUM(AB19:AB20,AB25:AB26,AB31:AB32)*4/'Main_O+R_WTC'!$G$51,0)*(1-'Main_O+R_WTC'!$G$58)*'Main_O+R_WTC'!$G$53</f>
        <v>1837.0537031939134</v>
      </c>
      <c r="AC35" s="5">
        <f>+IF(AC4='Main_O+R_WTC'!$G$54,SUM(AC19:AC20,AC25:AC26,AC31:AC32)*4/'Main_O+R_WTC'!$G$51,0)*(1-'Main_O+R_WTC'!$G$58)*'Main_O+R_WTC'!$G$53</f>
        <v>0</v>
      </c>
      <c r="AD35" s="5">
        <f>+IF(AD4='Main_O+R_WTC'!$G$54,SUM(AD19:AD20,AD25:AD26,AD31:AD32)*4/'Main_O+R_WTC'!$G$51,0)*(1-'Main_O+R_WTC'!$G$58)*'Main_O+R_WTC'!$G$53</f>
        <v>0</v>
      </c>
      <c r="AE35" s="5">
        <f>+IF(AE4='Main_O+R_WTC'!$G$54,SUM(AE19:AE20,AE25:AE26,AE31:AE32)*4/'Main_O+R_WTC'!$G$51,0)*(1-'Main_O+R_WTC'!$G$58)*'Main_O+R_WTC'!$G$53</f>
        <v>0</v>
      </c>
      <c r="AF35" s="5">
        <f>+IF(AF4='Main_O+R_WTC'!$G$54,SUM(AF19:AF20,AF25:AF26,AF31:AF32)*4/'Main_O+R_WTC'!$G$51,0)*(1-'Main_O+R_WTC'!$G$58)*'Main_O+R_WTC'!$G$53</f>
        <v>0</v>
      </c>
      <c r="AG35" s="5">
        <f>+IF(AG4='Main_O+R_WTC'!$G$54,SUM(AG19:AG20,AG25:AG26,AG31:AG32)*4/'Main_O+R_WTC'!$G$51,0)*(1-'Main_O+R_WTC'!$G$58)*'Main_O+R_WTC'!$G$53</f>
        <v>0</v>
      </c>
      <c r="AH35" s="5">
        <f>+IF(AH4='Main_O+R_WTC'!$G$54,SUM(AH19:AH20,AH25:AH26,AH31:AH32)*4/'Main_O+R_WTC'!$G$51,0)*(1-'Main_O+R_WTC'!$G$58)*'Main_O+R_WTC'!$G$53</f>
        <v>0</v>
      </c>
      <c r="AI35" s="5">
        <f>+IF(AI4='Main_O+R_WTC'!$G$54,SUM(AI19:AI20,AI25:AI26,AI31:AI32)*4/'Main_O+R_WTC'!$G$51,0)*(1-'Main_O+R_WTC'!$G$58)*'Main_O+R_WTC'!$G$53</f>
        <v>0</v>
      </c>
      <c r="AJ35" s="5">
        <f>+IF(AJ4='Main_O+R_WTC'!$G$54,SUM(AJ19:AJ20,AJ25:AJ26,AJ31:AJ32)*4/'Main_O+R_WTC'!$G$51,0)*(1-'Main_O+R_WTC'!$G$58)*'Main_O+R_WTC'!$G$53</f>
        <v>0</v>
      </c>
      <c r="AK35" s="5">
        <f>+IF(AK4='Main_O+R_WTC'!$G$54,SUM(AK19:AK20,AK25:AK26,AK31:AK32)*4/'Main_O+R_WTC'!$G$51,0)*(1-'Main_O+R_WTC'!$G$58)*'Main_O+R_WTC'!$G$53</f>
        <v>0</v>
      </c>
      <c r="AL35" s="5">
        <f>+IF(AL4='Main_O+R_WTC'!$G$54,SUM(AL19:AL20,AL25:AL26,AL31:AL32)*4/'Main_O+R_WTC'!$G$51,0)*(1-'Main_O+R_WTC'!$G$58)*'Main_O+R_WTC'!$G$53</f>
        <v>0</v>
      </c>
      <c r="AM35" s="5">
        <f>+IF(AM4='Main_O+R_WTC'!$G$54,SUM(AM19:AM20,AM25:AM26,AM31:AM32)*4/'Main_O+R_WTC'!$G$51,0)*(1-'Main_O+R_WTC'!$G$58)*'Main_O+R_WTC'!$G$53</f>
        <v>0</v>
      </c>
      <c r="AN35" s="5">
        <f>+IF(AN4='Main_O+R_WTC'!$G$54,SUM(AN19:AN20,AN25:AN26,AN31:AN32)*4/'Main_O+R_WTC'!$G$51,0)*(1-'Main_O+R_WTC'!$G$58)*'Main_O+R_WTC'!$G$53</f>
        <v>0</v>
      </c>
      <c r="AO35" s="5">
        <f>+IF(AO4='Main_O+R_WTC'!$G$54,SUM(AO19:AO20,AO25:AO26,AO31:AO32)*4/'Main_O+R_WTC'!$G$51,0)*(1-'Main_O+R_WTC'!$G$58)*'Main_O+R_WTC'!$G$53</f>
        <v>0</v>
      </c>
      <c r="AP35" s="5">
        <f>+IF(AP4='Main_O+R_WTC'!$G$54,SUM(AP19:AP20,AP25:AP26,AP31:AP32)*4/'Main_O+R_WTC'!$G$51,0)*(1-'Main_O+R_WTC'!$G$58)*'Main_O+R_WTC'!$G$53</f>
        <v>0</v>
      </c>
      <c r="AQ35" s="5">
        <f>+IF(AQ4='Main_O+R_WTC'!$G$54,SUM(AQ19:AQ20,AQ25:AQ26,AQ31:AQ32)*4/'Main_O+R_WTC'!$G$51,0)*(1-'Main_O+R_WTC'!$G$58)*'Main_O+R_WTC'!$G$53</f>
        <v>0</v>
      </c>
    </row>
    <row r="36" spans="2:43">
      <c r="B36" s="5" t="s">
        <v>14</v>
      </c>
      <c r="H36" s="5">
        <f>+(H18-G18)*'Main_O+R_WTC'!$H$15*H13*'Main_O+R_WTC'!$G$48/10^7+(H24-G24)*'Main_O+R_WTC'!$I$15*H13*'Main_O+R_WTC'!$G$48/10^7+(H30-G30)*'Main_O+R_WTC'!$J$15*H13*'Main_O+R_WTC'!$G$48/10^7</f>
        <v>0</v>
      </c>
      <c r="I36" s="5">
        <f>+(I18-H18)*'Main_O+R_WTC'!$H$15*I13*'Main_O+R_WTC'!$G$48/10^7+(I24-H24)*'Main_O+R_WTC'!$I$15*I13*'Main_O+R_WTC'!$G$48/10^7+(I30-H30)*'Main_O+R_WTC'!$J$15*I13*'Main_O+R_WTC'!$G$48/10^7</f>
        <v>0</v>
      </c>
      <c r="J36" s="5">
        <f>+(J18-I18)*'Main_O+R_WTC'!$H$15*J13*'Main_O+R_WTC'!$G$48/10^7+(J24-I24)*'Main_O+R_WTC'!$I$15*J13*'Main_O+R_WTC'!$G$48/10^7+(J30-I30)*'Main_O+R_WTC'!$J$15*J13*'Main_O+R_WTC'!$G$48/10^7</f>
        <v>0</v>
      </c>
      <c r="K36" s="5">
        <f>+(K18-J18)*'Main_O+R_WTC'!$H$15*K13*'Main_O+R_WTC'!$G$48/10^7+(K24-J24)*'Main_O+R_WTC'!$I$15*K13*'Main_O+R_WTC'!$G$48/10^7+(K30-J30)*'Main_O+R_WTC'!$J$15*K13*'Main_O+R_WTC'!$G$48/10^7</f>
        <v>0</v>
      </c>
      <c r="L36" s="5">
        <f>+(L18-K18)*'Main_O+R_WTC'!$H$15*L13*'Main_O+R_WTC'!$G$48/10^7+(L24-K24)*'Main_O+R_WTC'!$I$15*L13*'Main_O+R_WTC'!$G$48/10^7+(L30-K30)*'Main_O+R_WTC'!$J$15*L13*'Main_O+R_WTC'!$G$48/10^7</f>
        <v>0</v>
      </c>
      <c r="M36" s="5">
        <f>+(M18-L18)*'Main_O+R_WTC'!$H$15*M13*'Main_O+R_WTC'!$G$48/10^7+(M24-L24)*'Main_O+R_WTC'!$I$15*M13*'Main_O+R_WTC'!$G$48/10^7+(M30-L30)*'Main_O+R_WTC'!$J$15*M13*'Main_O+R_WTC'!$G$48/10^7</f>
        <v>0</v>
      </c>
      <c r="N36" s="5">
        <f>+(N18-M18)*'Main_O+R_WTC'!$H$15*N13*'Main_O+R_WTC'!$G$48/10^7+(N24-M24)*'Main_O+R_WTC'!$I$15*N13*'Main_O+R_WTC'!$G$48/10^7+(N30-M30)*'Main_O+R_WTC'!$J$15*N13*'Main_O+R_WTC'!$G$48/10^7</f>
        <v>0</v>
      </c>
      <c r="O36" s="5">
        <f>+(O18-N18)*'Main_O+R_WTC'!$H$15*O13*'Main_O+R_WTC'!$G$48/10^7+(O24-N24)*'Main_O+R_WTC'!$I$15*O13*'Main_O+R_WTC'!$G$48/10^7+(O30-N30)*'Main_O+R_WTC'!$J$15*O13*'Main_O+R_WTC'!$G$48/10^7</f>
        <v>0</v>
      </c>
      <c r="P36" s="5">
        <f>+(P18-O18)*'Main_O+R_WTC'!$H$15*P13*'Main_O+R_WTC'!$G$48/10^7+(P24-O24)*'Main_O+R_WTC'!$I$15*P13*'Main_O+R_WTC'!$G$48/10^7+(P30-O30)*'Main_O+R_WTC'!$J$15*P13*'Main_O+R_WTC'!$G$48/10^7</f>
        <v>0</v>
      </c>
      <c r="Q36" s="5">
        <f>+(Q18-P18)*'Main_O+R_WTC'!$H$15*Q13*'Main_O+R_WTC'!$G$48/10^7+(Q24-P24)*'Main_O+R_WTC'!$I$15*Q13*'Main_O+R_WTC'!$G$48/10^7+(Q30-P30)*'Main_O+R_WTC'!$J$15*Q13*'Main_O+R_WTC'!$G$48/10^7</f>
        <v>0</v>
      </c>
      <c r="R36" s="5">
        <f>+(R18-Q18)*'Main_O+R_WTC'!$H$15*R13*'Main_O+R_WTC'!$G$48/10^7+(R24-Q24)*'Main_O+R_WTC'!$I$15*R13*'Main_O+R_WTC'!$G$48/10^7+(R30-Q30)*'Main_O+R_WTC'!$J$15*R13*'Main_O+R_WTC'!$G$48/10^7</f>
        <v>0</v>
      </c>
      <c r="S36" s="5">
        <f>+(S18-R18)*'Main_O+R_WTC'!$H$15*S13*'Main_O+R_WTC'!$G$48/10^7+(S24-R24)*'Main_O+R_WTC'!$I$15*S13*'Main_O+R_WTC'!$G$48/10^7+(S30-R30)*'Main_O+R_WTC'!$J$15*S13*'Main_O+R_WTC'!$G$48/10^7</f>
        <v>0</v>
      </c>
      <c r="T36" s="5">
        <f>+(T18-S18)*'Main_O+R_WTC'!$H$15*T13*'Main_O+R_WTC'!$G$48/10^7+(T24-S24)*'Main_O+R_WTC'!$I$15*T13*'Main_O+R_WTC'!$G$48/10^7+(T30-S30)*'Main_O+R_WTC'!$J$15*T13*'Main_O+R_WTC'!$G$48/10^7</f>
        <v>0</v>
      </c>
      <c r="U36" s="5">
        <f>+(U18-T18)*'Main_O+R_WTC'!$H$15*U13*'Main_O+R_WTC'!$G$48/10^7+(U24-T24)*'Main_O+R_WTC'!$I$15*U13*'Main_O+R_WTC'!$G$48/10^7+(U30-T30)*'Main_O+R_WTC'!$J$15*U13*'Main_O+R_WTC'!$G$48/10^7</f>
        <v>0</v>
      </c>
      <c r="V36" s="5">
        <f>+(V18-U18)*'Main_O+R_WTC'!$H$15*V13*'Main_O+R_WTC'!$G$48/10^7+(V24-U24)*'Main_O+R_WTC'!$I$15*V13*'Main_O+R_WTC'!$G$48/10^7+(V30-U30)*'Main_O+R_WTC'!$J$15*V13*'Main_O+R_WTC'!$G$48/10^7</f>
        <v>0</v>
      </c>
      <c r="W36" s="5">
        <f>+(W18-V18)*'Main_O+R_WTC'!$H$15*W13*'Main_O+R_WTC'!$G$48/10^7+(W24-V24)*'Main_O+R_WTC'!$I$15*W13*'Main_O+R_WTC'!$G$48/10^7+(W30-V30)*'Main_O+R_WTC'!$J$15*W13*'Main_O+R_WTC'!$G$48/10^7</f>
        <v>0</v>
      </c>
      <c r="X36" s="5">
        <f>+(X18-W18)*'Main_O+R_WTC'!$H$15*X13*'Main_O+R_WTC'!$G$48/10^7+(X24-W24)*'Main_O+R_WTC'!$I$15*X13*'Main_O+R_WTC'!$G$48/10^7+(X30-W30)*'Main_O+R_WTC'!$J$15*X13*'Main_O+R_WTC'!$G$48/10^7</f>
        <v>16.228129085355405</v>
      </c>
      <c r="Y36" s="5">
        <f>+(Y18-X18)*'Main_O+R_WTC'!$H$15*Y13*'Main_O+R_WTC'!$G$48/10^7+(Y24-X24)*'Main_O+R_WTC'!$I$15*Y13*'Main_O+R_WTC'!$G$48/10^7+(Y30-X30)*'Main_O+R_WTC'!$J$15*Y13*'Main_O+R_WTC'!$G$48/10^7</f>
        <v>16.228129085355405</v>
      </c>
      <c r="Z36" s="5">
        <f>+(Z18-Y18)*'Main_O+R_WTC'!$H$15*Z13*'Main_O+R_WTC'!$G$48/10^7+(Z24-Y24)*'Main_O+R_WTC'!$I$15*Z13*'Main_O+R_WTC'!$G$48/10^7+(Z30-Y30)*'Main_O+R_WTC'!$J$15*Z13*'Main_O+R_WTC'!$G$48/10^7</f>
        <v>16.228129085355405</v>
      </c>
      <c r="AA36" s="5">
        <f>+(AA18-Z18)*'Main_O+R_WTC'!$H$15*AA13*'Main_O+R_WTC'!$G$48/10^7+(AA24-Z24)*'Main_O+R_WTC'!$I$15*AA13*'Main_O+R_WTC'!$G$48/10^7+(AA30-Z30)*'Main_O+R_WTC'!$J$15*AA13*'Main_O+R_WTC'!$G$48/10^7</f>
        <v>16.228129085355405</v>
      </c>
      <c r="AB36" s="5">
        <f>+(AB18-AA18)*'Main_O+R_WTC'!$H$15*AB13*'Main_O+R_WTC'!$G$48/10^7+(AB24-AA24)*'Main_O+R_WTC'!$I$15*AB13*'Main_O+R_WTC'!$G$48/10^7+(AB30-AA30)*'Main_O+R_WTC'!$J$15*AB13*'Main_O+R_WTC'!$G$48/10^7</f>
        <v>0</v>
      </c>
      <c r="AC36" s="5">
        <f>+(AC18-AB18)*'Main_O+R_WTC'!$H$15*AC13*'Main_O+R_WTC'!$G$48/10^7+(AC24-AB24)*'Main_O+R_WTC'!$I$15*AC13*'Main_O+R_WTC'!$G$48/10^7+(AC30-AB30)*'Main_O+R_WTC'!$J$15*AC13*'Main_O+R_WTC'!$G$48/10^7</f>
        <v>0</v>
      </c>
      <c r="AD36" s="5">
        <f>+(AD18-AC18)*'Main_O+R_WTC'!$H$15*AD13*'Main_O+R_WTC'!$G$48/10^7+(AD24-AC24)*'Main_O+R_WTC'!$I$15*AD13*'Main_O+R_WTC'!$G$48/10^7+(AD30-AC30)*'Main_O+R_WTC'!$J$15*AD13*'Main_O+R_WTC'!$G$48/10^7</f>
        <v>0</v>
      </c>
      <c r="AE36" s="5">
        <f>+(AE18-AD18)*'Main_O+R_WTC'!$H$15*AE13*'Main_O+R_WTC'!$G$48/10^7+(AE24-AD24)*'Main_O+R_WTC'!$I$15*AE13*'Main_O+R_WTC'!$G$48/10^7+(AE30-AD30)*'Main_O+R_WTC'!$J$15*AE13*'Main_O+R_WTC'!$G$48/10^7</f>
        <v>0</v>
      </c>
      <c r="AF36" s="5">
        <f>+(AF18-AE18)*'Main_O+R_WTC'!$H$15*AF13*'Main_O+R_WTC'!$G$48/10^7+(AF24-AE24)*'Main_O+R_WTC'!$I$15*AF13*'Main_O+R_WTC'!$G$48/10^7+(AF30-AE30)*'Main_O+R_WTC'!$J$15*AF13*'Main_O+R_WTC'!$G$48/10^7</f>
        <v>0</v>
      </c>
      <c r="AG36" s="5">
        <f>+(AG18-AF18)*'Main_O+R_WTC'!$H$15*AG13*'Main_O+R_WTC'!$G$48/10^7+(AG24-AF24)*'Main_O+R_WTC'!$I$15*AG13*'Main_O+R_WTC'!$G$48/10^7+(AG30-AF30)*'Main_O+R_WTC'!$J$15*AG13*'Main_O+R_WTC'!$G$48/10^7</f>
        <v>0</v>
      </c>
      <c r="AH36" s="5">
        <f>+(AH18-AG18)*'Main_O+R_WTC'!$H$15*AH13*'Main_O+R_WTC'!$G$48/10^7+(AH24-AG24)*'Main_O+R_WTC'!$I$15*AH13*'Main_O+R_WTC'!$G$48/10^7+(AH30-AG30)*'Main_O+R_WTC'!$J$15*AH13*'Main_O+R_WTC'!$G$48/10^7</f>
        <v>0</v>
      </c>
      <c r="AI36" s="5">
        <f>+(AI18-AH18)*'Main_O+R_WTC'!$H$15*AI13*'Main_O+R_WTC'!$G$48/10^7+(AI24-AH24)*'Main_O+R_WTC'!$I$15*AI13*'Main_O+R_WTC'!$G$48/10^7+(AI30-AH30)*'Main_O+R_WTC'!$J$15*AI13*'Main_O+R_WTC'!$G$48/10^7</f>
        <v>0</v>
      </c>
      <c r="AJ36" s="5">
        <f>+(AJ18-AI18)*'Main_O+R_WTC'!$H$15*AJ13*'Main_O+R_WTC'!$G$48/10^7+(AJ24-AI24)*'Main_O+R_WTC'!$I$15*AJ13*'Main_O+R_WTC'!$G$48/10^7+(AJ30-AI30)*'Main_O+R_WTC'!$J$15*AJ13*'Main_O+R_WTC'!$G$48/10^7</f>
        <v>0</v>
      </c>
      <c r="AK36" s="5">
        <f>+(AK18-AJ18)*'Main_O+R_WTC'!$H$15*AK13*'Main_O+R_WTC'!$G$48/10^7+(AK24-AJ24)*'Main_O+R_WTC'!$I$15*AK13*'Main_O+R_WTC'!$G$48/10^7+(AK30-AJ30)*'Main_O+R_WTC'!$J$15*AK13*'Main_O+R_WTC'!$G$48/10^7</f>
        <v>0</v>
      </c>
      <c r="AL36" s="5">
        <f>+(AL18-AK18)*'Main_O+R_WTC'!$H$15*AL13*'Main_O+R_WTC'!$G$48/10^7+(AL24-AK24)*'Main_O+R_WTC'!$I$15*AL13*'Main_O+R_WTC'!$G$48/10^7+(AL30-AK30)*'Main_O+R_WTC'!$J$15*AL13*'Main_O+R_WTC'!$G$48/10^7</f>
        <v>0</v>
      </c>
      <c r="AM36" s="5">
        <f>+(AM18-AL18)*'Main_O+R_WTC'!$H$15*AM13*'Main_O+R_WTC'!$G$48/10^7+(AM24-AL24)*'Main_O+R_WTC'!$I$15*AM13*'Main_O+R_WTC'!$G$48/10^7+(AM30-AL30)*'Main_O+R_WTC'!$J$15*AM13*'Main_O+R_WTC'!$G$48/10^7</f>
        <v>0</v>
      </c>
      <c r="AN36" s="5">
        <f>+(AN18-AM18)*'Main_O+R_WTC'!$H$15*AN13*'Main_O+R_WTC'!$G$48/10^7+(AN24-AM24)*'Main_O+R_WTC'!$I$15*AN13*'Main_O+R_WTC'!$G$48/10^7+(AN30-AM30)*'Main_O+R_WTC'!$J$15*AN13*'Main_O+R_WTC'!$G$48/10^7</f>
        <v>0</v>
      </c>
      <c r="AO36" s="5">
        <f>+(AO18-AN18)*'Main_O+R_WTC'!$H$15*AO13*'Main_O+R_WTC'!$G$48/10^7+(AO24-AN24)*'Main_O+R_WTC'!$I$15*AO13*'Main_O+R_WTC'!$G$48/10^7+(AO30-AN30)*'Main_O+R_WTC'!$J$15*AO13*'Main_O+R_WTC'!$G$48/10^7</f>
        <v>0</v>
      </c>
      <c r="AP36" s="5">
        <f>+(AP18-AO18)*'Main_O+R_WTC'!$H$15*AP13*'Main_O+R_WTC'!$G$48/10^7+(AP24-AO24)*'Main_O+R_WTC'!$I$15*AP13*'Main_O+R_WTC'!$G$48/10^7+(AP30-AO30)*'Main_O+R_WTC'!$J$15*AP13*'Main_O+R_WTC'!$G$48/10^7</f>
        <v>0</v>
      </c>
      <c r="AQ36" s="5">
        <f>+(AQ18-AP18)*'Main_O+R_WTC'!$H$15*AQ13*'Main_O+R_WTC'!$G$48/10^7+(AQ24-AP24)*'Main_O+R_WTC'!$I$15*AQ13*'Main_O+R_WTC'!$G$48/10^7+(AQ30-AP30)*'Main_O+R_WTC'!$J$15*AQ13*'Main_O+R_WTC'!$G$48/10^7</f>
        <v>0</v>
      </c>
    </row>
    <row r="37" spans="2:43">
      <c r="B37" s="5" t="s">
        <v>13</v>
      </c>
      <c r="H37" s="5">
        <f>+(H18-G18)*'Main_O+R_WTC'!$H$14*H13*'Main_O+R_WTC'!$G$48/10^7+(H24-G24)*'Main_O+R_WTC'!$I$14*H13*'Main_O+R_WTC'!$G$48/10^7+(H30-G30)*'Main_O+R_WTC'!$J$14*H13*'Main_O+R_WTC'!$G$48/10^7</f>
        <v>0</v>
      </c>
      <c r="I37" s="5">
        <f>+(I18-H18)*'Main_O+R_WTC'!$H$14*I13*'Main_O+R_WTC'!$G$48/10^7+(I24-H24)*'Main_O+R_WTC'!$I$14*I13*'Main_O+R_WTC'!$G$48/10^7+(I30-H30)*'Main_O+R_WTC'!$J$14*I13*'Main_O+R_WTC'!$G$48/10^7</f>
        <v>0</v>
      </c>
      <c r="J37" s="5">
        <f>+(J18-I18)*'Main_O+R_WTC'!$H$14*J13*'Main_O+R_WTC'!$G$48/10^7+(J24-I24)*'Main_O+R_WTC'!$I$14*J13*'Main_O+R_WTC'!$G$48/10^7+(J30-I30)*'Main_O+R_WTC'!$J$14*J13*'Main_O+R_WTC'!$G$48/10^7</f>
        <v>0</v>
      </c>
      <c r="K37" s="5">
        <f>+(K18-J18)*'Main_O+R_WTC'!$H$14*K13*'Main_O+R_WTC'!$G$48/10^7+(K24-J24)*'Main_O+R_WTC'!$I$14*K13*'Main_O+R_WTC'!$G$48/10^7+(K30-J30)*'Main_O+R_WTC'!$J$14*K13*'Main_O+R_WTC'!$G$48/10^7</f>
        <v>0</v>
      </c>
      <c r="L37" s="5">
        <f>+(L18-K18)*'Main_O+R_WTC'!$H$14*L13*'Main_O+R_WTC'!$G$48/10^7+(L24-K24)*'Main_O+R_WTC'!$I$14*L13*'Main_O+R_WTC'!$G$48/10^7+(L30-K30)*'Main_O+R_WTC'!$J$14*L13*'Main_O+R_WTC'!$G$48/10^7</f>
        <v>0</v>
      </c>
      <c r="M37" s="5">
        <f>+(M18-L18)*'Main_O+R_WTC'!$H$14*M13*'Main_O+R_WTC'!$G$48/10^7+(M24-L24)*'Main_O+R_WTC'!$I$14*M13*'Main_O+R_WTC'!$G$48/10^7+(M30-L30)*'Main_O+R_WTC'!$J$14*M13*'Main_O+R_WTC'!$G$48/10^7</f>
        <v>0</v>
      </c>
      <c r="N37" s="5">
        <f>+(N18-M18)*'Main_O+R_WTC'!$H$14*N13*'Main_O+R_WTC'!$G$48/10^7+(N24-M24)*'Main_O+R_WTC'!$I$14*N13*'Main_O+R_WTC'!$G$48/10^7+(N30-M30)*'Main_O+R_WTC'!$J$14*N13*'Main_O+R_WTC'!$G$48/10^7</f>
        <v>0</v>
      </c>
      <c r="O37" s="5">
        <f>+(O18-N18)*'Main_O+R_WTC'!$H$14*O13*'Main_O+R_WTC'!$G$48/10^7+(O24-N24)*'Main_O+R_WTC'!$I$14*O13*'Main_O+R_WTC'!$G$48/10^7+(O30-N30)*'Main_O+R_WTC'!$J$14*O13*'Main_O+R_WTC'!$G$48/10^7</f>
        <v>0</v>
      </c>
      <c r="P37" s="5">
        <f>+(P18-O18)*'Main_O+R_WTC'!$H$14*P13*'Main_O+R_WTC'!$G$48/10^7+(P24-O24)*'Main_O+R_WTC'!$I$14*P13*'Main_O+R_WTC'!$G$48/10^7+(P30-O30)*'Main_O+R_WTC'!$J$14*P13*'Main_O+R_WTC'!$G$48/10^7</f>
        <v>0</v>
      </c>
      <c r="Q37" s="5">
        <f>+(Q18-P18)*'Main_O+R_WTC'!$H$14*Q13*'Main_O+R_WTC'!$G$48/10^7+(Q24-P24)*'Main_O+R_WTC'!$I$14*Q13*'Main_O+R_WTC'!$G$48/10^7+(Q30-P30)*'Main_O+R_WTC'!$J$14*Q13*'Main_O+R_WTC'!$G$48/10^7</f>
        <v>0</v>
      </c>
      <c r="R37" s="5">
        <f>+(R18-Q18)*'Main_O+R_WTC'!$H$14*R13*'Main_O+R_WTC'!$G$48/10^7+(R24-Q24)*'Main_O+R_WTC'!$I$14*R13*'Main_O+R_WTC'!$G$48/10^7+(R30-Q30)*'Main_O+R_WTC'!$J$14*R13*'Main_O+R_WTC'!$G$48/10^7</f>
        <v>0</v>
      </c>
      <c r="S37" s="5">
        <f>+(S18-R18)*'Main_O+R_WTC'!$H$14*S13*'Main_O+R_WTC'!$G$48/10^7+(S24-R24)*'Main_O+R_WTC'!$I$14*S13*'Main_O+R_WTC'!$G$48/10^7+(S30-R30)*'Main_O+R_WTC'!$J$14*S13*'Main_O+R_WTC'!$G$48/10^7</f>
        <v>0</v>
      </c>
      <c r="T37" s="5">
        <f>+(T18-S18)*'Main_O+R_WTC'!$H$14*T13*'Main_O+R_WTC'!$G$48/10^7+(T24-S24)*'Main_O+R_WTC'!$I$14*T13*'Main_O+R_WTC'!$G$48/10^7+(T30-S30)*'Main_O+R_WTC'!$J$14*T13*'Main_O+R_WTC'!$G$48/10^7</f>
        <v>0</v>
      </c>
      <c r="U37" s="5">
        <f>+(U18-T18)*'Main_O+R_WTC'!$H$14*U13*'Main_O+R_WTC'!$G$48/10^7+(U24-T24)*'Main_O+R_WTC'!$I$14*U13*'Main_O+R_WTC'!$G$48/10^7+(U30-T30)*'Main_O+R_WTC'!$J$14*U13*'Main_O+R_WTC'!$G$48/10^7</f>
        <v>0</v>
      </c>
      <c r="V37" s="5">
        <f>+(V18-U18)*'Main_O+R_WTC'!$H$14*V13*'Main_O+R_WTC'!$G$48/10^7+(V24-U24)*'Main_O+R_WTC'!$I$14*V13*'Main_O+R_WTC'!$G$48/10^7+(V30-U30)*'Main_O+R_WTC'!$J$14*V13*'Main_O+R_WTC'!$G$48/10^7</f>
        <v>0</v>
      </c>
      <c r="W37" s="5">
        <f>+(W18-V18)*'Main_O+R_WTC'!$H$14*W13*'Main_O+R_WTC'!$G$48/10^7+(W24-V24)*'Main_O+R_WTC'!$I$14*W13*'Main_O+R_WTC'!$G$48/10^7+(W30-V30)*'Main_O+R_WTC'!$J$14*W13*'Main_O+R_WTC'!$G$48/10^7</f>
        <v>0</v>
      </c>
      <c r="X37" s="5">
        <f>+(X18-W18)*'Main_O+R_WTC'!$H$14*X13*'Main_O+R_WTC'!$G$48/10^7+(X24-W24)*'Main_O+R_WTC'!$I$14*X13*'Main_O+R_WTC'!$G$48/10^7+(X30-W30)*'Main_O+R_WTC'!$J$14*X13*'Main_O+R_WTC'!$G$48/10^7</f>
        <v>1.66536678641291</v>
      </c>
      <c r="Y37" s="5">
        <f>+(Y18-X18)*'Main_O+R_WTC'!$H$14*Y13*'Main_O+R_WTC'!$G$48/10^7+(Y24-X24)*'Main_O+R_WTC'!$I$14*Y13*'Main_O+R_WTC'!$G$48/10^7+(Y30-X30)*'Main_O+R_WTC'!$J$14*Y13*'Main_O+R_WTC'!$G$48/10^7</f>
        <v>1.66536678641291</v>
      </c>
      <c r="Z37" s="5">
        <f>+(Z18-Y18)*'Main_O+R_WTC'!$H$14*Z13*'Main_O+R_WTC'!$G$48/10^7+(Z24-Y24)*'Main_O+R_WTC'!$I$14*Z13*'Main_O+R_WTC'!$G$48/10^7+(Z30-Y30)*'Main_O+R_WTC'!$J$14*Z13*'Main_O+R_WTC'!$G$48/10^7</f>
        <v>1.6653667864129102</v>
      </c>
      <c r="AA37" s="5">
        <f>+(AA18-Z18)*'Main_O+R_WTC'!$H$14*AA13*'Main_O+R_WTC'!$G$48/10^7+(AA24-Z24)*'Main_O+R_WTC'!$I$14*AA13*'Main_O+R_WTC'!$G$48/10^7+(AA30-Z30)*'Main_O+R_WTC'!$J$14*AA13*'Main_O+R_WTC'!$G$48/10^7</f>
        <v>0</v>
      </c>
      <c r="AB37" s="5">
        <f>+(AB18-AA18)*'Main_O+R_WTC'!$H$14*AB13*'Main_O+R_WTC'!$G$48/10^7+(AB24-AA24)*'Main_O+R_WTC'!$I$14*AB13*'Main_O+R_WTC'!$G$48/10^7+(AB30-AA30)*'Main_O+R_WTC'!$J$14*AB13*'Main_O+R_WTC'!$G$48/10^7</f>
        <v>0</v>
      </c>
      <c r="AC37" s="5">
        <f>+(AC18-AB18)*'Main_O+R_WTC'!$H$14*AC13*'Main_O+R_WTC'!$G$48/10^7+(AC24-AB24)*'Main_O+R_WTC'!$I$14*AC13*'Main_O+R_WTC'!$G$48/10^7+(AC30-AB30)*'Main_O+R_WTC'!$J$14*AC13*'Main_O+R_WTC'!$G$48/10^7</f>
        <v>0</v>
      </c>
      <c r="AD37" s="5">
        <f>+(AD18-AC18)*'Main_O+R_WTC'!$H$14*AD13*'Main_O+R_WTC'!$G$48/10^7+(AD24-AC24)*'Main_O+R_WTC'!$I$14*AD13*'Main_O+R_WTC'!$G$48/10^7+(AD30-AC30)*'Main_O+R_WTC'!$J$14*AD13*'Main_O+R_WTC'!$G$48/10^7</f>
        <v>0</v>
      </c>
      <c r="AE37" s="5">
        <f>+(AE18-AD18)*'Main_O+R_WTC'!$H$14*AE13*'Main_O+R_WTC'!$G$48/10^7+(AE24-AD24)*'Main_O+R_WTC'!$I$14*AE13*'Main_O+R_WTC'!$G$48/10^7+(AE30-AD30)*'Main_O+R_WTC'!$J$14*AE13*'Main_O+R_WTC'!$G$48/10^7</f>
        <v>0</v>
      </c>
      <c r="AF37" s="5">
        <f>+(AF18-AE18)*'Main_O+R_WTC'!$H$14*AF13*'Main_O+R_WTC'!$G$48/10^7+(AF24-AE24)*'Main_O+R_WTC'!$I$14*AF13*'Main_O+R_WTC'!$G$48/10^7+(AF30-AE30)*'Main_O+R_WTC'!$J$14*AF13*'Main_O+R_WTC'!$G$48/10^7</f>
        <v>0</v>
      </c>
      <c r="AG37" s="5">
        <f>+(AG18-AF18)*'Main_O+R_WTC'!$H$14*AG13*'Main_O+R_WTC'!$G$48/10^7+(AG24-AF24)*'Main_O+R_WTC'!$I$14*AG13*'Main_O+R_WTC'!$G$48/10^7+(AG30-AF30)*'Main_O+R_WTC'!$J$14*AG13*'Main_O+R_WTC'!$G$48/10^7</f>
        <v>0</v>
      </c>
      <c r="AH37" s="5">
        <f>+(AH18-AG18)*'Main_O+R_WTC'!$H$14*AH13*'Main_O+R_WTC'!$G$48/10^7+(AH24-AG24)*'Main_O+R_WTC'!$I$14*AH13*'Main_O+R_WTC'!$G$48/10^7+(AH30-AG30)*'Main_O+R_WTC'!$J$14*AH13*'Main_O+R_WTC'!$G$48/10^7</f>
        <v>0</v>
      </c>
      <c r="AI37" s="5">
        <f>+(AI18-AH18)*'Main_O+R_WTC'!$H$14*AI13*'Main_O+R_WTC'!$G$48/10^7+(AI24-AH24)*'Main_O+R_WTC'!$I$14*AI13*'Main_O+R_WTC'!$G$48/10^7+(AI30-AH30)*'Main_O+R_WTC'!$J$14*AI13*'Main_O+R_WTC'!$G$48/10^7</f>
        <v>0</v>
      </c>
      <c r="AJ37" s="5">
        <f>+(AJ18-AI18)*'Main_O+R_WTC'!$H$14*AJ13*'Main_O+R_WTC'!$G$48/10^7+(AJ24-AI24)*'Main_O+R_WTC'!$I$14*AJ13*'Main_O+R_WTC'!$G$48/10^7+(AJ30-AI30)*'Main_O+R_WTC'!$J$14*AJ13*'Main_O+R_WTC'!$G$48/10^7</f>
        <v>0</v>
      </c>
      <c r="AK37" s="5">
        <f>+(AK18-AJ18)*'Main_O+R_WTC'!$H$14*AK13*'Main_O+R_WTC'!$G$48/10^7+(AK24-AJ24)*'Main_O+R_WTC'!$I$14*AK13*'Main_O+R_WTC'!$G$48/10^7+(AK30-AJ30)*'Main_O+R_WTC'!$J$14*AK13*'Main_O+R_WTC'!$G$48/10^7</f>
        <v>0</v>
      </c>
      <c r="AL37" s="5">
        <f>+(AL18-AK18)*'Main_O+R_WTC'!$H$14*AL13*'Main_O+R_WTC'!$G$48/10^7+(AL24-AK24)*'Main_O+R_WTC'!$I$14*AL13*'Main_O+R_WTC'!$G$48/10^7+(AL30-AK30)*'Main_O+R_WTC'!$J$14*AL13*'Main_O+R_WTC'!$G$48/10^7</f>
        <v>0</v>
      </c>
      <c r="AM37" s="5">
        <f>+(AM18-AL18)*'Main_O+R_WTC'!$H$14*AM13*'Main_O+R_WTC'!$G$48/10^7+(AM24-AL24)*'Main_O+R_WTC'!$I$14*AM13*'Main_O+R_WTC'!$G$48/10^7+(AM30-AL30)*'Main_O+R_WTC'!$J$14*AM13*'Main_O+R_WTC'!$G$48/10^7</f>
        <v>0</v>
      </c>
      <c r="AN37" s="5">
        <f>+(AN18-AM18)*'Main_O+R_WTC'!$H$14*AN13*'Main_O+R_WTC'!$G$48/10^7+(AN24-AM24)*'Main_O+R_WTC'!$I$14*AN13*'Main_O+R_WTC'!$G$48/10^7+(AN30-AM30)*'Main_O+R_WTC'!$J$14*AN13*'Main_O+R_WTC'!$G$48/10^7</f>
        <v>0</v>
      </c>
      <c r="AO37" s="5">
        <f>+(AO18-AN18)*'Main_O+R_WTC'!$H$14*AO13*'Main_O+R_WTC'!$G$48/10^7+(AO24-AN24)*'Main_O+R_WTC'!$I$14*AO13*'Main_O+R_WTC'!$G$48/10^7+(AO30-AN30)*'Main_O+R_WTC'!$J$14*AO13*'Main_O+R_WTC'!$G$48/10^7</f>
        <v>0</v>
      </c>
      <c r="AP37" s="5">
        <f>+(AP18-AO18)*'Main_O+R_WTC'!$H$14*AP13*'Main_O+R_WTC'!$G$48/10^7+(AP24-AO24)*'Main_O+R_WTC'!$I$14*AP13*'Main_O+R_WTC'!$G$48/10^7+(AP30-AO30)*'Main_O+R_WTC'!$J$14*AP13*'Main_O+R_WTC'!$G$48/10^7</f>
        <v>0</v>
      </c>
      <c r="AQ37" s="5">
        <f>+(AQ18-AP18)*'Main_O+R_WTC'!$H$14*AQ13*'Main_O+R_WTC'!$G$48/10^7+(AQ24-AP24)*'Main_O+R_WTC'!$I$14*AQ13*'Main_O+R_WTC'!$G$48/10^7+(AQ30-AP30)*'Main_O+R_WTC'!$J$14*AQ13*'Main_O+R_WTC'!$G$48/10^7</f>
        <v>0</v>
      </c>
    </row>
    <row r="38" spans="2:43">
      <c r="B38" s="5" t="s">
        <v>12</v>
      </c>
      <c r="H38" s="5">
        <f>+SUM(H19:H20,H25:H26,H31:H32,H35:H37)</f>
        <v>0</v>
      </c>
      <c r="I38" s="5">
        <f t="shared" ref="I38:AE38" si="27">+SUM(I19:I20,I25:I26,I31:I32,I35:I37)</f>
        <v>0</v>
      </c>
      <c r="J38" s="5">
        <f t="shared" si="27"/>
        <v>0</v>
      </c>
      <c r="K38" s="5">
        <f t="shared" si="27"/>
        <v>0</v>
      </c>
      <c r="L38" s="5">
        <f t="shared" si="27"/>
        <v>0</v>
      </c>
      <c r="M38" s="5">
        <f t="shared" si="27"/>
        <v>0</v>
      </c>
      <c r="N38" s="5">
        <f t="shared" si="27"/>
        <v>0</v>
      </c>
      <c r="O38" s="5">
        <f t="shared" si="27"/>
        <v>0</v>
      </c>
      <c r="P38" s="5">
        <f t="shared" si="27"/>
        <v>0</v>
      </c>
      <c r="Q38" s="5">
        <f t="shared" si="27"/>
        <v>0</v>
      </c>
      <c r="R38" s="5">
        <f t="shared" si="27"/>
        <v>0</v>
      </c>
      <c r="S38" s="5">
        <f t="shared" si="27"/>
        <v>0</v>
      </c>
      <c r="T38" s="5">
        <f t="shared" si="27"/>
        <v>0</v>
      </c>
      <c r="U38" s="5">
        <f t="shared" si="27"/>
        <v>0</v>
      </c>
      <c r="V38" s="5">
        <f t="shared" si="27"/>
        <v>0</v>
      </c>
      <c r="W38" s="5">
        <f t="shared" si="27"/>
        <v>0</v>
      </c>
      <c r="X38" s="5">
        <f t="shared" si="27"/>
        <v>27.274687317151493</v>
      </c>
      <c r="Y38" s="5">
        <f t="shared" si="27"/>
        <v>36.65587876253467</v>
      </c>
      <c r="Z38" s="5">
        <f t="shared" si="27"/>
        <v>46.03707020791785</v>
      </c>
      <c r="AA38" s="5">
        <f t="shared" si="27"/>
        <v>52.485767964182642</v>
      </c>
      <c r="AB38" s="5">
        <f t="shared" si="27"/>
        <v>1873.3113420727407</v>
      </c>
      <c r="AC38" s="5">
        <f t="shared" si="27"/>
        <v>0</v>
      </c>
      <c r="AD38" s="5">
        <f t="shared" si="27"/>
        <v>0</v>
      </c>
      <c r="AE38" s="5">
        <f t="shared" si="27"/>
        <v>0</v>
      </c>
      <c r="AF38" s="5">
        <f t="shared" ref="AF38:AQ38" si="28">+SUM(AF19:AF20,AF25:AF26,AF31:AF32,AF35:AF37)</f>
        <v>0</v>
      </c>
      <c r="AG38" s="5">
        <f t="shared" si="28"/>
        <v>0</v>
      </c>
      <c r="AH38" s="5">
        <f t="shared" si="28"/>
        <v>0</v>
      </c>
      <c r="AI38" s="5">
        <f t="shared" si="28"/>
        <v>0</v>
      </c>
      <c r="AJ38" s="5">
        <f t="shared" si="28"/>
        <v>0</v>
      </c>
      <c r="AK38" s="5">
        <f t="shared" si="28"/>
        <v>0</v>
      </c>
      <c r="AL38" s="5">
        <f t="shared" si="28"/>
        <v>0</v>
      </c>
      <c r="AM38" s="5">
        <f t="shared" si="28"/>
        <v>0</v>
      </c>
      <c r="AN38" s="5">
        <f t="shared" si="28"/>
        <v>0</v>
      </c>
      <c r="AO38" s="5">
        <f t="shared" si="28"/>
        <v>0</v>
      </c>
      <c r="AP38" s="5">
        <f t="shared" si="28"/>
        <v>0</v>
      </c>
      <c r="AQ38" s="5">
        <f t="shared" si="28"/>
        <v>0</v>
      </c>
    </row>
    <row r="40" spans="2:43">
      <c r="B40" s="5" t="s">
        <v>69</v>
      </c>
      <c r="H40" s="5">
        <f>-SUM('Main_O+R_WTC'!$G$14:$G$15)*H$8*H$5*'Main_O+R_WTC'!$G$18/10^7</f>
        <v>0</v>
      </c>
      <c r="I40" s="5">
        <f>-SUM('Main_O+R_WTC'!$G$14:$G$15)*I$8*I$5*'Main_O+R_WTC'!$G$18/10^7</f>
        <v>0</v>
      </c>
      <c r="J40" s="5">
        <f>-SUM('Main_O+R_WTC'!$G$14:$G$15)*J$8*J$5*'Main_O+R_WTC'!$G$18/10^7</f>
        <v>0</v>
      </c>
      <c r="K40" s="5">
        <f>-SUM('Main_O+R_WTC'!$G$14:$G$15)*K$8*K$5*'Main_O+R_WTC'!$G$18/10^7</f>
        <v>0</v>
      </c>
      <c r="L40" s="5">
        <f>-SUM('Main_O+R_WTC'!$G$14:$G$15)*L$8*L$5*'Main_O+R_WTC'!$G$18/10^7</f>
        <v>0</v>
      </c>
      <c r="M40" s="5">
        <f>-SUM('Main_O+R_WTC'!$G$14:$G$15)*M$8*M$5*'Main_O+R_WTC'!$G$18/10^7</f>
        <v>0</v>
      </c>
      <c r="N40" s="5">
        <f>-SUM('Main_O+R_WTC'!$G$14:$G$15)*N$8*N$5*'Main_O+R_WTC'!$G$18/10^7</f>
        <v>0</v>
      </c>
      <c r="O40" s="5">
        <f>-SUM('Main_O+R_WTC'!$G$14:$G$15)*O$8*O$5*'Main_O+R_WTC'!$G$18/10^7</f>
        <v>0</v>
      </c>
      <c r="P40" s="5">
        <f>-SUM('Main_O+R_WTC'!$G$14:$G$15)*P$8*P$5*'Main_O+R_WTC'!$G$18/10^7</f>
        <v>0</v>
      </c>
      <c r="Q40" s="5">
        <f>-SUM('Main_O+R_WTC'!$G$14:$G$15)*Q$8*Q$5*'Main_O+R_WTC'!$G$18/10^7</f>
        <v>0</v>
      </c>
      <c r="R40" s="5">
        <f>-SUM('Main_O+R_WTC'!$G$14:$G$15)*R$8*R$5*'Main_O+R_WTC'!$G$18/10^7</f>
        <v>0</v>
      </c>
      <c r="S40" s="5">
        <f>-SUM('Main_O+R_WTC'!$G$14:$G$15)*S$8*S$5*'Main_O+R_WTC'!$G$18/10^7</f>
        <v>0</v>
      </c>
      <c r="T40" s="5">
        <f>-SUM('Main_O+R_WTC'!$G$14:$G$15)*T$8*T$5*'Main_O+R_WTC'!$G$18/10^7</f>
        <v>0</v>
      </c>
      <c r="U40" s="5">
        <f>-SUM('Main_O+R_WTC'!$G$14:$G$15)*U$8*U$5*'Main_O+R_WTC'!$G$18/10^7</f>
        <v>0</v>
      </c>
      <c r="V40" s="5">
        <f>-SUM('Main_O+R_WTC'!$G$14:$G$15)*V$8*V$5*'Main_O+R_WTC'!$G$18/10^7</f>
        <v>0</v>
      </c>
      <c r="W40" s="5">
        <f>-SUM('Main_O+R_WTC'!$G$14:$G$15)*W$8*W$5*'Main_O+R_WTC'!$G$18/10^7</f>
        <v>0</v>
      </c>
      <c r="X40" s="5">
        <f>-SUM('Main_O+R_WTC'!$G$14:$G$15)*X$8*X$5*'Main_O+R_WTC'!$G$18/10^7</f>
        <v>0</v>
      </c>
      <c r="Y40" s="5">
        <f>-SUM('Main_O+R_WTC'!$G$14:$G$15)*Y$8*Y$5*'Main_O+R_WTC'!$G$18/10^7</f>
        <v>0</v>
      </c>
      <c r="Z40" s="5">
        <f>-SUM('Main_O+R_WTC'!$G$14:$G$15)*Z$8*Z$5*'Main_O+R_WTC'!$G$18/10^7</f>
        <v>0</v>
      </c>
      <c r="AA40" s="5">
        <f>-SUM('Main_O+R_WTC'!$G$14:$G$15)*AA$8*AA$5*'Main_O+R_WTC'!$G$18/10^7</f>
        <v>0</v>
      </c>
      <c r="AB40" s="5">
        <f>-SUM('Main_O+R_WTC'!$G$14:$G$15)*AB$8*AB$5*'Main_O+R_WTC'!$G$18/10^7</f>
        <v>0</v>
      </c>
      <c r="AC40" s="5">
        <f>-SUM('Main_O+R_WTC'!$G$14:$G$15)*AC$8*AC$5*'Main_O+R_WTC'!$G$18/10^7</f>
        <v>0</v>
      </c>
      <c r="AD40" s="5">
        <f>-SUM('Main_O+R_WTC'!$G$14:$G$15)*AD$8*AD$5*'Main_O+R_WTC'!$G$18/10^7</f>
        <v>0</v>
      </c>
      <c r="AE40" s="5">
        <f>-SUM('Main_O+R_WTC'!$G$14:$G$15)*AE$8*AE$5*'Main_O+R_WTC'!$G$18/10^7</f>
        <v>0</v>
      </c>
      <c r="AF40" s="5">
        <f>-SUM('Main_O+R_WTC'!$G$14:$G$15)*AF$8*AF$5*'Main_O+R_WTC'!$G$18/10^7</f>
        <v>0</v>
      </c>
      <c r="AG40" s="5">
        <f>-SUM('Main_O+R_WTC'!$G$14:$G$15)*AG$8*AG$5*'Main_O+R_WTC'!$G$18/10^7</f>
        <v>0</v>
      </c>
      <c r="AH40" s="5">
        <f>-SUM('Main_O+R_WTC'!$G$14:$G$15)*AH$8*AH$5*'Main_O+R_WTC'!$G$18/10^7</f>
        <v>0</v>
      </c>
      <c r="AI40" s="5">
        <f>-SUM('Main_O+R_WTC'!$G$14:$G$15)*AI$8*AI$5*'Main_O+R_WTC'!$G$18/10^7</f>
        <v>0</v>
      </c>
      <c r="AJ40" s="5">
        <f>-SUM('Main_O+R_WTC'!$G$14:$G$15)*AJ$8*AJ$5*'Main_O+R_WTC'!$G$18/10^7</f>
        <v>0</v>
      </c>
      <c r="AK40" s="5">
        <f>-SUM('Main_O+R_WTC'!$G$14:$G$15)*AK$8*AK$5*'Main_O+R_WTC'!$G$18/10^7</f>
        <v>0</v>
      </c>
      <c r="AL40" s="5">
        <f>-SUM('Main_O+R_WTC'!$G$14:$G$15)*AL$8*AL$5*'Main_O+R_WTC'!$G$18/10^7</f>
        <v>0</v>
      </c>
      <c r="AM40" s="5">
        <f>-SUM('Main_O+R_WTC'!$G$14:$G$15)*AM$8*AM$5*'Main_O+R_WTC'!$G$18/10^7</f>
        <v>0</v>
      </c>
      <c r="AN40" s="5">
        <f>-SUM('Main_O+R_WTC'!$G$14:$G$15)*AN$8*AN$5*'Main_O+R_WTC'!$G$18/10^7</f>
        <v>0</v>
      </c>
      <c r="AO40" s="5">
        <f>-SUM('Main_O+R_WTC'!$G$14:$G$15)*AO$8*AO$5*'Main_O+R_WTC'!$G$18/10^7</f>
        <v>0</v>
      </c>
      <c r="AP40" s="5">
        <f>-SUM('Main_O+R_WTC'!$G$14:$G$15)*AP$8*AP$5*'Main_O+R_WTC'!$G$18/10^7</f>
        <v>0</v>
      </c>
      <c r="AQ40" s="5">
        <f>-SUM('Main_O+R_WTC'!$G$14:$G$15)*AQ$8*AQ$5*'Main_O+R_WTC'!$G$18/10^7</f>
        <v>0</v>
      </c>
    </row>
    <row r="41" spans="2:43">
      <c r="B41" s="5" t="s">
        <v>70</v>
      </c>
      <c r="H41" s="5">
        <f>-SUM('Main_O+R_WTC'!$G$14:$G$15)*H$8*H$5*'Main_O+R_WTC'!$G$19/10^7</f>
        <v>-34.111786298301702</v>
      </c>
      <c r="I41" s="5">
        <f>-SUM('Main_O+R_WTC'!$G$14:$G$15)*I$8*I$5*'Main_O+R_WTC'!$G$19/10^7</f>
        <v>-37.784326894030144</v>
      </c>
      <c r="J41" s="5">
        <f>-SUM('Main_O+R_WTC'!$G$14:$G$15)*J$8*J$5*'Main_O+R_WTC'!$G$19/10^7</f>
        <v>-52.591324290601563</v>
      </c>
      <c r="K41" s="5">
        <f>-SUM('Main_O+R_WTC'!$G$14:$G$15)*K$8*K$5*'Main_O+R_WTC'!$G$19/10^7</f>
        <v>-40.959800016948215</v>
      </c>
      <c r="L41" s="5">
        <f>-SUM('Main_O+R_WTC'!$G$14:$G$15)*L$8*L$5*'Main_O+R_WTC'!$G$19/10^7</f>
        <v>-52.130920674598165</v>
      </c>
      <c r="M41" s="5">
        <f>-SUM('Main_O+R_WTC'!$G$14:$G$15)*M$8*M$5*'Main_O+R_WTC'!$G$19/10^7</f>
        <v>-55.046974883288954</v>
      </c>
      <c r="N41" s="5">
        <f>-SUM('Main_O+R_WTC'!$G$14:$G$15)*N$8*N$5*'Main_O+R_WTC'!$G$19/10^7</f>
        <v>-75.805916765821749</v>
      </c>
      <c r="O41" s="5">
        <f>-SUM('Main_O+R_WTC'!$G$14:$G$15)*O$8*O$5*'Main_O+R_WTC'!$G$19/10^7</f>
        <v>-63.528611411028145</v>
      </c>
      <c r="P41" s="5">
        <f>-SUM('Main_O+R_WTC'!$G$14:$G$15)*P$8*P$5*'Main_O+R_WTC'!$G$19/10^7</f>
        <v>-41.484325505038271</v>
      </c>
      <c r="Q41" s="5">
        <f>-SUM('Main_O+R_WTC'!$G$14:$G$15)*Q$8*Q$5*'Main_O+R_WTC'!$G$19/10^7</f>
        <v>-42.845760159165799</v>
      </c>
      <c r="R41" s="5">
        <f>-SUM('Main_O+R_WTC'!$G$14:$G$15)*R$8*R$5*'Main_O+R_WTC'!$G$19/10^7</f>
        <v>-46.315787062670559</v>
      </c>
      <c r="S41" s="5">
        <f>-SUM('Main_O+R_WTC'!$G$14:$G$15)*S$8*S$5*'Main_O+R_WTC'!$G$19/10^7</f>
        <v>-59.444297370765817</v>
      </c>
      <c r="T41" s="5">
        <f>-SUM('Main_O+R_WTC'!$G$14:$G$15)*T$8*T$5*'Main_O+R_WTC'!$G$19/10^7</f>
        <v>-48.564744891964658</v>
      </c>
      <c r="U41" s="5">
        <f>-SUM('Main_O+R_WTC'!$G$14:$G$15)*U$8*U$5*'Main_O+R_WTC'!$G$19/10^7</f>
        <v>-39.74954403077183</v>
      </c>
      <c r="V41" s="5">
        <f>-SUM('Main_O+R_WTC'!$G$14:$G$15)*V$8*V$5*'Main_O+R_WTC'!$G$19/10^7</f>
        <v>-14.742230678310024</v>
      </c>
      <c r="W41" s="5">
        <f>-SUM('Main_O+R_WTC'!$G$14:$G$15)*W$8*W$5*'Main_O+R_WTC'!$G$19/10^7</f>
        <v>-9.7436903941565962</v>
      </c>
      <c r="X41" s="5">
        <f>-SUM('Main_O+R_WTC'!$G$14:$G$15)*X$8*X$5*'Main_O+R_WTC'!$G$19/10^7</f>
        <v>0</v>
      </c>
      <c r="Y41" s="5">
        <f>-SUM('Main_O+R_WTC'!$G$14:$G$15)*Y$8*Y$5*'Main_O+R_WTC'!$G$19/10^7</f>
        <v>0</v>
      </c>
      <c r="Z41" s="5">
        <f>-SUM('Main_O+R_WTC'!$G$14:$G$15)*Z$8*Z$5*'Main_O+R_WTC'!$G$19/10^7</f>
        <v>0</v>
      </c>
      <c r="AA41" s="5">
        <f>-SUM('Main_O+R_WTC'!$G$14:$G$15)*AA$8*AA$5*'Main_O+R_WTC'!$G$19/10^7</f>
        <v>0</v>
      </c>
      <c r="AB41" s="5">
        <f>-SUM('Main_O+R_WTC'!$G$14:$G$15)*AB$8*AB$5*'Main_O+R_WTC'!$G$19/10^7</f>
        <v>0</v>
      </c>
      <c r="AC41" s="5">
        <f>-SUM('Main_O+R_WTC'!$G$14:$G$15)*AC$8*AC$5*'Main_O+R_WTC'!$G$19/10^7</f>
        <v>0</v>
      </c>
      <c r="AD41" s="5">
        <f>-SUM('Main_O+R_WTC'!$G$14:$G$15)*AD$8*AD$5*'Main_O+R_WTC'!$G$19/10^7</f>
        <v>0</v>
      </c>
      <c r="AE41" s="5">
        <f>-SUM('Main_O+R_WTC'!$G$14:$G$15)*AE$8*AE$5*'Main_O+R_WTC'!$G$19/10^7</f>
        <v>0</v>
      </c>
      <c r="AF41" s="5">
        <f>-SUM('Main_O+R_WTC'!$G$14:$G$15)*AF$8*AF$5*'Main_O+R_WTC'!$G$19/10^7</f>
        <v>0</v>
      </c>
      <c r="AG41" s="5">
        <f>-SUM('Main_O+R_WTC'!$G$14:$G$15)*AG$8*AG$5*'Main_O+R_WTC'!$G$19/10^7</f>
        <v>0</v>
      </c>
      <c r="AH41" s="5">
        <f>-SUM('Main_O+R_WTC'!$G$14:$G$15)*AH$8*AH$5*'Main_O+R_WTC'!$G$19/10^7</f>
        <v>0</v>
      </c>
      <c r="AI41" s="5">
        <f>-SUM('Main_O+R_WTC'!$G$14:$G$15)*AI$8*AI$5*'Main_O+R_WTC'!$G$19/10^7</f>
        <v>0</v>
      </c>
      <c r="AJ41" s="5">
        <f>-SUM('Main_O+R_WTC'!$G$14:$G$15)*AJ$8*AJ$5*'Main_O+R_WTC'!$G$19/10^7</f>
        <v>0</v>
      </c>
      <c r="AK41" s="5">
        <f>-SUM('Main_O+R_WTC'!$G$14:$G$15)*AK$8*AK$5*'Main_O+R_WTC'!$G$19/10^7</f>
        <v>0</v>
      </c>
      <c r="AL41" s="5">
        <f>-SUM('Main_O+R_WTC'!$G$14:$G$15)*AL$8*AL$5*'Main_O+R_WTC'!$G$19/10^7</f>
        <v>0</v>
      </c>
      <c r="AM41" s="5">
        <f>-SUM('Main_O+R_WTC'!$G$14:$G$15)*AM$8*AM$5*'Main_O+R_WTC'!$G$19/10^7</f>
        <v>0</v>
      </c>
      <c r="AN41" s="5">
        <f>-SUM('Main_O+R_WTC'!$G$14:$G$15)*AN$8*AN$5*'Main_O+R_WTC'!$G$19/10^7</f>
        <v>0</v>
      </c>
      <c r="AO41" s="5">
        <f>-SUM('Main_O+R_WTC'!$G$14:$G$15)*AO$8*AO$5*'Main_O+R_WTC'!$G$19/10^7</f>
        <v>0</v>
      </c>
      <c r="AP41" s="5">
        <f>-SUM('Main_O+R_WTC'!$G$14:$G$15)*AP$8*AP$5*'Main_O+R_WTC'!$G$19/10^7</f>
        <v>0</v>
      </c>
      <c r="AQ41" s="5">
        <f>-SUM('Main_O+R_WTC'!$G$14:$G$15)*AQ$8*AQ$5*'Main_O+R_WTC'!$G$19/10^7</f>
        <v>0</v>
      </c>
    </row>
    <row r="42" spans="2:43">
      <c r="B42" s="5" t="s">
        <v>2</v>
      </c>
      <c r="H42" s="5">
        <f ca="1">-H77</f>
        <v>0</v>
      </c>
      <c r="I42" s="5">
        <f t="shared" ref="I42:AQ42" ca="1" si="29">-I77</f>
        <v>-0.26198608475648394</v>
      </c>
      <c r="J42" s="5">
        <f t="shared" ca="1" si="29"/>
        <v>-1.1622964153966975</v>
      </c>
      <c r="K42" s="5">
        <f t="shared" ca="1" si="29"/>
        <v>-2.3145030097221375</v>
      </c>
      <c r="L42" s="5">
        <f t="shared" ca="1" si="29"/>
        <v>-3.488870376900393</v>
      </c>
      <c r="M42" s="5">
        <f t="shared" ca="1" si="29"/>
        <v>-4.860759744340033</v>
      </c>
      <c r="N42" s="5">
        <f t="shared" ca="1" si="29"/>
        <v>-6.5501422943830585</v>
      </c>
      <c r="O42" s="5">
        <f t="shared" ca="1" si="29"/>
        <v>-8.3353677291007671</v>
      </c>
      <c r="P42" s="5">
        <f t="shared" ca="1" si="29"/>
        <v>-9.448392272311505</v>
      </c>
      <c r="Q42" s="5">
        <f t="shared" ca="1" si="29"/>
        <v>-10.071863380449745</v>
      </c>
      <c r="R42" s="5">
        <f t="shared" ca="1" si="29"/>
        <v>-10.732046917522078</v>
      </c>
      <c r="S42" s="5">
        <f t="shared" ca="1" si="29"/>
        <v>-11.500457305694862</v>
      </c>
      <c r="T42" s="5">
        <f t="shared" ca="1" si="29"/>
        <v>-12.291733092941062</v>
      </c>
      <c r="U42" s="5">
        <f t="shared" ca="1" si="29"/>
        <v>-12.973614548239423</v>
      </c>
      <c r="V42" s="5">
        <f t="shared" ca="1" si="29"/>
        <v>-13.459451179135364</v>
      </c>
      <c r="W42" s="5">
        <f t="shared" ca="1" si="29"/>
        <v>-13.769926757472444</v>
      </c>
      <c r="X42" s="5">
        <f t="shared" ca="1" si="29"/>
        <v>-13.995112432377663</v>
      </c>
      <c r="Y42" s="5">
        <f t="shared" ca="1" si="29"/>
        <v>-14.164168187707295</v>
      </c>
      <c r="Z42" s="5">
        <f t="shared" si="29"/>
        <v>0</v>
      </c>
      <c r="AA42" s="5">
        <f t="shared" si="29"/>
        <v>0</v>
      </c>
      <c r="AB42" s="5">
        <f t="shared" si="29"/>
        <v>0</v>
      </c>
      <c r="AC42" s="5">
        <f t="shared" si="29"/>
        <v>0</v>
      </c>
      <c r="AD42" s="5">
        <f t="shared" si="29"/>
        <v>0</v>
      </c>
      <c r="AE42" s="5">
        <f t="shared" si="29"/>
        <v>0</v>
      </c>
      <c r="AF42" s="5">
        <f t="shared" si="29"/>
        <v>0</v>
      </c>
      <c r="AG42" s="5">
        <f t="shared" si="29"/>
        <v>0</v>
      </c>
      <c r="AH42" s="5">
        <f t="shared" si="29"/>
        <v>0</v>
      </c>
      <c r="AI42" s="5">
        <f t="shared" si="29"/>
        <v>0</v>
      </c>
      <c r="AJ42" s="5">
        <f t="shared" si="29"/>
        <v>0</v>
      </c>
      <c r="AK42" s="5">
        <f t="shared" si="29"/>
        <v>0</v>
      </c>
      <c r="AL42" s="5">
        <f t="shared" si="29"/>
        <v>0</v>
      </c>
      <c r="AM42" s="5">
        <f t="shared" si="29"/>
        <v>0</v>
      </c>
      <c r="AN42" s="5">
        <f t="shared" si="29"/>
        <v>0</v>
      </c>
      <c r="AO42" s="5">
        <f t="shared" si="29"/>
        <v>0</v>
      </c>
      <c r="AP42" s="5">
        <f t="shared" si="29"/>
        <v>0</v>
      </c>
      <c r="AQ42" s="5">
        <f t="shared" si="29"/>
        <v>0</v>
      </c>
    </row>
    <row r="43" spans="2:43">
      <c r="B43" s="5" t="s">
        <v>11</v>
      </c>
      <c r="H43" s="5">
        <f t="shared" ref="H43:AE43" ca="1" si="30">SUM(H40:H42)</f>
        <v>-34.111786298301702</v>
      </c>
      <c r="I43" s="5">
        <f t="shared" ca="1" si="30"/>
        <v>-38.046312978786631</v>
      </c>
      <c r="J43" s="5">
        <f t="shared" ca="1" si="30"/>
        <v>-53.753620705998259</v>
      </c>
      <c r="K43" s="5">
        <f t="shared" ca="1" si="30"/>
        <v>-43.274303026670353</v>
      </c>
      <c r="L43" s="5">
        <f t="shared" ca="1" si="30"/>
        <v>-55.619791051498559</v>
      </c>
      <c r="M43" s="5">
        <f t="shared" ca="1" si="30"/>
        <v>-59.907734627628983</v>
      </c>
      <c r="N43" s="5">
        <f t="shared" ca="1" si="30"/>
        <v>-82.356059060204814</v>
      </c>
      <c r="O43" s="5">
        <f t="shared" ca="1" si="30"/>
        <v>-71.863979140128919</v>
      </c>
      <c r="P43" s="5">
        <f t="shared" ca="1" si="30"/>
        <v>-50.932717777349779</v>
      </c>
      <c r="Q43" s="5">
        <f t="shared" ca="1" si="30"/>
        <v>-52.917623539615548</v>
      </c>
      <c r="R43" s="5">
        <f t="shared" ca="1" si="30"/>
        <v>-57.047833980192635</v>
      </c>
      <c r="S43" s="5">
        <f t="shared" ca="1" si="30"/>
        <v>-70.944754676460676</v>
      </c>
      <c r="T43" s="5">
        <f t="shared" ca="1" si="30"/>
        <v>-60.856477984905723</v>
      </c>
      <c r="U43" s="5">
        <f t="shared" ca="1" si="30"/>
        <v>-52.723158579011255</v>
      </c>
      <c r="V43" s="5">
        <f t="shared" ca="1" si="30"/>
        <v>-28.201681857445386</v>
      </c>
      <c r="W43" s="5">
        <f t="shared" ca="1" si="30"/>
        <v>-23.513617151629042</v>
      </c>
      <c r="X43" s="5">
        <f t="shared" ca="1" si="30"/>
        <v>-13.995112432377663</v>
      </c>
      <c r="Y43" s="5">
        <f t="shared" ca="1" si="30"/>
        <v>-14.164168187707295</v>
      </c>
      <c r="Z43" s="5">
        <f t="shared" si="30"/>
        <v>0</v>
      </c>
      <c r="AA43" s="5">
        <f t="shared" si="30"/>
        <v>0</v>
      </c>
      <c r="AB43" s="5">
        <f t="shared" si="30"/>
        <v>0</v>
      </c>
      <c r="AC43" s="5">
        <f t="shared" si="30"/>
        <v>0</v>
      </c>
      <c r="AD43" s="5">
        <f t="shared" si="30"/>
        <v>0</v>
      </c>
      <c r="AE43" s="5">
        <f t="shared" si="30"/>
        <v>0</v>
      </c>
      <c r="AF43" s="5">
        <f t="shared" ref="AF43:AQ43" si="31">SUM(AF40:AF42)</f>
        <v>0</v>
      </c>
      <c r="AG43" s="5">
        <f t="shared" si="31"/>
        <v>0</v>
      </c>
      <c r="AH43" s="5">
        <f t="shared" si="31"/>
        <v>0</v>
      </c>
      <c r="AI43" s="5">
        <f t="shared" si="31"/>
        <v>0</v>
      </c>
      <c r="AJ43" s="5">
        <f t="shared" si="31"/>
        <v>0</v>
      </c>
      <c r="AK43" s="5">
        <f t="shared" si="31"/>
        <v>0</v>
      </c>
      <c r="AL43" s="5">
        <f t="shared" si="31"/>
        <v>0</v>
      </c>
      <c r="AM43" s="5">
        <f t="shared" si="31"/>
        <v>0</v>
      </c>
      <c r="AN43" s="5">
        <f t="shared" si="31"/>
        <v>0</v>
      </c>
      <c r="AO43" s="5">
        <f t="shared" si="31"/>
        <v>0</v>
      </c>
      <c r="AP43" s="5">
        <f t="shared" si="31"/>
        <v>0</v>
      </c>
      <c r="AQ43" s="5">
        <f t="shared" si="31"/>
        <v>0</v>
      </c>
    </row>
    <row r="45" spans="2:43">
      <c r="B45" s="5" t="s">
        <v>58</v>
      </c>
      <c r="H45" s="5">
        <f>-SUM(H19:H20,H25:H26)*'Main_O+R_WTC'!$G$58</f>
        <v>0</v>
      </c>
      <c r="I45" s="5">
        <f>-SUM(I19:I20,I25:I26)*'Main_O+R_WTC'!$G$58</f>
        <v>0</v>
      </c>
      <c r="J45" s="5">
        <f>-SUM(J19:J20,J25:J26)*'Main_O+R_WTC'!$G$58</f>
        <v>0</v>
      </c>
      <c r="K45" s="5">
        <f>-SUM(K19:K20,K25:K26)*'Main_O+R_WTC'!$G$58</f>
        <v>0</v>
      </c>
      <c r="L45" s="5">
        <f>-SUM(L19:L20,L25:L26)*'Main_O+R_WTC'!$G$58</f>
        <v>0</v>
      </c>
      <c r="M45" s="5">
        <f>-SUM(M19:M20,M25:M26)*'Main_O+R_WTC'!$G$58</f>
        <v>0</v>
      </c>
      <c r="N45" s="5">
        <f>-SUM(N19:N20,N25:N26)*'Main_O+R_WTC'!$G$58</f>
        <v>0</v>
      </c>
      <c r="O45" s="5">
        <f>-SUM(O19:O20,O25:O26)*'Main_O+R_WTC'!$G$58</f>
        <v>0</v>
      </c>
      <c r="P45" s="5">
        <f>-SUM(P19:P20,P25:P26)*'Main_O+R_WTC'!$G$58</f>
        <v>0</v>
      </c>
      <c r="Q45" s="5">
        <f>-SUM(Q19:Q20,Q25:Q26)*'Main_O+R_WTC'!$G$58</f>
        <v>0</v>
      </c>
      <c r="R45" s="5">
        <f>-SUM(R19:R20,R25:R26)*'Main_O+R_WTC'!$G$58</f>
        <v>0</v>
      </c>
      <c r="S45" s="5">
        <f>-SUM(S19:S20,S25:S26)*'Main_O+R_WTC'!$G$58</f>
        <v>0</v>
      </c>
      <c r="T45" s="5">
        <f>-SUM(T19:T20,T25:T26)*'Main_O+R_WTC'!$G$58</f>
        <v>0</v>
      </c>
      <c r="U45" s="5">
        <f>-SUM(U19:U20,U25:U26)*'Main_O+R_WTC'!$G$58</f>
        <v>0</v>
      </c>
      <c r="V45" s="5">
        <f>-SUM(V19:V20,V25:V26)*'Main_O+R_WTC'!$G$58</f>
        <v>0</v>
      </c>
      <c r="W45" s="5">
        <f>-SUM(W19:W20,W25:W26)*'Main_O+R_WTC'!$G$58</f>
        <v>0</v>
      </c>
      <c r="X45" s="5">
        <f>-SUM(X19:X20,X25:X26)*'Main_O+R_WTC'!$G$58</f>
        <v>0</v>
      </c>
      <c r="Y45" s="5">
        <f>-SUM(Y19:Y20,Y25:Y26)*'Main_O+R_WTC'!$G$58</f>
        <v>0</v>
      </c>
      <c r="Z45" s="5">
        <f>-SUM(Z19:Z20,Z25:Z26)*'Main_O+R_WTC'!$G$58</f>
        <v>0</v>
      </c>
      <c r="AA45" s="5">
        <f>-SUM(AA19:AA20,AA25:AA26)*'Main_O+R_WTC'!$G$58</f>
        <v>0</v>
      </c>
      <c r="AB45" s="5">
        <f>-SUM(AB19:AB20,AB25:AB26)*'Main_O+R_WTC'!$G$58</f>
        <v>0</v>
      </c>
      <c r="AC45" s="5">
        <f>-SUM(AC19:AC20,AC25:AC26)*'Main_O+R_WTC'!$G$58</f>
        <v>0</v>
      </c>
      <c r="AD45" s="5">
        <f>-SUM(AD19:AD20,AD25:AD26)*'Main_O+R_WTC'!$G$58</f>
        <v>0</v>
      </c>
      <c r="AE45" s="5">
        <f>-SUM(AE19:AE20,AE25:AE26)*'Main_O+R_WTC'!$G$58</f>
        <v>0</v>
      </c>
      <c r="AF45" s="5">
        <f>-SUM(AF19:AF20,AF25:AF26)*'Main_O+R_WTC'!$G$58</f>
        <v>0</v>
      </c>
      <c r="AG45" s="5">
        <f>-SUM(AG19:AG20,AG25:AG26)*'Main_O+R_WTC'!$G$58</f>
        <v>0</v>
      </c>
      <c r="AH45" s="5">
        <f>-SUM(AH19:AH20,AH25:AH26)*'Main_O+R_WTC'!$G$58</f>
        <v>0</v>
      </c>
      <c r="AI45" s="5">
        <f>-SUM(AI19:AI20,AI25:AI26)*'Main_O+R_WTC'!$G$58</f>
        <v>0</v>
      </c>
      <c r="AJ45" s="5">
        <f>-SUM(AJ19:AJ20,AJ25:AJ26)*'Main_O+R_WTC'!$G$58</f>
        <v>0</v>
      </c>
      <c r="AK45" s="5">
        <f>-SUM(AK19:AK20,AK25:AK26)*'Main_O+R_WTC'!$G$58</f>
        <v>0</v>
      </c>
      <c r="AL45" s="5">
        <f>-SUM(AL19:AL20,AL25:AL26)*'Main_O+R_WTC'!$G$58</f>
        <v>0</v>
      </c>
      <c r="AM45" s="5">
        <f>-SUM(AM19:AM20,AM25:AM26)*'Main_O+R_WTC'!$G$58</f>
        <v>0</v>
      </c>
      <c r="AN45" s="5">
        <f>-SUM(AN19:AN20,AN25:AN26)*'Main_O+R_WTC'!$G$58</f>
        <v>0</v>
      </c>
      <c r="AO45" s="5">
        <f>-SUM(AO19:AO20,AO25:AO26)*'Main_O+R_WTC'!$G$58</f>
        <v>0</v>
      </c>
      <c r="AP45" s="5">
        <f>-SUM(AP19:AP20,AP25:AP26)*'Main_O+R_WTC'!$G$58</f>
        <v>0</v>
      </c>
      <c r="AQ45" s="5">
        <f>-SUM(AQ19:AQ20,AQ25:AQ26)*'Main_O+R_WTC'!$G$58</f>
        <v>0</v>
      </c>
    </row>
    <row r="46" spans="2:43">
      <c r="B46" s="5" t="s">
        <v>59</v>
      </c>
      <c r="H46" s="5">
        <f>-(H18-G18)*'Main_O+R_WTC'!$H$15*'Main_O+R_WTC'!$G$57*'PH1_O+R'!H13/10^7-(H24-G24)*'Main_O+R_WTC'!$I$15*'Main_O+R_WTC'!$G$57*'PH1_O+R'!H13/10^7</f>
        <v>0</v>
      </c>
      <c r="I46" s="5">
        <f>-(I18-H18)*'Main_O+R_WTC'!$H$15*'Main_O+R_WTC'!$G$57*'PH1_O+R'!I13/10^7-(I24-H24)*'Main_O+R_WTC'!$I$15*'Main_O+R_WTC'!$G$57*'PH1_O+R'!I13/10^7</f>
        <v>0</v>
      </c>
      <c r="J46" s="5">
        <f>-(J18-I18)*'Main_O+R_WTC'!$H$15*'Main_O+R_WTC'!$G$57*'PH1_O+R'!J13/10^7-(J24-I24)*'Main_O+R_WTC'!$I$15*'Main_O+R_WTC'!$G$57*'PH1_O+R'!J13/10^7</f>
        <v>0</v>
      </c>
      <c r="K46" s="5">
        <f>-(K18-J18)*'Main_O+R_WTC'!$H$15*'Main_O+R_WTC'!$G$57*'PH1_O+R'!K13/10^7-(K24-J24)*'Main_O+R_WTC'!$I$15*'Main_O+R_WTC'!$G$57*'PH1_O+R'!K13/10^7</f>
        <v>0</v>
      </c>
      <c r="L46" s="5">
        <f>-(L18-K18)*'Main_O+R_WTC'!$H$15*'Main_O+R_WTC'!$G$57*'PH1_O+R'!L13/10^7-(L24-K24)*'Main_O+R_WTC'!$I$15*'Main_O+R_WTC'!$G$57*'PH1_O+R'!L13/10^7</f>
        <v>0</v>
      </c>
      <c r="M46" s="5">
        <f>-(M18-L18)*'Main_O+R_WTC'!$H$15*'Main_O+R_WTC'!$G$57*'PH1_O+R'!M13/10^7-(M24-L24)*'Main_O+R_WTC'!$I$15*'Main_O+R_WTC'!$G$57*'PH1_O+R'!M13/10^7</f>
        <v>0</v>
      </c>
      <c r="N46" s="5">
        <f>-(N18-M18)*'Main_O+R_WTC'!$H$15*'Main_O+R_WTC'!$G$57*'PH1_O+R'!N13/10^7-(N24-M24)*'Main_O+R_WTC'!$I$15*'Main_O+R_WTC'!$G$57*'PH1_O+R'!N13/10^7</f>
        <v>0</v>
      </c>
      <c r="O46" s="5">
        <f>-(O18-N18)*'Main_O+R_WTC'!$H$15*'Main_O+R_WTC'!$G$57*'PH1_O+R'!O13/10^7-(O24-N24)*'Main_O+R_WTC'!$I$15*'Main_O+R_WTC'!$G$57*'PH1_O+R'!O13/10^7</f>
        <v>0</v>
      </c>
      <c r="P46" s="5">
        <f>-(P18-O18)*'Main_O+R_WTC'!$H$15*'Main_O+R_WTC'!$G$57*'PH1_O+R'!P13/10^7-(P24-O24)*'Main_O+R_WTC'!$I$15*'Main_O+R_WTC'!$G$57*'PH1_O+R'!P13/10^7</f>
        <v>0</v>
      </c>
      <c r="Q46" s="5">
        <f>-(Q18-P18)*'Main_O+R_WTC'!$H$15*'Main_O+R_WTC'!$G$57*'PH1_O+R'!Q13/10^7-(Q24-P24)*'Main_O+R_WTC'!$I$15*'Main_O+R_WTC'!$G$57*'PH1_O+R'!Q13/10^7</f>
        <v>0</v>
      </c>
      <c r="R46" s="5">
        <f>-(R18-Q18)*'Main_O+R_WTC'!$H$15*'Main_O+R_WTC'!$G$57*'PH1_O+R'!R13/10^7-(R24-Q24)*'Main_O+R_WTC'!$I$15*'Main_O+R_WTC'!$G$57*'PH1_O+R'!R13/10^7</f>
        <v>0</v>
      </c>
      <c r="S46" s="5">
        <f>-(S18-R18)*'Main_O+R_WTC'!$H$15*'Main_O+R_WTC'!$G$57*'PH1_O+R'!S13/10^7-(S24-R24)*'Main_O+R_WTC'!$I$15*'Main_O+R_WTC'!$G$57*'PH1_O+R'!S13/10^7</f>
        <v>0</v>
      </c>
      <c r="T46" s="5">
        <f>-(T18-S18)*'Main_O+R_WTC'!$H$15*'Main_O+R_WTC'!$G$57*'PH1_O+R'!T13/10^7-(T24-S24)*'Main_O+R_WTC'!$I$15*'Main_O+R_WTC'!$G$57*'PH1_O+R'!T13/10^7</f>
        <v>0</v>
      </c>
      <c r="U46" s="5">
        <f>-(U18-T18)*'Main_O+R_WTC'!$H$15*'Main_O+R_WTC'!$G$57*'PH1_O+R'!U13/10^7-(U24-T24)*'Main_O+R_WTC'!$I$15*'Main_O+R_WTC'!$G$57*'PH1_O+R'!U13/10^7</f>
        <v>0</v>
      </c>
      <c r="V46" s="5">
        <f>-(V18-U18)*'Main_O+R_WTC'!$H$15*'Main_O+R_WTC'!$G$57*'PH1_O+R'!V13/10^7-(V24-U24)*'Main_O+R_WTC'!$I$15*'Main_O+R_WTC'!$G$57*'PH1_O+R'!V13/10^7</f>
        <v>0</v>
      </c>
      <c r="W46" s="5">
        <f>-(W18-V18)*'Main_O+R_WTC'!$H$15*'Main_O+R_WTC'!$G$57*'PH1_O+R'!W13/10^7-(W24-V24)*'Main_O+R_WTC'!$I$15*'Main_O+R_WTC'!$G$57*'PH1_O+R'!W13/10^7</f>
        <v>0</v>
      </c>
      <c r="X46" s="5">
        <f>-(X18-W18)*'Main_O+R_WTC'!$H$15*'Main_O+R_WTC'!$G$57*'PH1_O+R'!X13/10^7-(X24-W24)*'Main_O+R_WTC'!$I$15*'Main_O+R_WTC'!$G$57*'PH1_O+R'!X13/10^7</f>
        <v>-5.409376361785136</v>
      </c>
      <c r="Y46" s="5">
        <f>-(Y18-X18)*'Main_O+R_WTC'!$H$15*'Main_O+R_WTC'!$G$57*'PH1_O+R'!Y13/10^7-(Y24-X24)*'Main_O+R_WTC'!$I$15*'Main_O+R_WTC'!$G$57*'PH1_O+R'!Y13/10^7</f>
        <v>-5.409376361785136</v>
      </c>
      <c r="Z46" s="5">
        <f>-(Z18-Y18)*'Main_O+R_WTC'!$H$15*'Main_O+R_WTC'!$G$57*'PH1_O+R'!Z13/10^7-(Z24-Y24)*'Main_O+R_WTC'!$I$15*'Main_O+R_WTC'!$G$57*'PH1_O+R'!Z13/10^7</f>
        <v>-5.409376361785136</v>
      </c>
      <c r="AA46" s="5">
        <f>-(AA18-Z18)*'Main_O+R_WTC'!$H$15*'Main_O+R_WTC'!$G$57*'PH1_O+R'!AA13/10^7-(AA24-Z24)*'Main_O+R_WTC'!$I$15*'Main_O+R_WTC'!$G$57*'PH1_O+R'!AA13/10^7</f>
        <v>-5.409376361785136</v>
      </c>
      <c r="AB46" s="5">
        <f>-(AB18-AA18)*'Main_O+R_WTC'!$H$15*'Main_O+R_WTC'!$G$57*'PH1_O+R'!AB13/10^7-(AB24-AA24)*'Main_O+R_WTC'!$I$15*'Main_O+R_WTC'!$G$57*'PH1_O+R'!AB13/10^7</f>
        <v>0</v>
      </c>
      <c r="AC46" s="5">
        <f>-(AC18-AB18)*'Main_O+R_WTC'!$H$15*'Main_O+R_WTC'!$G$57*'PH1_O+R'!AC13/10^7-(AC24-AB24)*'Main_O+R_WTC'!$I$15*'Main_O+R_WTC'!$G$57*'PH1_O+R'!AC13/10^7</f>
        <v>0</v>
      </c>
      <c r="AD46" s="5">
        <f>-(AD18-AC18)*'Main_O+R_WTC'!$H$15*'Main_O+R_WTC'!$G$57*'PH1_O+R'!AD13/10^7-(AD24-AC24)*'Main_O+R_WTC'!$I$15*'Main_O+R_WTC'!$G$57*'PH1_O+R'!AD13/10^7</f>
        <v>0</v>
      </c>
      <c r="AE46" s="5">
        <f>-(AE18-AD18)*'Main_O+R_WTC'!$H$15*'Main_O+R_WTC'!$G$57*'PH1_O+R'!AE13/10^7-(AE24-AD24)*'Main_O+R_WTC'!$I$15*'Main_O+R_WTC'!$G$57*'PH1_O+R'!AE13/10^7</f>
        <v>0</v>
      </c>
      <c r="AF46" s="5">
        <f>-(AF18-AE18)*'Main_O+R_WTC'!$H$15*'Main_O+R_WTC'!$G$57*'PH1_O+R'!AF13/10^7-(AF24-AE24)*'Main_O+R_WTC'!$I$15*'Main_O+R_WTC'!$G$57*'PH1_O+R'!AF13/10^7</f>
        <v>0</v>
      </c>
      <c r="AG46" s="5">
        <f>-(AG18-AF18)*'Main_O+R_WTC'!$H$15*'Main_O+R_WTC'!$G$57*'PH1_O+R'!AG13/10^7-(AG24-AF24)*'Main_O+R_WTC'!$I$15*'Main_O+R_WTC'!$G$57*'PH1_O+R'!AG13/10^7</f>
        <v>0</v>
      </c>
      <c r="AH46" s="5">
        <f>-(AH18-AG18)*'Main_O+R_WTC'!$H$15*'Main_O+R_WTC'!$G$57*'PH1_O+R'!AH13/10^7-(AH24-AG24)*'Main_O+R_WTC'!$I$15*'Main_O+R_WTC'!$G$57*'PH1_O+R'!AH13/10^7</f>
        <v>0</v>
      </c>
      <c r="AI46" s="5">
        <f>-(AI18-AH18)*'Main_O+R_WTC'!$H$15*'Main_O+R_WTC'!$G$57*'PH1_O+R'!AI13/10^7-(AI24-AH24)*'Main_O+R_WTC'!$I$15*'Main_O+R_WTC'!$G$57*'PH1_O+R'!AI13/10^7</f>
        <v>0</v>
      </c>
      <c r="AJ46" s="5">
        <f>-(AJ18-AI18)*'Main_O+R_WTC'!$H$15*'Main_O+R_WTC'!$G$57*'PH1_O+R'!AJ13/10^7-(AJ24-AI24)*'Main_O+R_WTC'!$I$15*'Main_O+R_WTC'!$G$57*'PH1_O+R'!AJ13/10^7</f>
        <v>0</v>
      </c>
      <c r="AK46" s="5">
        <f>-(AK18-AJ18)*'Main_O+R_WTC'!$H$15*'Main_O+R_WTC'!$G$57*'PH1_O+R'!AK13/10^7-(AK24-AJ24)*'Main_O+R_WTC'!$I$15*'Main_O+R_WTC'!$G$57*'PH1_O+R'!AK13/10^7</f>
        <v>0</v>
      </c>
      <c r="AL46" s="5">
        <f>-(AL18-AK18)*'Main_O+R_WTC'!$H$15*'Main_O+R_WTC'!$G$57*'PH1_O+R'!AL13/10^7-(AL24-AK24)*'Main_O+R_WTC'!$I$15*'Main_O+R_WTC'!$G$57*'PH1_O+R'!AL13/10^7</f>
        <v>0</v>
      </c>
      <c r="AM46" s="5">
        <f>-(AM18-AL18)*'Main_O+R_WTC'!$H$15*'Main_O+R_WTC'!$G$57*'PH1_O+R'!AM13/10^7-(AM24-AL24)*'Main_O+R_WTC'!$I$15*'Main_O+R_WTC'!$G$57*'PH1_O+R'!AM13/10^7</f>
        <v>0</v>
      </c>
      <c r="AN46" s="5">
        <f>-(AN18-AM18)*'Main_O+R_WTC'!$H$15*'Main_O+R_WTC'!$G$57*'PH1_O+R'!AN13/10^7-(AN24-AM24)*'Main_O+R_WTC'!$I$15*'Main_O+R_WTC'!$G$57*'PH1_O+R'!AN13/10^7</f>
        <v>0</v>
      </c>
      <c r="AO46" s="5">
        <f>-(AO18-AN18)*'Main_O+R_WTC'!$H$15*'Main_O+R_WTC'!$G$57*'PH1_O+R'!AO13/10^7-(AO24-AN24)*'Main_O+R_WTC'!$I$15*'Main_O+R_WTC'!$G$57*'PH1_O+R'!AO13/10^7</f>
        <v>0</v>
      </c>
      <c r="AP46" s="5">
        <f>-(AP18-AO18)*'Main_O+R_WTC'!$H$15*'Main_O+R_WTC'!$G$57*'PH1_O+R'!AP13/10^7-(AP24-AO24)*'Main_O+R_WTC'!$I$15*'Main_O+R_WTC'!$G$57*'PH1_O+R'!AP13/10^7</f>
        <v>0</v>
      </c>
      <c r="AQ46" s="5">
        <f>-(AQ18-AP18)*'Main_O+R_WTC'!$H$15*'Main_O+R_WTC'!$G$57*'PH1_O+R'!AQ13/10^7-(AQ24-AP24)*'Main_O+R_WTC'!$I$15*'Main_O+R_WTC'!$G$57*'PH1_O+R'!AQ13/10^7</f>
        <v>0</v>
      </c>
    </row>
    <row r="47" spans="2:43">
      <c r="B47" s="5" t="s">
        <v>60</v>
      </c>
      <c r="H47" s="5">
        <f>-(H18-G18)*'Main_O+R_WTC'!$H$14*'Main_O+R_WTC'!$G$57*'PH1_O+R'!H14/10^7-(H24-G24)*'Main_O+R_WTC'!$I$14*'Main_O+R_WTC'!$G$57*'PH1_O+R'!H14/10^7</f>
        <v>0</v>
      </c>
      <c r="I47" s="5">
        <f>-(I18-H18)*'Main_O+R_WTC'!$H$14*'Main_O+R_WTC'!$G$57*'PH1_O+R'!I14/10^7-(I24-H24)*'Main_O+R_WTC'!$I$14*'Main_O+R_WTC'!$G$57*'PH1_O+R'!I14/10^7</f>
        <v>0</v>
      </c>
      <c r="J47" s="5">
        <f>-(J18-I18)*'Main_O+R_WTC'!$H$14*'Main_O+R_WTC'!$G$57*'PH1_O+R'!J14/10^7-(J24-I24)*'Main_O+R_WTC'!$I$14*'Main_O+R_WTC'!$G$57*'PH1_O+R'!J14/10^7</f>
        <v>0</v>
      </c>
      <c r="K47" s="5">
        <f>-(K18-J18)*'Main_O+R_WTC'!$H$14*'Main_O+R_WTC'!$G$57*'PH1_O+R'!K14/10^7-(K24-J24)*'Main_O+R_WTC'!$I$14*'Main_O+R_WTC'!$G$57*'PH1_O+R'!K14/10^7</f>
        <v>0</v>
      </c>
      <c r="L47" s="5">
        <f>-(L18-K18)*'Main_O+R_WTC'!$H$14*'Main_O+R_WTC'!$G$57*'PH1_O+R'!L14/10^7-(L24-K24)*'Main_O+R_WTC'!$I$14*'Main_O+R_WTC'!$G$57*'PH1_O+R'!L14/10^7</f>
        <v>0</v>
      </c>
      <c r="M47" s="5">
        <f>-(M18-L18)*'Main_O+R_WTC'!$H$14*'Main_O+R_WTC'!$G$57*'PH1_O+R'!M14/10^7-(M24-L24)*'Main_O+R_WTC'!$I$14*'Main_O+R_WTC'!$G$57*'PH1_O+R'!M14/10^7</f>
        <v>0</v>
      </c>
      <c r="N47" s="5">
        <f>-(N18-M18)*'Main_O+R_WTC'!$H$14*'Main_O+R_WTC'!$G$57*'PH1_O+R'!N14/10^7-(N24-M24)*'Main_O+R_WTC'!$I$14*'Main_O+R_WTC'!$G$57*'PH1_O+R'!N14/10^7</f>
        <v>0</v>
      </c>
      <c r="O47" s="5">
        <f>-(O18-N18)*'Main_O+R_WTC'!$H$14*'Main_O+R_WTC'!$G$57*'PH1_O+R'!O14/10^7-(O24-N24)*'Main_O+R_WTC'!$I$14*'Main_O+R_WTC'!$G$57*'PH1_O+R'!O14/10^7</f>
        <v>0</v>
      </c>
      <c r="P47" s="5">
        <f>-(P18-O18)*'Main_O+R_WTC'!$H$14*'Main_O+R_WTC'!$G$57*'PH1_O+R'!P14/10^7-(P24-O24)*'Main_O+R_WTC'!$I$14*'Main_O+R_WTC'!$G$57*'PH1_O+R'!P14/10^7</f>
        <v>0</v>
      </c>
      <c r="Q47" s="5">
        <f>-(Q18-P18)*'Main_O+R_WTC'!$H$14*'Main_O+R_WTC'!$G$57*'PH1_O+R'!Q14/10^7-(Q24-P24)*'Main_O+R_WTC'!$I$14*'Main_O+R_WTC'!$G$57*'PH1_O+R'!Q14/10^7</f>
        <v>0</v>
      </c>
      <c r="R47" s="5">
        <f>-(R18-Q18)*'Main_O+R_WTC'!$H$14*'Main_O+R_WTC'!$G$57*'PH1_O+R'!R14/10^7-(R24-Q24)*'Main_O+R_WTC'!$I$14*'Main_O+R_WTC'!$G$57*'PH1_O+R'!R14/10^7</f>
        <v>0</v>
      </c>
      <c r="S47" s="5">
        <f>-(S18-R18)*'Main_O+R_WTC'!$H$14*'Main_O+R_WTC'!$G$57*'PH1_O+R'!S14/10^7-(S24-R24)*'Main_O+R_WTC'!$I$14*'Main_O+R_WTC'!$G$57*'PH1_O+R'!S14/10^7</f>
        <v>0</v>
      </c>
      <c r="T47" s="5">
        <f>-(T18-S18)*'Main_O+R_WTC'!$H$14*'Main_O+R_WTC'!$G$57*'PH1_O+R'!T14/10^7-(T24-S24)*'Main_O+R_WTC'!$I$14*'Main_O+R_WTC'!$G$57*'PH1_O+R'!T14/10^7</f>
        <v>0</v>
      </c>
      <c r="U47" s="5">
        <f>-(U18-T18)*'Main_O+R_WTC'!$H$14*'Main_O+R_WTC'!$G$57*'PH1_O+R'!U14/10^7-(U24-T24)*'Main_O+R_WTC'!$I$14*'Main_O+R_WTC'!$G$57*'PH1_O+R'!U14/10^7</f>
        <v>0</v>
      </c>
      <c r="V47" s="5">
        <f>-(V18-U18)*'Main_O+R_WTC'!$H$14*'Main_O+R_WTC'!$G$57*'PH1_O+R'!V14/10^7-(V24-U24)*'Main_O+R_WTC'!$I$14*'Main_O+R_WTC'!$G$57*'PH1_O+R'!V14/10^7</f>
        <v>0</v>
      </c>
      <c r="W47" s="5">
        <f>-(W18-V18)*'Main_O+R_WTC'!$H$14*'Main_O+R_WTC'!$G$57*'PH1_O+R'!W14/10^7-(W24-V24)*'Main_O+R_WTC'!$I$14*'Main_O+R_WTC'!$G$57*'PH1_O+R'!W14/10^7</f>
        <v>0</v>
      </c>
      <c r="X47" s="5">
        <f>-(X18-W18)*'Main_O+R_WTC'!$H$14*'Main_O+R_WTC'!$G$57*'PH1_O+R'!X14/10^7-(X24-W24)*'Main_O+R_WTC'!$I$14*'Main_O+R_WTC'!$G$57*'PH1_O+R'!X14/10^7</f>
        <v>0</v>
      </c>
      <c r="Y47" s="5">
        <f>-(Y18-X18)*'Main_O+R_WTC'!$H$14*'Main_O+R_WTC'!$G$57*'PH1_O+R'!Y14/10^7-(Y24-X24)*'Main_O+R_WTC'!$I$14*'Main_O+R_WTC'!$G$57*'PH1_O+R'!Y14/10^7</f>
        <v>0</v>
      </c>
      <c r="Z47" s="5">
        <f>-(Z18-Y18)*'Main_O+R_WTC'!$H$14*'Main_O+R_WTC'!$G$57*'PH1_O+R'!Z14/10^7-(Z24-Y24)*'Main_O+R_WTC'!$I$14*'Main_O+R_WTC'!$G$57*'PH1_O+R'!Z14/10^7</f>
        <v>0</v>
      </c>
      <c r="AA47" s="5">
        <f>-(AA18-Z18)*'Main_O+R_WTC'!$H$14*'Main_O+R_WTC'!$G$57*'PH1_O+R'!AA14/10^7-(AA24-Z24)*'Main_O+R_WTC'!$I$14*'Main_O+R_WTC'!$G$57*'PH1_O+R'!AA14/10^7</f>
        <v>0</v>
      </c>
      <c r="AB47" s="5">
        <f>-(AB18-AA18)*'Main_O+R_WTC'!$H$14*'Main_O+R_WTC'!$G$57*'PH1_O+R'!AB14/10^7-(AB24-AA24)*'Main_O+R_WTC'!$I$14*'Main_O+R_WTC'!$G$57*'PH1_O+R'!AB14/10^7</f>
        <v>0</v>
      </c>
      <c r="AC47" s="5">
        <f>-(AC18-AB18)*'Main_O+R_WTC'!$H$14*'Main_O+R_WTC'!$G$57*'PH1_O+R'!AC14/10^7-(AC24-AB24)*'Main_O+R_WTC'!$I$14*'Main_O+R_WTC'!$G$57*'PH1_O+R'!AC14/10^7</f>
        <v>0</v>
      </c>
      <c r="AD47" s="5">
        <f>-(AD18-AC18)*'Main_O+R_WTC'!$H$14*'Main_O+R_WTC'!$G$57*'PH1_O+R'!AD14/10^7-(AD24-AC24)*'Main_O+R_WTC'!$I$14*'Main_O+R_WTC'!$G$57*'PH1_O+R'!AD14/10^7</f>
        <v>0</v>
      </c>
      <c r="AE47" s="5">
        <f>-(AE18-AD18)*'Main_O+R_WTC'!$H$14*'Main_O+R_WTC'!$G$57*'PH1_O+R'!AE14/10^7-(AE24-AD24)*'Main_O+R_WTC'!$I$14*'Main_O+R_WTC'!$G$57*'PH1_O+R'!AE14/10^7</f>
        <v>0</v>
      </c>
      <c r="AF47" s="5">
        <f>-(AF18-AE18)*'Main_O+R_WTC'!$H$14*'Main_O+R_WTC'!$G$57*'PH1_O+R'!AF14/10^7-(AF24-AE24)*'Main_O+R_WTC'!$I$14*'Main_O+R_WTC'!$G$57*'PH1_O+R'!AF14/10^7</f>
        <v>0</v>
      </c>
      <c r="AG47" s="5">
        <f>-(AG18-AF18)*'Main_O+R_WTC'!$H$14*'Main_O+R_WTC'!$G$57*'PH1_O+R'!AG14/10^7-(AG24-AF24)*'Main_O+R_WTC'!$I$14*'Main_O+R_WTC'!$G$57*'PH1_O+R'!AG14/10^7</f>
        <v>0</v>
      </c>
      <c r="AH47" s="5">
        <f>-(AH18-AG18)*'Main_O+R_WTC'!$H$14*'Main_O+R_WTC'!$G$57*'PH1_O+R'!AH14/10^7-(AH24-AG24)*'Main_O+R_WTC'!$I$14*'Main_O+R_WTC'!$G$57*'PH1_O+R'!AH14/10^7</f>
        <v>0</v>
      </c>
      <c r="AI47" s="5">
        <f>-(AI18-AH18)*'Main_O+R_WTC'!$H$14*'Main_O+R_WTC'!$G$57*'PH1_O+R'!AI14/10^7-(AI24-AH24)*'Main_O+R_WTC'!$I$14*'Main_O+R_WTC'!$G$57*'PH1_O+R'!AI14/10^7</f>
        <v>0</v>
      </c>
      <c r="AJ47" s="5">
        <f>-(AJ18-AI18)*'Main_O+R_WTC'!$H$14*'Main_O+R_WTC'!$G$57*'PH1_O+R'!AJ14/10^7-(AJ24-AI24)*'Main_O+R_WTC'!$I$14*'Main_O+R_WTC'!$G$57*'PH1_O+R'!AJ14/10^7</f>
        <v>0</v>
      </c>
      <c r="AK47" s="5">
        <f>-(AK18-AJ18)*'Main_O+R_WTC'!$H$14*'Main_O+R_WTC'!$G$57*'PH1_O+R'!AK14/10^7-(AK24-AJ24)*'Main_O+R_WTC'!$I$14*'Main_O+R_WTC'!$G$57*'PH1_O+R'!AK14/10^7</f>
        <v>0</v>
      </c>
      <c r="AL47" s="5">
        <f>-(AL18-AK18)*'Main_O+R_WTC'!$H$14*'Main_O+R_WTC'!$G$57*'PH1_O+R'!AL14/10^7-(AL24-AK24)*'Main_O+R_WTC'!$I$14*'Main_O+R_WTC'!$G$57*'PH1_O+R'!AL14/10^7</f>
        <v>0</v>
      </c>
      <c r="AM47" s="5">
        <f>-(AM18-AL18)*'Main_O+R_WTC'!$H$14*'Main_O+R_WTC'!$G$57*'PH1_O+R'!AM14/10^7-(AM24-AL24)*'Main_O+R_WTC'!$I$14*'Main_O+R_WTC'!$G$57*'PH1_O+R'!AM14/10^7</f>
        <v>0</v>
      </c>
      <c r="AN47" s="5">
        <f>-(AN18-AM18)*'Main_O+R_WTC'!$H$14*'Main_O+R_WTC'!$G$57*'PH1_O+R'!AN14/10^7-(AN24-AM24)*'Main_O+R_WTC'!$I$14*'Main_O+R_WTC'!$G$57*'PH1_O+R'!AN14/10^7</f>
        <v>0</v>
      </c>
      <c r="AO47" s="5">
        <f>-(AO18-AN18)*'Main_O+R_WTC'!$H$14*'Main_O+R_WTC'!$G$57*'PH1_O+R'!AO14/10^7-(AO24-AN24)*'Main_O+R_WTC'!$I$14*'Main_O+R_WTC'!$G$57*'PH1_O+R'!AO14/10^7</f>
        <v>0</v>
      </c>
      <c r="AP47" s="5">
        <f>-(AP18-AO18)*'Main_O+R_WTC'!$H$14*'Main_O+R_WTC'!$G$57*'PH1_O+R'!AP14/10^7-(AP24-AO24)*'Main_O+R_WTC'!$I$14*'Main_O+R_WTC'!$G$57*'PH1_O+R'!AP14/10^7</f>
        <v>0</v>
      </c>
      <c r="AQ47" s="5">
        <f>-(AQ18-AP18)*'Main_O+R_WTC'!$H$14*'Main_O+R_WTC'!$G$57*'PH1_O+R'!AQ14/10^7-(AQ24-AP24)*'Main_O+R_WTC'!$I$14*'Main_O+R_WTC'!$G$57*'PH1_O+R'!AQ14/10^7</f>
        <v>0</v>
      </c>
    </row>
    <row r="48" spans="2:43">
      <c r="B48" s="5" t="s">
        <v>68</v>
      </c>
      <c r="H48" s="5">
        <f ca="1">-H78</f>
        <v>0</v>
      </c>
      <c r="I48" s="5">
        <f t="shared" ref="I48:AE48" ca="1" si="32">-I78</f>
        <v>0</v>
      </c>
      <c r="J48" s="5">
        <f t="shared" ca="1" si="32"/>
        <v>0</v>
      </c>
      <c r="K48" s="5">
        <f t="shared" ca="1" si="32"/>
        <v>0</v>
      </c>
      <c r="L48" s="5">
        <f t="shared" ca="1" si="32"/>
        <v>0</v>
      </c>
      <c r="M48" s="5">
        <f t="shared" ca="1" si="32"/>
        <v>0</v>
      </c>
      <c r="N48" s="5">
        <f t="shared" ca="1" si="32"/>
        <v>0</v>
      </c>
      <c r="O48" s="5">
        <f t="shared" ca="1" si="32"/>
        <v>0</v>
      </c>
      <c r="P48" s="5">
        <f t="shared" ca="1" si="32"/>
        <v>0</v>
      </c>
      <c r="Q48" s="5">
        <f t="shared" ca="1" si="32"/>
        <v>0</v>
      </c>
      <c r="R48" s="5">
        <f t="shared" ca="1" si="32"/>
        <v>0</v>
      </c>
      <c r="S48" s="5">
        <f t="shared" ca="1" si="32"/>
        <v>0</v>
      </c>
      <c r="T48" s="5">
        <f t="shared" ca="1" si="32"/>
        <v>0</v>
      </c>
      <c r="U48" s="5">
        <f t="shared" ca="1" si="32"/>
        <v>0</v>
      </c>
      <c r="V48" s="5">
        <f t="shared" ca="1" si="32"/>
        <v>0</v>
      </c>
      <c r="W48" s="5">
        <f t="shared" ca="1" si="32"/>
        <v>0</v>
      </c>
      <c r="X48" s="5">
        <f t="shared" ca="1" si="32"/>
        <v>0</v>
      </c>
      <c r="Y48" s="5">
        <f t="shared" ca="1" si="32"/>
        <v>0</v>
      </c>
      <c r="Z48" s="5">
        <f t="shared" ca="1" si="32"/>
        <v>-7.1246017665153731</v>
      </c>
      <c r="AA48" s="5">
        <f t="shared" ca="1" si="32"/>
        <v>0</v>
      </c>
      <c r="AB48" s="5">
        <f t="shared" ca="1" si="32"/>
        <v>0</v>
      </c>
      <c r="AC48" s="5">
        <f t="shared" ca="1" si="32"/>
        <v>0</v>
      </c>
      <c r="AD48" s="5">
        <f t="shared" ca="1" si="32"/>
        <v>0</v>
      </c>
      <c r="AE48" s="5">
        <f t="shared" ca="1" si="32"/>
        <v>0</v>
      </c>
      <c r="AF48" s="5">
        <f t="shared" ref="AF48:AQ48" ca="1" si="33">-AF78</f>
        <v>0</v>
      </c>
      <c r="AG48" s="5">
        <f t="shared" ca="1" si="33"/>
        <v>0</v>
      </c>
      <c r="AH48" s="5">
        <f t="shared" ca="1" si="33"/>
        <v>0</v>
      </c>
      <c r="AI48" s="5">
        <f t="shared" ca="1" si="33"/>
        <v>0</v>
      </c>
      <c r="AJ48" s="5">
        <f t="shared" ca="1" si="33"/>
        <v>0</v>
      </c>
      <c r="AK48" s="5">
        <f t="shared" ca="1" si="33"/>
        <v>0</v>
      </c>
      <c r="AL48" s="5">
        <f t="shared" ca="1" si="33"/>
        <v>0</v>
      </c>
      <c r="AM48" s="5">
        <f t="shared" ca="1" si="33"/>
        <v>0</v>
      </c>
      <c r="AN48" s="5">
        <f t="shared" ca="1" si="33"/>
        <v>0</v>
      </c>
      <c r="AO48" s="5">
        <f t="shared" ca="1" si="33"/>
        <v>0</v>
      </c>
      <c r="AP48" s="5">
        <f t="shared" ca="1" si="33"/>
        <v>0</v>
      </c>
      <c r="AQ48" s="5">
        <f t="shared" ca="1" si="33"/>
        <v>0</v>
      </c>
    </row>
    <row r="49" spans="2:43">
      <c r="B49" s="5" t="s">
        <v>10</v>
      </c>
      <c r="H49" s="5">
        <f ca="1">SUM(H45:H48)</f>
        <v>0</v>
      </c>
      <c r="I49" s="5">
        <f t="shared" ref="I49:AE49" ca="1" si="34">SUM(I45:I48)</f>
        <v>0</v>
      </c>
      <c r="J49" s="5">
        <f t="shared" ca="1" si="34"/>
        <v>0</v>
      </c>
      <c r="K49" s="5">
        <f t="shared" ca="1" si="34"/>
        <v>0</v>
      </c>
      <c r="L49" s="5">
        <f t="shared" ca="1" si="34"/>
        <v>0</v>
      </c>
      <c r="M49" s="5">
        <f t="shared" ca="1" si="34"/>
        <v>0</v>
      </c>
      <c r="N49" s="5">
        <f t="shared" ca="1" si="34"/>
        <v>0</v>
      </c>
      <c r="O49" s="5">
        <f t="shared" ca="1" si="34"/>
        <v>0</v>
      </c>
      <c r="P49" s="5">
        <f t="shared" ca="1" si="34"/>
        <v>0</v>
      </c>
      <c r="Q49" s="5">
        <f t="shared" ca="1" si="34"/>
        <v>0</v>
      </c>
      <c r="R49" s="5">
        <f t="shared" ca="1" si="34"/>
        <v>0</v>
      </c>
      <c r="S49" s="5">
        <f t="shared" ca="1" si="34"/>
        <v>0</v>
      </c>
      <c r="T49" s="5">
        <f t="shared" ca="1" si="34"/>
        <v>0</v>
      </c>
      <c r="U49" s="5">
        <f t="shared" ca="1" si="34"/>
        <v>0</v>
      </c>
      <c r="V49" s="5">
        <f t="shared" ca="1" si="34"/>
        <v>0</v>
      </c>
      <c r="W49" s="5">
        <f t="shared" ca="1" si="34"/>
        <v>0</v>
      </c>
      <c r="X49" s="5">
        <f t="shared" ca="1" si="34"/>
        <v>-5.409376361785136</v>
      </c>
      <c r="Y49" s="5">
        <f t="shared" ca="1" si="34"/>
        <v>-5.409376361785136</v>
      </c>
      <c r="Z49" s="5">
        <f t="shared" ca="1" si="34"/>
        <v>-12.533978128300509</v>
      </c>
      <c r="AA49" s="5">
        <f t="shared" ca="1" si="34"/>
        <v>-5.409376361785136</v>
      </c>
      <c r="AB49" s="5">
        <f t="shared" ca="1" si="34"/>
        <v>0</v>
      </c>
      <c r="AC49" s="5">
        <f t="shared" ca="1" si="34"/>
        <v>0</v>
      </c>
      <c r="AD49" s="5">
        <f t="shared" ca="1" si="34"/>
        <v>0</v>
      </c>
      <c r="AE49" s="5">
        <f t="shared" ca="1" si="34"/>
        <v>0</v>
      </c>
      <c r="AF49" s="5">
        <f t="shared" ref="AF49:AQ49" ca="1" si="35">SUM(AF45:AF48)</f>
        <v>0</v>
      </c>
      <c r="AG49" s="5">
        <f t="shared" ca="1" si="35"/>
        <v>0</v>
      </c>
      <c r="AH49" s="5">
        <f t="shared" ca="1" si="35"/>
        <v>0</v>
      </c>
      <c r="AI49" s="5">
        <f t="shared" ca="1" si="35"/>
        <v>0</v>
      </c>
      <c r="AJ49" s="5">
        <f t="shared" ca="1" si="35"/>
        <v>0</v>
      </c>
      <c r="AK49" s="5">
        <f t="shared" ca="1" si="35"/>
        <v>0</v>
      </c>
      <c r="AL49" s="5">
        <f t="shared" ca="1" si="35"/>
        <v>0</v>
      </c>
      <c r="AM49" s="5">
        <f t="shared" ca="1" si="35"/>
        <v>0</v>
      </c>
      <c r="AN49" s="5">
        <f t="shared" ca="1" si="35"/>
        <v>0</v>
      </c>
      <c r="AO49" s="5">
        <f t="shared" ca="1" si="35"/>
        <v>0</v>
      </c>
      <c r="AP49" s="5">
        <f t="shared" ca="1" si="35"/>
        <v>0</v>
      </c>
      <c r="AQ49" s="5">
        <f t="shared" ca="1" si="35"/>
        <v>0</v>
      </c>
    </row>
    <row r="51" spans="2:43">
      <c r="B51" s="5" t="s">
        <v>9</v>
      </c>
      <c r="H51" s="5">
        <f t="shared" ref="H51:AE51" si="36">+IF(H35&gt;0,-SUM($H$36:$AQ$37),0)</f>
        <v>0</v>
      </c>
      <c r="I51" s="5">
        <f t="shared" si="36"/>
        <v>0</v>
      </c>
      <c r="J51" s="5">
        <f t="shared" si="36"/>
        <v>0</v>
      </c>
      <c r="K51" s="5">
        <f t="shared" si="36"/>
        <v>0</v>
      </c>
      <c r="L51" s="5">
        <f t="shared" si="36"/>
        <v>0</v>
      </c>
      <c r="M51" s="5">
        <f t="shared" si="36"/>
        <v>0</v>
      </c>
      <c r="N51" s="5">
        <f t="shared" si="36"/>
        <v>0</v>
      </c>
      <c r="O51" s="5">
        <f t="shared" si="36"/>
        <v>0</v>
      </c>
      <c r="P51" s="5">
        <f t="shared" si="36"/>
        <v>0</v>
      </c>
      <c r="Q51" s="5">
        <f t="shared" si="36"/>
        <v>0</v>
      </c>
      <c r="R51" s="5">
        <f t="shared" si="36"/>
        <v>0</v>
      </c>
      <c r="S51" s="5">
        <f t="shared" si="36"/>
        <v>0</v>
      </c>
      <c r="T51" s="5">
        <f t="shared" si="36"/>
        <v>0</v>
      </c>
      <c r="U51" s="5">
        <f t="shared" si="36"/>
        <v>0</v>
      </c>
      <c r="V51" s="5">
        <f t="shared" si="36"/>
        <v>0</v>
      </c>
      <c r="W51" s="5">
        <f t="shared" si="36"/>
        <v>0</v>
      </c>
      <c r="X51" s="5">
        <f t="shared" si="36"/>
        <v>0</v>
      </c>
      <c r="Y51" s="5">
        <f t="shared" si="36"/>
        <v>0</v>
      </c>
      <c r="Z51" s="5">
        <f t="shared" si="36"/>
        <v>0</v>
      </c>
      <c r="AA51" s="5">
        <f t="shared" si="36"/>
        <v>0</v>
      </c>
      <c r="AB51" s="5">
        <f t="shared" si="36"/>
        <v>-69.908616700660332</v>
      </c>
      <c r="AC51" s="5">
        <f t="shared" si="36"/>
        <v>0</v>
      </c>
      <c r="AD51" s="5">
        <f t="shared" si="36"/>
        <v>0</v>
      </c>
      <c r="AE51" s="5">
        <f t="shared" si="36"/>
        <v>0</v>
      </c>
      <c r="AF51" s="5">
        <f t="shared" ref="AF51:AQ51" si="37">+IF(AF35&gt;0,-SUM($H$36:$AQ$37),0)</f>
        <v>0</v>
      </c>
      <c r="AG51" s="5">
        <f t="shared" si="37"/>
        <v>0</v>
      </c>
      <c r="AH51" s="5">
        <f t="shared" si="37"/>
        <v>0</v>
      </c>
      <c r="AI51" s="5">
        <f t="shared" si="37"/>
        <v>0</v>
      </c>
      <c r="AJ51" s="5">
        <f t="shared" si="37"/>
        <v>0</v>
      </c>
      <c r="AK51" s="5">
        <f t="shared" si="37"/>
        <v>0</v>
      </c>
      <c r="AL51" s="5">
        <f t="shared" si="37"/>
        <v>0</v>
      </c>
      <c r="AM51" s="5">
        <f t="shared" si="37"/>
        <v>0</v>
      </c>
      <c r="AN51" s="5">
        <f t="shared" si="37"/>
        <v>0</v>
      </c>
      <c r="AO51" s="5">
        <f t="shared" si="37"/>
        <v>0</v>
      </c>
      <c r="AP51" s="5">
        <f t="shared" si="37"/>
        <v>0</v>
      </c>
      <c r="AQ51" s="5">
        <f t="shared" si="37"/>
        <v>0</v>
      </c>
    </row>
    <row r="52" spans="2:43">
      <c r="B52" s="5" t="s">
        <v>8</v>
      </c>
      <c r="H52" s="5">
        <f>-SUM(H19:H20,H25:H26)*'Main_O+R_WTC'!$G$60</f>
        <v>0</v>
      </c>
      <c r="I52" s="5">
        <f>-SUM(I19:I20,I25:I26)*'Main_O+R_WTC'!$G$60</f>
        <v>0</v>
      </c>
      <c r="J52" s="5">
        <f>-SUM(J19:J20,J25:J26)*'Main_O+R_WTC'!$G$60</f>
        <v>0</v>
      </c>
      <c r="K52" s="5">
        <f>-SUM(K19:K20,K25:K26)*'Main_O+R_WTC'!$G$60</f>
        <v>0</v>
      </c>
      <c r="L52" s="5">
        <f>-SUM(L19:L20,L25:L26)*'Main_O+R_WTC'!$G$60</f>
        <v>0</v>
      </c>
      <c r="M52" s="5">
        <f>-SUM(M19:M20,M25:M26)*'Main_O+R_WTC'!$G$60</f>
        <v>0</v>
      </c>
      <c r="N52" s="5">
        <f>-SUM(N19:N20,N25:N26)*'Main_O+R_WTC'!$G$60</f>
        <v>0</v>
      </c>
      <c r="O52" s="5">
        <f>-SUM(O19:O20,O25:O26)*'Main_O+R_WTC'!$G$60</f>
        <v>0</v>
      </c>
      <c r="P52" s="5">
        <f>-SUM(P19:P20,P25:P26)*'Main_O+R_WTC'!$G$60</f>
        <v>0</v>
      </c>
      <c r="Q52" s="5">
        <f>-SUM(Q19:Q20,Q25:Q26)*'Main_O+R_WTC'!$G$60</f>
        <v>0</v>
      </c>
      <c r="R52" s="5">
        <f>-SUM(R19:R20,R25:R26)*'Main_O+R_WTC'!$G$60</f>
        <v>0</v>
      </c>
      <c r="S52" s="5">
        <f>-SUM(S19:S20,S25:S26)*'Main_O+R_WTC'!$G$60</f>
        <v>0</v>
      </c>
      <c r="T52" s="5">
        <f>-SUM(T19:T20,T25:T26)*'Main_O+R_WTC'!$G$60</f>
        <v>0</v>
      </c>
      <c r="U52" s="5">
        <f>-SUM(U19:U20,U25:U26)*'Main_O+R_WTC'!$G$60</f>
        <v>0</v>
      </c>
      <c r="V52" s="5">
        <f>-SUM(V19:V20,V25:V26)*'Main_O+R_WTC'!$G$60</f>
        <v>0</v>
      </c>
      <c r="W52" s="5">
        <f>-SUM(W19:W20,W25:W26)*'Main_O+R_WTC'!$G$60</f>
        <v>0</v>
      </c>
      <c r="X52" s="5">
        <f>-SUM(X19:X20,X25:X26)*'Main_O+R_WTC'!$G$60</f>
        <v>-0.81140645426777036</v>
      </c>
      <c r="Y52" s="5">
        <f>-SUM(Y19:Y20,Y25:Y26)*'Main_O+R_WTC'!$G$60</f>
        <v>-1.6228129085355407</v>
      </c>
      <c r="Z52" s="5">
        <f>-SUM(Z19:Z20,Z25:Z26)*'Main_O+R_WTC'!$G$60</f>
        <v>-2.4342193628033111</v>
      </c>
      <c r="AA52" s="5">
        <f>-SUM(AA19:AA20,AA25:AA26)*'Main_O+R_WTC'!$G$60</f>
        <v>-3.2456258170710814</v>
      </c>
      <c r="AB52" s="5">
        <f>-SUM(AB19:AB20,AB25:AB26)*'Main_O+R_WTC'!$G$60</f>
        <v>-3.2456258170710814</v>
      </c>
      <c r="AC52" s="5">
        <f>-SUM(AC19:AC20,AC25:AC26)*'Main_O+R_WTC'!$G$60</f>
        <v>0</v>
      </c>
      <c r="AD52" s="5">
        <f>-SUM(AD19:AD20,AD25:AD26)*'Main_O+R_WTC'!$G$60</f>
        <v>0</v>
      </c>
      <c r="AE52" s="5">
        <f>-SUM(AE19:AE20,AE25:AE26)*'Main_O+R_WTC'!$G$60</f>
        <v>0</v>
      </c>
      <c r="AF52" s="5">
        <f>-SUM(AF19:AF20,AF25:AF26)*'Main_O+R_WTC'!$G$60</f>
        <v>0</v>
      </c>
      <c r="AG52" s="5">
        <f>-SUM(AG19:AG20,AG25:AG26)*'Main_O+R_WTC'!$G$60</f>
        <v>0</v>
      </c>
      <c r="AH52" s="5">
        <f>-SUM(AH19:AH20,AH25:AH26)*'Main_O+R_WTC'!$G$60</f>
        <v>0</v>
      </c>
      <c r="AI52" s="5">
        <f>-SUM(AI19:AI20,AI25:AI26)*'Main_O+R_WTC'!$G$60</f>
        <v>0</v>
      </c>
      <c r="AJ52" s="5">
        <f>-SUM(AJ19:AJ20,AJ25:AJ26)*'Main_O+R_WTC'!$G$60</f>
        <v>0</v>
      </c>
      <c r="AK52" s="5">
        <f>-SUM(AK19:AK20,AK25:AK26)*'Main_O+R_WTC'!$G$60</f>
        <v>0</v>
      </c>
      <c r="AL52" s="5">
        <f>-SUM(AL19:AL20,AL25:AL26)*'Main_O+R_WTC'!$G$60</f>
        <v>0</v>
      </c>
      <c r="AM52" s="5">
        <f>-SUM(AM19:AM20,AM25:AM26)*'Main_O+R_WTC'!$G$60</f>
        <v>0</v>
      </c>
      <c r="AN52" s="5">
        <f>-SUM(AN19:AN20,AN25:AN26)*'Main_O+R_WTC'!$G$60</f>
        <v>0</v>
      </c>
      <c r="AO52" s="5">
        <f>-SUM(AO19:AO20,AO25:AO26)*'Main_O+R_WTC'!$G$60</f>
        <v>0</v>
      </c>
      <c r="AP52" s="5">
        <f>-SUM(AP19:AP20,AP25:AP26)*'Main_O+R_WTC'!$G$60</f>
        <v>0</v>
      </c>
      <c r="AQ52" s="5">
        <f>-SUM(AQ19:AQ20,AQ25:AQ26)*'Main_O+R_WTC'!$G$60</f>
        <v>0</v>
      </c>
    </row>
    <row r="53" spans="2:43">
      <c r="B53" s="5" t="s">
        <v>7</v>
      </c>
      <c r="H53" s="5">
        <f t="shared" ref="H53:AE53" si="38">SUM(H51:H52)</f>
        <v>0</v>
      </c>
      <c r="I53" s="5">
        <f t="shared" si="38"/>
        <v>0</v>
      </c>
      <c r="J53" s="5">
        <f t="shared" si="38"/>
        <v>0</v>
      </c>
      <c r="K53" s="5">
        <f t="shared" si="38"/>
        <v>0</v>
      </c>
      <c r="L53" s="5">
        <f t="shared" si="38"/>
        <v>0</v>
      </c>
      <c r="M53" s="5">
        <f t="shared" si="38"/>
        <v>0</v>
      </c>
      <c r="N53" s="5">
        <f t="shared" si="38"/>
        <v>0</v>
      </c>
      <c r="O53" s="5">
        <f t="shared" si="38"/>
        <v>0</v>
      </c>
      <c r="P53" s="5">
        <f t="shared" si="38"/>
        <v>0</v>
      </c>
      <c r="Q53" s="5">
        <f t="shared" si="38"/>
        <v>0</v>
      </c>
      <c r="R53" s="5">
        <f t="shared" si="38"/>
        <v>0</v>
      </c>
      <c r="S53" s="5">
        <f t="shared" si="38"/>
        <v>0</v>
      </c>
      <c r="T53" s="5">
        <f t="shared" si="38"/>
        <v>0</v>
      </c>
      <c r="U53" s="5">
        <f t="shared" si="38"/>
        <v>0</v>
      </c>
      <c r="V53" s="5">
        <f t="shared" si="38"/>
        <v>0</v>
      </c>
      <c r="W53" s="5">
        <f t="shared" si="38"/>
        <v>0</v>
      </c>
      <c r="X53" s="5">
        <f t="shared" si="38"/>
        <v>-0.81140645426777036</v>
      </c>
      <c r="Y53" s="5">
        <f t="shared" si="38"/>
        <v>-1.6228129085355407</v>
      </c>
      <c r="Z53" s="5">
        <f t="shared" si="38"/>
        <v>-2.4342193628033111</v>
      </c>
      <c r="AA53" s="5">
        <f t="shared" si="38"/>
        <v>-3.2456258170710814</v>
      </c>
      <c r="AB53" s="5">
        <f t="shared" si="38"/>
        <v>-73.154242517731419</v>
      </c>
      <c r="AC53" s="5">
        <f t="shared" si="38"/>
        <v>0</v>
      </c>
      <c r="AD53" s="5">
        <f t="shared" si="38"/>
        <v>0</v>
      </c>
      <c r="AE53" s="5">
        <f t="shared" si="38"/>
        <v>0</v>
      </c>
      <c r="AF53" s="5">
        <f t="shared" ref="AF53:AQ53" si="39">SUM(AF51:AF52)</f>
        <v>0</v>
      </c>
      <c r="AG53" s="5">
        <f t="shared" si="39"/>
        <v>0</v>
      </c>
      <c r="AH53" s="5">
        <f t="shared" si="39"/>
        <v>0</v>
      </c>
      <c r="AI53" s="5">
        <f t="shared" si="39"/>
        <v>0</v>
      </c>
      <c r="AJ53" s="5">
        <f t="shared" si="39"/>
        <v>0</v>
      </c>
      <c r="AK53" s="5">
        <f t="shared" si="39"/>
        <v>0</v>
      </c>
      <c r="AL53" s="5">
        <f t="shared" si="39"/>
        <v>0</v>
      </c>
      <c r="AM53" s="5">
        <f t="shared" si="39"/>
        <v>0</v>
      </c>
      <c r="AN53" s="5">
        <f t="shared" si="39"/>
        <v>0</v>
      </c>
      <c r="AO53" s="5">
        <f t="shared" si="39"/>
        <v>0</v>
      </c>
      <c r="AP53" s="5">
        <f t="shared" si="39"/>
        <v>0</v>
      </c>
      <c r="AQ53" s="5">
        <f t="shared" si="39"/>
        <v>0</v>
      </c>
    </row>
    <row r="55" spans="2:43">
      <c r="B55" s="5" t="s">
        <v>131</v>
      </c>
      <c r="G55" s="5">
        <v>0</v>
      </c>
      <c r="H55" s="5">
        <f t="shared" ref="H55:AE55" si="40">+SUM(H38,H40:H41,H45:H47,H53)</f>
        <v>-34.111786298301702</v>
      </c>
      <c r="I55" s="5">
        <f t="shared" si="40"/>
        <v>-37.784326894030144</v>
      </c>
      <c r="J55" s="5">
        <f t="shared" si="40"/>
        <v>-52.591324290601563</v>
      </c>
      <c r="K55" s="5">
        <f t="shared" si="40"/>
        <v>-40.959800016948215</v>
      </c>
      <c r="L55" s="5">
        <f t="shared" si="40"/>
        <v>-52.130920674598165</v>
      </c>
      <c r="M55" s="5">
        <f t="shared" si="40"/>
        <v>-55.046974883288954</v>
      </c>
      <c r="N55" s="5">
        <f t="shared" si="40"/>
        <v>-75.805916765821749</v>
      </c>
      <c r="O55" s="5">
        <f t="shared" si="40"/>
        <v>-63.528611411028145</v>
      </c>
      <c r="P55" s="5">
        <f t="shared" si="40"/>
        <v>-41.484325505038271</v>
      </c>
      <c r="Q55" s="5">
        <f t="shared" si="40"/>
        <v>-42.845760159165799</v>
      </c>
      <c r="R55" s="5">
        <f t="shared" si="40"/>
        <v>-46.315787062670559</v>
      </c>
      <c r="S55" s="5">
        <f t="shared" si="40"/>
        <v>-59.444297370765817</v>
      </c>
      <c r="T55" s="5">
        <f t="shared" si="40"/>
        <v>-48.564744891964658</v>
      </c>
      <c r="U55" s="5">
        <f t="shared" si="40"/>
        <v>-39.74954403077183</v>
      </c>
      <c r="V55" s="5">
        <f t="shared" si="40"/>
        <v>-14.742230678310024</v>
      </c>
      <c r="W55" s="5">
        <f t="shared" si="40"/>
        <v>-9.7436903941565962</v>
      </c>
      <c r="X55" s="5">
        <f t="shared" si="40"/>
        <v>21.053904501098586</v>
      </c>
      <c r="Y55" s="5">
        <f t="shared" si="40"/>
        <v>29.623689492213995</v>
      </c>
      <c r="Z55" s="5">
        <f t="shared" si="40"/>
        <v>38.193474483329403</v>
      </c>
      <c r="AA55" s="5">
        <f t="shared" si="40"/>
        <v>43.830765785326427</v>
      </c>
      <c r="AB55" s="5">
        <f t="shared" si="40"/>
        <v>1800.1570995550092</v>
      </c>
      <c r="AC55" s="5">
        <f t="shared" si="40"/>
        <v>0</v>
      </c>
      <c r="AD55" s="5">
        <f t="shared" si="40"/>
        <v>0</v>
      </c>
      <c r="AE55" s="5">
        <f t="shared" si="40"/>
        <v>0</v>
      </c>
      <c r="AF55" s="5">
        <f t="shared" ref="AF55:AQ55" si="41">+SUM(AF38,AF40:AF41,AF45:AF47,AF53)</f>
        <v>0</v>
      </c>
      <c r="AG55" s="5">
        <f t="shared" si="41"/>
        <v>0</v>
      </c>
      <c r="AH55" s="5">
        <f t="shared" si="41"/>
        <v>0</v>
      </c>
      <c r="AI55" s="5">
        <f t="shared" si="41"/>
        <v>0</v>
      </c>
      <c r="AJ55" s="5">
        <f t="shared" si="41"/>
        <v>0</v>
      </c>
      <c r="AK55" s="5">
        <f t="shared" si="41"/>
        <v>0</v>
      </c>
      <c r="AL55" s="5">
        <f t="shared" si="41"/>
        <v>0</v>
      </c>
      <c r="AM55" s="5">
        <f t="shared" si="41"/>
        <v>0</v>
      </c>
      <c r="AN55" s="5">
        <f t="shared" si="41"/>
        <v>0</v>
      </c>
      <c r="AO55" s="5">
        <f t="shared" si="41"/>
        <v>0</v>
      </c>
      <c r="AP55" s="5">
        <f t="shared" si="41"/>
        <v>0</v>
      </c>
      <c r="AQ55" s="5">
        <f t="shared" si="41"/>
        <v>0</v>
      </c>
    </row>
    <row r="56" spans="2:43">
      <c r="B56" s="48" t="s">
        <v>142</v>
      </c>
      <c r="C56" s="48"/>
      <c r="D56" s="48"/>
      <c r="E56" s="48"/>
      <c r="F56" s="48"/>
      <c r="G56" s="48">
        <f>-'Main_O+R_WTC'!$G$64+G55</f>
        <v>-322.5</v>
      </c>
      <c r="H56" s="48">
        <f>+H55</f>
        <v>-34.111786298301702</v>
      </c>
      <c r="I56" s="48">
        <f t="shared" ref="I56:AE56" si="42">+I55</f>
        <v>-37.784326894030144</v>
      </c>
      <c r="J56" s="48">
        <f t="shared" si="42"/>
        <v>-52.591324290601563</v>
      </c>
      <c r="K56" s="48">
        <f t="shared" si="42"/>
        <v>-40.959800016948215</v>
      </c>
      <c r="L56" s="48">
        <f t="shared" si="42"/>
        <v>-52.130920674598165</v>
      </c>
      <c r="M56" s="48">
        <f t="shared" si="42"/>
        <v>-55.046974883288954</v>
      </c>
      <c r="N56" s="48">
        <f t="shared" si="42"/>
        <v>-75.805916765821749</v>
      </c>
      <c r="O56" s="48">
        <f t="shared" si="42"/>
        <v>-63.528611411028145</v>
      </c>
      <c r="P56" s="48">
        <f t="shared" si="42"/>
        <v>-41.484325505038271</v>
      </c>
      <c r="Q56" s="48">
        <f t="shared" si="42"/>
        <v>-42.845760159165799</v>
      </c>
      <c r="R56" s="48">
        <f t="shared" si="42"/>
        <v>-46.315787062670559</v>
      </c>
      <c r="S56" s="48">
        <f t="shared" si="42"/>
        <v>-59.444297370765817</v>
      </c>
      <c r="T56" s="48">
        <f t="shared" si="42"/>
        <v>-48.564744891964658</v>
      </c>
      <c r="U56" s="48">
        <f t="shared" si="42"/>
        <v>-39.74954403077183</v>
      </c>
      <c r="V56" s="48">
        <f t="shared" si="42"/>
        <v>-14.742230678310024</v>
      </c>
      <c r="W56" s="48">
        <f t="shared" si="42"/>
        <v>-9.7436903941565962</v>
      </c>
      <c r="X56" s="48">
        <f t="shared" si="42"/>
        <v>21.053904501098586</v>
      </c>
      <c r="Y56" s="48">
        <f t="shared" si="42"/>
        <v>29.623689492213995</v>
      </c>
      <c r="Z56" s="48">
        <f t="shared" si="42"/>
        <v>38.193474483329403</v>
      </c>
      <c r="AA56" s="48">
        <f t="shared" si="42"/>
        <v>43.830765785326427</v>
      </c>
      <c r="AB56" s="48">
        <f t="shared" si="42"/>
        <v>1800.1570995550092</v>
      </c>
      <c r="AC56" s="48">
        <f t="shared" si="42"/>
        <v>0</v>
      </c>
      <c r="AD56" s="48">
        <f t="shared" si="42"/>
        <v>0</v>
      </c>
      <c r="AE56" s="48">
        <f t="shared" si="42"/>
        <v>0</v>
      </c>
      <c r="AF56" s="48">
        <f t="shared" ref="AF56:AQ56" si="43">+AF55</f>
        <v>0</v>
      </c>
      <c r="AG56" s="48">
        <f t="shared" si="43"/>
        <v>0</v>
      </c>
      <c r="AH56" s="48">
        <f t="shared" si="43"/>
        <v>0</v>
      </c>
      <c r="AI56" s="48">
        <f t="shared" si="43"/>
        <v>0</v>
      </c>
      <c r="AJ56" s="48">
        <f t="shared" si="43"/>
        <v>0</v>
      </c>
      <c r="AK56" s="48">
        <f t="shared" si="43"/>
        <v>0</v>
      </c>
      <c r="AL56" s="48">
        <f t="shared" si="43"/>
        <v>0</v>
      </c>
      <c r="AM56" s="48">
        <f t="shared" si="43"/>
        <v>0</v>
      </c>
      <c r="AN56" s="48">
        <f t="shared" si="43"/>
        <v>0</v>
      </c>
      <c r="AO56" s="48">
        <f t="shared" si="43"/>
        <v>0</v>
      </c>
      <c r="AP56" s="48">
        <f t="shared" si="43"/>
        <v>0</v>
      </c>
      <c r="AQ56" s="48">
        <f t="shared" si="43"/>
        <v>0</v>
      </c>
    </row>
    <row r="57" spans="2:43">
      <c r="B57" s="48" t="s">
        <v>141</v>
      </c>
      <c r="C57" s="48"/>
      <c r="D57" s="48"/>
      <c r="E57" s="48"/>
      <c r="F57" s="48"/>
      <c r="G57" s="48">
        <f>+F57+G55</f>
        <v>0</v>
      </c>
      <c r="H57" s="48">
        <f t="shared" ref="H57" si="44">+G57+H55</f>
        <v>-34.111786298301702</v>
      </c>
      <c r="I57" s="48">
        <f t="shared" ref="I57" si="45">+H57+I55</f>
        <v>-71.896113192331853</v>
      </c>
      <c r="J57" s="48">
        <f t="shared" ref="J57" si="46">+I57+J55</f>
        <v>-124.48743748293342</v>
      </c>
      <c r="K57" s="48">
        <f t="shared" ref="K57" si="47">+J57+K55</f>
        <v>-165.44723749988162</v>
      </c>
      <c r="L57" s="48">
        <f t="shared" ref="L57" si="48">+K57+L55</f>
        <v>-217.5781581744798</v>
      </c>
      <c r="M57" s="48">
        <f t="shared" ref="M57" si="49">+L57+M55</f>
        <v>-272.62513305776872</v>
      </c>
      <c r="N57" s="48">
        <f t="shared" ref="N57" si="50">+M57+N55</f>
        <v>-348.43104982359046</v>
      </c>
      <c r="O57" s="48">
        <f t="shared" ref="O57" si="51">+N57+O55</f>
        <v>-411.95966123461858</v>
      </c>
      <c r="P57" s="48">
        <f t="shared" ref="P57" si="52">+O57+P55</f>
        <v>-453.44398673965685</v>
      </c>
      <c r="Q57" s="48">
        <f t="shared" ref="Q57" si="53">+P57+Q55</f>
        <v>-496.28974689882267</v>
      </c>
      <c r="R57" s="48">
        <f t="shared" ref="R57" si="54">+Q57+R55</f>
        <v>-542.60553396149328</v>
      </c>
      <c r="S57" s="48">
        <f t="shared" ref="S57" si="55">+R57+S55</f>
        <v>-602.04983133225915</v>
      </c>
      <c r="T57" s="48">
        <f t="shared" ref="T57" si="56">+S57+T55</f>
        <v>-650.61457622422381</v>
      </c>
      <c r="U57" s="48">
        <f t="shared" ref="U57" si="57">+T57+U55</f>
        <v>-690.36412025499567</v>
      </c>
      <c r="V57" s="48">
        <f t="shared" ref="V57" si="58">+U57+V55</f>
        <v>-705.10635093330575</v>
      </c>
      <c r="W57" s="48">
        <f t="shared" ref="W57" si="59">+V57+W55</f>
        <v>-714.85004132746235</v>
      </c>
      <c r="X57" s="48">
        <f t="shared" ref="X57" si="60">+W57+X55</f>
        <v>-693.79613682636375</v>
      </c>
      <c r="Y57" s="48">
        <f t="shared" ref="Y57" si="61">+X57+Y55</f>
        <v>-664.17244733414975</v>
      </c>
      <c r="Z57" s="48">
        <f t="shared" ref="Z57" si="62">+Y57+Z55</f>
        <v>-625.97897285082036</v>
      </c>
      <c r="AA57" s="48">
        <f t="shared" ref="AA57" si="63">+Z57+AA55</f>
        <v>-582.14820706549392</v>
      </c>
      <c r="AB57" s="48">
        <f t="shared" ref="AB57" si="64">+AA57+AB55</f>
        <v>1218.0088924895153</v>
      </c>
      <c r="AC57" s="48">
        <f t="shared" ref="AC57" si="65">+AB57+AC55</f>
        <v>1218.0088924895153</v>
      </c>
      <c r="AD57" s="48">
        <f t="shared" ref="AD57" si="66">+AC57+AD55</f>
        <v>1218.0088924895153</v>
      </c>
      <c r="AE57" s="48">
        <f t="shared" ref="AE57" si="67">+AD57+AE55</f>
        <v>1218.0088924895153</v>
      </c>
      <c r="AF57" s="48">
        <f t="shared" ref="AF57" si="68">+AE57+AF55</f>
        <v>1218.0088924895153</v>
      </c>
      <c r="AG57" s="48">
        <f t="shared" ref="AG57" si="69">+AF57+AG55</f>
        <v>1218.0088924895153</v>
      </c>
      <c r="AH57" s="48">
        <f t="shared" ref="AH57" si="70">+AG57+AH55</f>
        <v>1218.0088924895153</v>
      </c>
      <c r="AI57" s="48">
        <f t="shared" ref="AI57" si="71">+AH57+AI55</f>
        <v>1218.0088924895153</v>
      </c>
      <c r="AJ57" s="48">
        <f t="shared" ref="AJ57" si="72">+AI57+AJ55</f>
        <v>1218.0088924895153</v>
      </c>
      <c r="AK57" s="48">
        <f t="shared" ref="AK57" si="73">+AJ57+AK55</f>
        <v>1218.0088924895153</v>
      </c>
      <c r="AL57" s="48">
        <f t="shared" ref="AL57" si="74">+AK57+AL55</f>
        <v>1218.0088924895153</v>
      </c>
      <c r="AM57" s="48">
        <f t="shared" ref="AM57" si="75">+AL57+AM55</f>
        <v>1218.0088924895153</v>
      </c>
      <c r="AN57" s="48">
        <f t="shared" ref="AN57" si="76">+AM57+AN55</f>
        <v>1218.0088924895153</v>
      </c>
      <c r="AO57" s="48">
        <f t="shared" ref="AO57" si="77">+AN57+AO55</f>
        <v>1218.0088924895153</v>
      </c>
      <c r="AP57" s="48">
        <f t="shared" ref="AP57" si="78">+AO57+AP55</f>
        <v>1218.0088924895153</v>
      </c>
      <c r="AQ57" s="48">
        <f t="shared" ref="AQ57" si="79">+AP57+AQ55</f>
        <v>1218.0088924895153</v>
      </c>
    </row>
    <row r="58" spans="2:43">
      <c r="B58" s="49" t="s">
        <v>133</v>
      </c>
      <c r="C58" s="49"/>
      <c r="D58" s="49"/>
      <c r="E58" s="49"/>
      <c r="F58" s="49"/>
      <c r="G58" s="50">
        <f ca="1">+ROUND(XNPV('Main_O+R_WTC'!$G$52,$G$55:$AQ$55,$G$3:$AQ$3),0)</f>
        <v>430</v>
      </c>
    </row>
    <row r="59" spans="2:43">
      <c r="B59" s="49" t="s">
        <v>143</v>
      </c>
      <c r="G59" s="51">
        <f>+XIRR(G56:AQ56,G3:AQ3)</f>
        <v>0.16975421309471131</v>
      </c>
    </row>
    <row r="60" spans="2:43">
      <c r="B60" s="49" t="s">
        <v>144</v>
      </c>
      <c r="C60" s="49"/>
      <c r="D60" s="49"/>
      <c r="E60" s="49"/>
      <c r="F60" s="49"/>
      <c r="G60" s="51">
        <f>+(MAX(H19:AQ19)+MAX(H20:AQ20)+MAX(H25:AQ25)+MAX(H26:AQ26)+MAX(H31:AQ31)+MAX(H32:AQ32))*(95%)*(4)/SUM('Main_O+R_WTC'!G67:G68)</f>
        <v>0.13281826023087853</v>
      </c>
    </row>
    <row r="62" spans="2:43">
      <c r="B62" s="5" t="s">
        <v>134</v>
      </c>
      <c r="G62" s="5">
        <v>0</v>
      </c>
      <c r="H62" s="5">
        <f ca="1">+SUM(H38,H40:H42,H45:H48,H53)+SUM(H72,H106)-SUM(H73,H107)</f>
        <v>-34.111786298301702</v>
      </c>
      <c r="I62" s="5">
        <f ca="1">+SUM(I38,I40:I42,I45:I48,I53)+SUM(I72,I106)-SUM(I73,I107)</f>
        <v>-15.98432689403009</v>
      </c>
      <c r="J62" s="5">
        <f t="shared" ref="I62:AE62" ca="1" si="80">+SUM(J38,J40:J42,J45:J48,J53)+SUM(J72,J106)-SUM(J73,J107)</f>
        <v>2.8421709430404007E-14</v>
      </c>
      <c r="K62" s="5">
        <f t="shared" ca="1" si="80"/>
        <v>-1.4210854715202004E-14</v>
      </c>
      <c r="L62" s="5">
        <f t="shared" ca="1" si="80"/>
        <v>-7.1054273576010019E-15</v>
      </c>
      <c r="M62" s="5">
        <f t="shared" ca="1" si="80"/>
        <v>-7.1054273576010019E-15</v>
      </c>
      <c r="N62" s="5">
        <f t="shared" ca="1" si="80"/>
        <v>-2.8421709430404007E-14</v>
      </c>
      <c r="O62" s="5">
        <f t="shared" ca="1" si="80"/>
        <v>-3.8852647504213706</v>
      </c>
      <c r="P62" s="5">
        <f t="shared" ca="1" si="80"/>
        <v>-25.183049580889886</v>
      </c>
      <c r="Q62" s="5">
        <f t="shared" ca="1" si="80"/>
        <v>-26.16446157706579</v>
      </c>
      <c r="R62" s="5">
        <f t="shared" ca="1" si="80"/>
        <v>-28.20659282086163</v>
      </c>
      <c r="S62" s="5">
        <f t="shared" ca="1" si="80"/>
        <v>-35.07775262124138</v>
      </c>
      <c r="T62" s="5">
        <f t="shared" ca="1" si="80"/>
        <v>-30.089729535182069</v>
      </c>
      <c r="U62" s="5">
        <f t="shared" ca="1" si="80"/>
        <v>-26.068310793083445</v>
      </c>
      <c r="V62" s="5">
        <f t="shared" ca="1" si="80"/>
        <v>-13.943971252136164</v>
      </c>
      <c r="W62" s="5">
        <f t="shared" ca="1" si="80"/>
        <v>-11.626015896973572</v>
      </c>
      <c r="X62" s="5">
        <f t="shared" ca="1" si="80"/>
        <v>14.134195016610246</v>
      </c>
      <c r="Y62" s="5">
        <f t="shared" ca="1" si="80"/>
        <v>22.620392489639308</v>
      </c>
      <c r="Z62" s="5">
        <f t="shared" ca="1" si="80"/>
        <v>31.068872716813985</v>
      </c>
      <c r="AA62" s="5">
        <f t="shared" ca="1" si="80"/>
        <v>14.313585581596147</v>
      </c>
      <c r="AB62" s="5">
        <f t="shared" ca="1" si="80"/>
        <v>1229.7078152100764</v>
      </c>
      <c r="AC62" s="5">
        <f t="shared" ca="1" si="80"/>
        <v>0</v>
      </c>
      <c r="AD62" s="5">
        <f t="shared" ca="1" si="80"/>
        <v>0</v>
      </c>
      <c r="AE62" s="5">
        <f t="shared" ca="1" si="80"/>
        <v>0</v>
      </c>
      <c r="AF62" s="5">
        <f t="shared" ref="AF62:AQ62" ca="1" si="81">+SUM(AF38,AF40:AF42,AF45:AF48,AF53)+SUM(AF72,AF106)-SUM(AF73,AF107)</f>
        <v>0</v>
      </c>
      <c r="AG62" s="5">
        <f t="shared" ca="1" si="81"/>
        <v>0</v>
      </c>
      <c r="AH62" s="5">
        <f t="shared" ca="1" si="81"/>
        <v>0</v>
      </c>
      <c r="AI62" s="5">
        <f t="shared" ca="1" si="81"/>
        <v>0</v>
      </c>
      <c r="AJ62" s="5">
        <f t="shared" ca="1" si="81"/>
        <v>0</v>
      </c>
      <c r="AK62" s="5">
        <f t="shared" ca="1" si="81"/>
        <v>0</v>
      </c>
      <c r="AL62" s="5">
        <f t="shared" ca="1" si="81"/>
        <v>0</v>
      </c>
      <c r="AM62" s="5">
        <f t="shared" ca="1" si="81"/>
        <v>0</v>
      </c>
      <c r="AN62" s="5">
        <f t="shared" ca="1" si="81"/>
        <v>0</v>
      </c>
      <c r="AO62" s="5">
        <f t="shared" ca="1" si="81"/>
        <v>0</v>
      </c>
      <c r="AP62" s="5">
        <f t="shared" ca="1" si="81"/>
        <v>0</v>
      </c>
      <c r="AQ62" s="5">
        <f t="shared" ca="1" si="81"/>
        <v>0</v>
      </c>
    </row>
    <row r="63" spans="2:43">
      <c r="B63" s="48" t="s">
        <v>148</v>
      </c>
      <c r="C63" s="48"/>
      <c r="D63" s="48"/>
      <c r="E63" s="48"/>
      <c r="F63" s="48"/>
      <c r="G63" s="48">
        <f>-'Main_O+R_WTC'!$G$64+G62</f>
        <v>-322.5</v>
      </c>
      <c r="H63" s="48">
        <f ca="1">+H62</f>
        <v>-34.111786298301702</v>
      </c>
      <c r="I63" s="48">
        <f t="shared" ref="I63" ca="1" si="82">+I62</f>
        <v>-15.98432689403009</v>
      </c>
      <c r="J63" s="48">
        <f t="shared" ref="J63" ca="1" si="83">+J62</f>
        <v>2.8421709430404007E-14</v>
      </c>
      <c r="K63" s="48">
        <f t="shared" ref="K63" ca="1" si="84">+K62</f>
        <v>-1.4210854715202004E-14</v>
      </c>
      <c r="L63" s="48">
        <f t="shared" ref="L63" ca="1" si="85">+L62</f>
        <v>-7.1054273576010019E-15</v>
      </c>
      <c r="M63" s="48">
        <f t="shared" ref="M63" ca="1" si="86">+M62</f>
        <v>-7.1054273576010019E-15</v>
      </c>
      <c r="N63" s="48">
        <f t="shared" ref="N63" ca="1" si="87">+N62</f>
        <v>-2.8421709430404007E-14</v>
      </c>
      <c r="O63" s="48">
        <f t="shared" ref="O63" ca="1" si="88">+O62</f>
        <v>-3.8852647504213706</v>
      </c>
      <c r="P63" s="48">
        <f t="shared" ref="P63" ca="1" si="89">+P62</f>
        <v>-25.183049580889886</v>
      </c>
      <c r="Q63" s="48">
        <f t="shared" ref="Q63" ca="1" si="90">+Q62</f>
        <v>-26.16446157706579</v>
      </c>
      <c r="R63" s="48">
        <f t="shared" ref="R63" ca="1" si="91">+R62</f>
        <v>-28.20659282086163</v>
      </c>
      <c r="S63" s="48">
        <f t="shared" ref="S63" ca="1" si="92">+S62</f>
        <v>-35.07775262124138</v>
      </c>
      <c r="T63" s="48">
        <f t="shared" ref="T63" ca="1" si="93">+T62</f>
        <v>-30.089729535182069</v>
      </c>
      <c r="U63" s="48">
        <f t="shared" ref="U63" ca="1" si="94">+U62</f>
        <v>-26.068310793083445</v>
      </c>
      <c r="V63" s="48">
        <f t="shared" ref="V63" ca="1" si="95">+V62</f>
        <v>-13.943971252136164</v>
      </c>
      <c r="W63" s="48">
        <f t="shared" ref="W63" ca="1" si="96">+W62</f>
        <v>-11.626015896973572</v>
      </c>
      <c r="X63" s="48">
        <f t="shared" ref="X63" ca="1" si="97">+X62</f>
        <v>14.134195016610246</v>
      </c>
      <c r="Y63" s="48">
        <f t="shared" ref="Y63" ca="1" si="98">+Y62</f>
        <v>22.620392489639308</v>
      </c>
      <c r="Z63" s="48">
        <f t="shared" ref="Z63" ca="1" si="99">+Z62</f>
        <v>31.068872716813985</v>
      </c>
      <c r="AA63" s="48">
        <f t="shared" ref="AA63" ca="1" si="100">+AA62</f>
        <v>14.313585581596147</v>
      </c>
      <c r="AB63" s="48">
        <f t="shared" ref="AB63" ca="1" si="101">+AB62</f>
        <v>1229.7078152100764</v>
      </c>
      <c r="AC63" s="48">
        <f t="shared" ref="AC63" ca="1" si="102">+AC62</f>
        <v>0</v>
      </c>
      <c r="AD63" s="48">
        <f t="shared" ref="AD63" ca="1" si="103">+AD62</f>
        <v>0</v>
      </c>
      <c r="AE63" s="48">
        <f t="shared" ref="AE63:AQ63" ca="1" si="104">+AE62</f>
        <v>0</v>
      </c>
      <c r="AF63" s="48">
        <f t="shared" ca="1" si="104"/>
        <v>0</v>
      </c>
      <c r="AG63" s="48">
        <f t="shared" ca="1" si="104"/>
        <v>0</v>
      </c>
      <c r="AH63" s="48">
        <f t="shared" ca="1" si="104"/>
        <v>0</v>
      </c>
      <c r="AI63" s="48">
        <f t="shared" ca="1" si="104"/>
        <v>0</v>
      </c>
      <c r="AJ63" s="48">
        <f t="shared" ca="1" si="104"/>
        <v>0</v>
      </c>
      <c r="AK63" s="48">
        <f t="shared" ca="1" si="104"/>
        <v>0</v>
      </c>
      <c r="AL63" s="48">
        <f t="shared" ca="1" si="104"/>
        <v>0</v>
      </c>
      <c r="AM63" s="48">
        <f t="shared" ca="1" si="104"/>
        <v>0</v>
      </c>
      <c r="AN63" s="48">
        <f t="shared" ca="1" si="104"/>
        <v>0</v>
      </c>
      <c r="AO63" s="48">
        <f t="shared" ca="1" si="104"/>
        <v>0</v>
      </c>
      <c r="AP63" s="48">
        <f t="shared" ca="1" si="104"/>
        <v>0</v>
      </c>
      <c r="AQ63" s="48">
        <f t="shared" ca="1" si="104"/>
        <v>0</v>
      </c>
    </row>
    <row r="64" spans="2:43">
      <c r="B64" s="48" t="s">
        <v>141</v>
      </c>
      <c r="C64" s="48"/>
      <c r="D64" s="48"/>
      <c r="E64" s="48"/>
      <c r="F64" s="48"/>
      <c r="G64" s="48">
        <f>+F64+G62</f>
        <v>0</v>
      </c>
      <c r="H64" s="48">
        <f ca="1">+G64+H62</f>
        <v>-34.111786298301702</v>
      </c>
      <c r="I64" s="48">
        <f t="shared" ref="I64:AE64" ca="1" si="105">+H64+I62</f>
        <v>-50.096113192331792</v>
      </c>
      <c r="J64" s="48">
        <f t="shared" ca="1" si="105"/>
        <v>-50.096113192331764</v>
      </c>
      <c r="K64" s="48">
        <f t="shared" ca="1" si="105"/>
        <v>-50.096113192331778</v>
      </c>
      <c r="L64" s="48">
        <f t="shared" ca="1" si="105"/>
        <v>-50.096113192331785</v>
      </c>
      <c r="M64" s="48">
        <f t="shared" ca="1" si="105"/>
        <v>-50.096113192331792</v>
      </c>
      <c r="N64" s="48">
        <f t="shared" ca="1" si="105"/>
        <v>-50.096113192331821</v>
      </c>
      <c r="O64" s="48">
        <f t="shared" ca="1" si="105"/>
        <v>-53.981377942753191</v>
      </c>
      <c r="P64" s="48">
        <f t="shared" ca="1" si="105"/>
        <v>-79.16442752364307</v>
      </c>
      <c r="Q64" s="48">
        <f t="shared" ca="1" si="105"/>
        <v>-105.32888910070886</v>
      </c>
      <c r="R64" s="48">
        <f t="shared" ca="1" si="105"/>
        <v>-133.53548192157049</v>
      </c>
      <c r="S64" s="48">
        <f t="shared" ca="1" si="105"/>
        <v>-168.61323454281188</v>
      </c>
      <c r="T64" s="48">
        <f t="shared" ca="1" si="105"/>
        <v>-198.70296407799395</v>
      </c>
      <c r="U64" s="48">
        <f t="shared" ca="1" si="105"/>
        <v>-224.7712748710774</v>
      </c>
      <c r="V64" s="48">
        <f t="shared" ca="1" si="105"/>
        <v>-238.71524612321355</v>
      </c>
      <c r="W64" s="48">
        <f t="shared" ca="1" si="105"/>
        <v>-250.34126202018712</v>
      </c>
      <c r="X64" s="48">
        <f t="shared" ca="1" si="105"/>
        <v>-236.20706700357687</v>
      </c>
      <c r="Y64" s="48">
        <f t="shared" ca="1" si="105"/>
        <v>-213.58667451393757</v>
      </c>
      <c r="Z64" s="48">
        <f t="shared" ca="1" si="105"/>
        <v>-182.51780179712358</v>
      </c>
      <c r="AA64" s="48">
        <f t="shared" ca="1" si="105"/>
        <v>-168.20421621552742</v>
      </c>
      <c r="AB64" s="48">
        <f t="shared" ca="1" si="105"/>
        <v>1061.5035989945491</v>
      </c>
      <c r="AC64" s="48">
        <f t="shared" ca="1" si="105"/>
        <v>1061.5035989945491</v>
      </c>
      <c r="AD64" s="48">
        <f t="shared" ca="1" si="105"/>
        <v>1061.5035989945491</v>
      </c>
      <c r="AE64" s="48">
        <f t="shared" ca="1" si="105"/>
        <v>1061.5035989945491</v>
      </c>
      <c r="AF64" s="48">
        <f t="shared" ref="AF64" ca="1" si="106">+AE64+AF62</f>
        <v>1061.5035989945491</v>
      </c>
      <c r="AG64" s="48">
        <f t="shared" ref="AG64" ca="1" si="107">+AF64+AG62</f>
        <v>1061.5035989945491</v>
      </c>
      <c r="AH64" s="48">
        <f t="shared" ref="AH64" ca="1" si="108">+AG64+AH62</f>
        <v>1061.5035989945491</v>
      </c>
      <c r="AI64" s="48">
        <f t="shared" ref="AI64" ca="1" si="109">+AH64+AI62</f>
        <v>1061.5035989945491</v>
      </c>
      <c r="AJ64" s="48">
        <f t="shared" ref="AJ64" ca="1" si="110">+AI64+AJ62</f>
        <v>1061.5035989945491</v>
      </c>
      <c r="AK64" s="48">
        <f t="shared" ref="AK64" ca="1" si="111">+AJ64+AK62</f>
        <v>1061.5035989945491</v>
      </c>
      <c r="AL64" s="48">
        <f t="shared" ref="AL64" ca="1" si="112">+AK64+AL62</f>
        <v>1061.5035989945491</v>
      </c>
      <c r="AM64" s="48">
        <f t="shared" ref="AM64" ca="1" si="113">+AL64+AM62</f>
        <v>1061.5035989945491</v>
      </c>
      <c r="AN64" s="48">
        <f t="shared" ref="AN64" ca="1" si="114">+AM64+AN62</f>
        <v>1061.5035989945491</v>
      </c>
      <c r="AO64" s="48">
        <f t="shared" ref="AO64" ca="1" si="115">+AN64+AO62</f>
        <v>1061.5035989945491</v>
      </c>
      <c r="AP64" s="48">
        <f t="shared" ref="AP64" ca="1" si="116">+AO64+AP62</f>
        <v>1061.5035989945491</v>
      </c>
      <c r="AQ64" s="48">
        <f t="shared" ref="AQ64" ca="1" si="117">+AP64+AQ62</f>
        <v>1061.5035989945491</v>
      </c>
    </row>
    <row r="65" spans="2:43">
      <c r="B65" s="49" t="s">
        <v>145</v>
      </c>
      <c r="C65" s="49"/>
      <c r="D65" s="49"/>
      <c r="E65" s="49"/>
      <c r="F65" s="49"/>
      <c r="G65" s="50">
        <f ca="1">+ROUND(XNPV('Main_O+R_WTC'!$G$52,$G$62:$AQ$62,$G$3:$AQ$3),0)</f>
        <v>487</v>
      </c>
    </row>
    <row r="66" spans="2:43">
      <c r="B66" s="49" t="s">
        <v>146</v>
      </c>
      <c r="C66" s="49"/>
      <c r="D66" s="49"/>
      <c r="E66" s="49"/>
      <c r="F66" s="49"/>
      <c r="G66" s="51">
        <f ca="1">+XIRR(G63:AQ63,G3:AQ3)</f>
        <v>0.21126229166984561</v>
      </c>
    </row>
    <row r="67" spans="2:43">
      <c r="B67" s="49" t="s">
        <v>147</v>
      </c>
      <c r="G67" s="51">
        <f ca="1">+(MAX(H19:AQ19)+MAX(H20:AQ20)+MAX(H25:AQ25)+MAX(H26:AQ26)+MAX(H31:AQ31)+MAX(H32:AQ32)-(LOOKUP('Main_O+R_WTC'!$A$12,'Main_O+R_WTC'!$X$3:$AA$3,'Main_O+R_WTC'!$X$33:$AA$33)))*(95%)*(4)/SUM('Main_O+R_WTC'!G73:G74)</f>
        <v>0.10528764455393923</v>
      </c>
    </row>
    <row r="70" spans="2:43">
      <c r="B70" s="52" t="s">
        <v>45</v>
      </c>
    </row>
    <row r="71" spans="2:43">
      <c r="B71" s="5" t="s">
        <v>44</v>
      </c>
      <c r="H71" s="5">
        <v>0</v>
      </c>
      <c r="I71" s="5">
        <f t="shared" ref="I71:AE71" ca="1" si="118">+H74</f>
        <v>0</v>
      </c>
      <c r="J71" s="5">
        <f t="shared" ca="1" si="118"/>
        <v>22.061986084756541</v>
      </c>
      <c r="K71" s="5">
        <f t="shared" ca="1" si="118"/>
        <v>75.815606790754828</v>
      </c>
      <c r="L71" s="5">
        <f t="shared" ca="1" si="118"/>
        <v>119.08990981742517</v>
      </c>
      <c r="M71" s="5">
        <f t="shared" ca="1" si="118"/>
        <v>174.70970086892373</v>
      </c>
      <c r="N71" s="5">
        <f t="shared" ca="1" si="118"/>
        <v>234.6174354965527</v>
      </c>
      <c r="O71" s="5">
        <f t="shared" ca="1" si="118"/>
        <v>316.97349455675749</v>
      </c>
      <c r="P71" s="5">
        <f t="shared" ca="1" si="118"/>
        <v>384.95220894646502</v>
      </c>
      <c r="Q71" s="5">
        <f t="shared" ca="1" si="118"/>
        <v>410.7018771429249</v>
      </c>
      <c r="R71" s="5">
        <f t="shared" ca="1" si="118"/>
        <v>437.45503910547467</v>
      </c>
      <c r="S71" s="5">
        <f t="shared" ca="1" si="118"/>
        <v>466.29628026480566</v>
      </c>
      <c r="T71" s="5">
        <f t="shared" ca="1" si="118"/>
        <v>502.16328232002496</v>
      </c>
      <c r="U71" s="5">
        <f t="shared" ca="1" si="118"/>
        <v>532.93003076974867</v>
      </c>
      <c r="V71" s="5">
        <f t="shared" ca="1" si="118"/>
        <v>559.58487855567648</v>
      </c>
      <c r="W71" s="5">
        <f t="shared" ca="1" si="118"/>
        <v>573.84258916098565</v>
      </c>
      <c r="X71" s="5">
        <f t="shared" ca="1" si="118"/>
        <v>585.73019041564112</v>
      </c>
      <c r="Y71" s="5">
        <f t="shared" ca="1" si="118"/>
        <v>592.80559336353042</v>
      </c>
      <c r="Z71" s="5">
        <f t="shared" ca="1" si="118"/>
        <v>599.966464548663</v>
      </c>
      <c r="AA71" s="5">
        <f t="shared" ca="1" si="118"/>
        <v>0</v>
      </c>
      <c r="AB71" s="5">
        <f t="shared" ca="1" si="118"/>
        <v>0</v>
      </c>
      <c r="AC71" s="5">
        <f t="shared" ca="1" si="118"/>
        <v>0</v>
      </c>
      <c r="AD71" s="5">
        <f t="shared" ca="1" si="118"/>
        <v>0</v>
      </c>
      <c r="AE71" s="5">
        <f t="shared" ca="1" si="118"/>
        <v>0</v>
      </c>
      <c r="AF71" s="5">
        <f t="shared" ref="AF71" ca="1" si="119">+AE74</f>
        <v>0</v>
      </c>
      <c r="AG71" s="5">
        <f t="shared" ref="AG71" ca="1" si="120">+AF74</f>
        <v>0</v>
      </c>
      <c r="AH71" s="5">
        <f t="shared" ref="AH71" ca="1" si="121">+AG74</f>
        <v>0</v>
      </c>
      <c r="AI71" s="5">
        <f t="shared" ref="AI71" ca="1" si="122">+AH74</f>
        <v>0</v>
      </c>
      <c r="AJ71" s="5">
        <f t="shared" ref="AJ71" ca="1" si="123">+AI74</f>
        <v>0</v>
      </c>
      <c r="AK71" s="5">
        <f t="shared" ref="AK71" ca="1" si="124">+AJ74</f>
        <v>0</v>
      </c>
      <c r="AL71" s="5">
        <f t="shared" ref="AL71" ca="1" si="125">+AK74</f>
        <v>0</v>
      </c>
      <c r="AM71" s="5">
        <f t="shared" ref="AM71" ca="1" si="126">+AL74</f>
        <v>0</v>
      </c>
      <c r="AN71" s="5">
        <f t="shared" ref="AN71" ca="1" si="127">+AM74</f>
        <v>0</v>
      </c>
      <c r="AO71" s="5">
        <f t="shared" ref="AO71" ca="1" si="128">+AN74</f>
        <v>0</v>
      </c>
      <c r="AP71" s="5">
        <f t="shared" ref="AP71" ca="1" si="129">+AO74</f>
        <v>0</v>
      </c>
      <c r="AQ71" s="5">
        <f t="shared" ref="AQ71" ca="1" si="130">+AP74</f>
        <v>0</v>
      </c>
    </row>
    <row r="72" spans="2:43">
      <c r="B72" s="5" t="s">
        <v>43</v>
      </c>
      <c r="H72" s="5">
        <f ca="1">+H98</f>
        <v>0</v>
      </c>
      <c r="I72" s="5">
        <f t="shared" ref="I72:AE72" ca="1" si="131">+I98</f>
        <v>22.061986084756541</v>
      </c>
      <c r="J72" s="5">
        <f t="shared" ca="1" si="131"/>
        <v>53.753620705998287</v>
      </c>
      <c r="K72" s="5">
        <f t="shared" ca="1" si="131"/>
        <v>43.274303026670339</v>
      </c>
      <c r="L72" s="5">
        <f t="shared" ca="1" si="131"/>
        <v>55.619791051498552</v>
      </c>
      <c r="M72" s="5">
        <f t="shared" ca="1" si="131"/>
        <v>59.907734627628976</v>
      </c>
      <c r="N72" s="5">
        <f t="shared" ca="1" si="131"/>
        <v>82.356059060204785</v>
      </c>
      <c r="O72" s="5">
        <f t="shared" ca="1" si="131"/>
        <v>67.978714389707548</v>
      </c>
      <c r="P72" s="5">
        <f t="shared" ca="1" si="131"/>
        <v>25.749668196459893</v>
      </c>
      <c r="Q72" s="5">
        <f t="shared" ca="1" si="131"/>
        <v>26.753161962549758</v>
      </c>
      <c r="R72" s="5">
        <f t="shared" ca="1" si="131"/>
        <v>28.841241159331005</v>
      </c>
      <c r="S72" s="5">
        <f t="shared" ca="1" si="131"/>
        <v>35.867002055219295</v>
      </c>
      <c r="T72" s="5">
        <f t="shared" ca="1" si="131"/>
        <v>30.766748449723654</v>
      </c>
      <c r="U72" s="5">
        <f t="shared" ca="1" si="131"/>
        <v>26.65484778592781</v>
      </c>
      <c r="V72" s="5">
        <f t="shared" ca="1" si="131"/>
        <v>14.257710605309223</v>
      </c>
      <c r="W72" s="5">
        <f t="shared" ca="1" si="131"/>
        <v>11.88760125465547</v>
      </c>
      <c r="X72" s="5">
        <f t="shared" ca="1" si="131"/>
        <v>7.0754029478893239</v>
      </c>
      <c r="Y72" s="5">
        <f t="shared" ca="1" si="131"/>
        <v>7.1608711851326108</v>
      </c>
      <c r="Z72" s="5">
        <f t="shared" ca="1" si="131"/>
        <v>0</v>
      </c>
      <c r="AA72" s="5">
        <f t="shared" ca="1" si="131"/>
        <v>0</v>
      </c>
      <c r="AB72" s="5">
        <f t="shared" ca="1" si="131"/>
        <v>0</v>
      </c>
      <c r="AC72" s="5">
        <f t="shared" ca="1" si="131"/>
        <v>0</v>
      </c>
      <c r="AD72" s="5">
        <f t="shared" ca="1" si="131"/>
        <v>0</v>
      </c>
      <c r="AE72" s="5">
        <f t="shared" ca="1" si="131"/>
        <v>0</v>
      </c>
      <c r="AF72" s="5">
        <f t="shared" ref="AF72:AQ72" ca="1" si="132">+AF98</f>
        <v>0</v>
      </c>
      <c r="AG72" s="5">
        <f t="shared" ca="1" si="132"/>
        <v>0</v>
      </c>
      <c r="AH72" s="5">
        <f t="shared" ca="1" si="132"/>
        <v>0</v>
      </c>
      <c r="AI72" s="5">
        <f t="shared" ca="1" si="132"/>
        <v>0</v>
      </c>
      <c r="AJ72" s="5">
        <f t="shared" ca="1" si="132"/>
        <v>0</v>
      </c>
      <c r="AK72" s="5">
        <f t="shared" ca="1" si="132"/>
        <v>0</v>
      </c>
      <c r="AL72" s="5">
        <f t="shared" ca="1" si="132"/>
        <v>0</v>
      </c>
      <c r="AM72" s="5">
        <f t="shared" ca="1" si="132"/>
        <v>0</v>
      </c>
      <c r="AN72" s="5">
        <f t="shared" ca="1" si="132"/>
        <v>0</v>
      </c>
      <c r="AO72" s="5">
        <f t="shared" ca="1" si="132"/>
        <v>0</v>
      </c>
      <c r="AP72" s="5">
        <f t="shared" ca="1" si="132"/>
        <v>0</v>
      </c>
      <c r="AQ72" s="5">
        <f t="shared" ca="1" si="132"/>
        <v>0</v>
      </c>
    </row>
    <row r="73" spans="2:43">
      <c r="B73" s="5" t="s">
        <v>42</v>
      </c>
      <c r="H73" s="5">
        <f>+IF(H$4=('Main_O+R_WTC'!$G$34),SUM($H$72:H$72),0)</f>
        <v>0</v>
      </c>
      <c r="I73" s="5">
        <f>+IF(I$4=('Main_O+R_WTC'!$G$34),SUM($H$72:I$72),0)</f>
        <v>0</v>
      </c>
      <c r="J73" s="5">
        <f>+IF(J$4=('Main_O+R_WTC'!$G$34),SUM($H$72:J$72),0)</f>
        <v>0</v>
      </c>
      <c r="K73" s="5">
        <f>+IF(K$4=('Main_O+R_WTC'!$G$34),SUM($H$72:K$72),0)</f>
        <v>0</v>
      </c>
      <c r="L73" s="5">
        <f>+IF(L$4=('Main_O+R_WTC'!$G$34),SUM($H$72:L$72),0)</f>
        <v>0</v>
      </c>
      <c r="M73" s="5">
        <f>+IF(M$4=('Main_O+R_WTC'!$G$34),SUM($H$72:M$72),0)</f>
        <v>0</v>
      </c>
      <c r="N73" s="5">
        <f>+IF(N$4=('Main_O+R_WTC'!$G$34),SUM($H$72:N$72),0)</f>
        <v>0</v>
      </c>
      <c r="O73" s="5">
        <f>+IF(O$4=('Main_O+R_WTC'!$G$34),SUM($H$72:O$72),0)</f>
        <v>0</v>
      </c>
      <c r="P73" s="5">
        <f>+IF(P$4=('Main_O+R_WTC'!$G$34),SUM($H$72:P$72),0)</f>
        <v>0</v>
      </c>
      <c r="Q73" s="5">
        <f>+IF(Q$4=('Main_O+R_WTC'!$G$34),SUM($H$72:Q$72),0)</f>
        <v>0</v>
      </c>
      <c r="R73" s="5">
        <f>+IF(R$4=('Main_O+R_WTC'!$G$34),SUM($H$72:R$72),0)</f>
        <v>0</v>
      </c>
      <c r="S73" s="5">
        <f>+IF(S$4=('Main_O+R_WTC'!$G$34),SUM($H$72:S$72),0)</f>
        <v>0</v>
      </c>
      <c r="T73" s="5">
        <f>+IF(T$4=('Main_O+R_WTC'!$G$34),SUM($H$72:T$72),0)</f>
        <v>0</v>
      </c>
      <c r="U73" s="5">
        <f>+IF(U$4=('Main_O+R_WTC'!$G$34),SUM($H$72:U$72),0)</f>
        <v>0</v>
      </c>
      <c r="V73" s="5">
        <f>+IF(V$4=('Main_O+R_WTC'!$G$34),SUM($H$72:V$72),0)</f>
        <v>0</v>
      </c>
      <c r="W73" s="5">
        <f>+IF(W$4=('Main_O+R_WTC'!$G$34),SUM($H$72:W$72),0)</f>
        <v>0</v>
      </c>
      <c r="X73" s="5">
        <f>+IF(X$4=('Main_O+R_WTC'!$G$34),SUM($H$72:X$72),0)</f>
        <v>0</v>
      </c>
      <c r="Y73" s="5">
        <f>+IF(Y$4=('Main_O+R_WTC'!$G$34),SUM($H$72:Y$72),0)</f>
        <v>0</v>
      </c>
      <c r="Z73" s="5">
        <f ca="1">+IF(Z$4=('Main_O+R_WTC'!$G$34),SUM($H$72:Z$72),0)</f>
        <v>599.966464548663</v>
      </c>
      <c r="AA73" s="5">
        <f>+IF(AA$4=('Main_O+R_WTC'!$G$34),SUM($H$72:AA$72),0)</f>
        <v>0</v>
      </c>
      <c r="AB73" s="5">
        <f>+IF(AB$4=('Main_O+R_WTC'!$G$34),SUM($H$72:AB$72),0)</f>
        <v>0</v>
      </c>
      <c r="AC73" s="5">
        <f>+IF(AC$4=('Main_O+R_WTC'!$G$34),SUM($H$72:AC$72),0)</f>
        <v>0</v>
      </c>
      <c r="AD73" s="5">
        <f>+IF(AD$4=('Main_O+R_WTC'!$G$34),SUM($H$72:AD$72),0)</f>
        <v>0</v>
      </c>
      <c r="AE73" s="5">
        <f>+IF(AE$4=('Main_O+R_WTC'!$G$34),SUM($H$72:AE$72),0)</f>
        <v>0</v>
      </c>
      <c r="AF73" s="5">
        <f>+IF(AF$4=('Main_O+R_WTC'!$G$34),SUM($H$72:AF$72),0)</f>
        <v>0</v>
      </c>
      <c r="AG73" s="5">
        <f>+IF(AG$4=('Main_O+R_WTC'!$G$34),SUM($H$72:AG$72),0)</f>
        <v>0</v>
      </c>
      <c r="AH73" s="5">
        <f>+IF(AH$4=('Main_O+R_WTC'!$G$34),SUM($H$72:AH$72),0)</f>
        <v>0</v>
      </c>
      <c r="AI73" s="5">
        <f>+IF(AI$4=('Main_O+R_WTC'!$G$34),SUM($H$72:AI$72),0)</f>
        <v>0</v>
      </c>
      <c r="AJ73" s="5">
        <f>+IF(AJ$4=('Main_O+R_WTC'!$G$34),SUM($H$72:AJ$72),0)</f>
        <v>0</v>
      </c>
      <c r="AK73" s="5">
        <f>+IF(AK$4=('Main_O+R_WTC'!$G$34),SUM($H$72:AK$72),0)</f>
        <v>0</v>
      </c>
      <c r="AL73" s="5">
        <f>+IF(AL$4=('Main_O+R_WTC'!$G$34),SUM($H$72:AL$72),0)</f>
        <v>0</v>
      </c>
      <c r="AM73" s="5">
        <f>+IF(AM$4=('Main_O+R_WTC'!$G$34),SUM($H$72:AM$72),0)</f>
        <v>0</v>
      </c>
      <c r="AN73" s="5">
        <f>+IF(AN$4=('Main_O+R_WTC'!$G$34),SUM($H$72:AN$72),0)</f>
        <v>0</v>
      </c>
      <c r="AO73" s="5">
        <f>+IF(AO$4=('Main_O+R_WTC'!$G$34),SUM($H$72:AO$72),0)</f>
        <v>0</v>
      </c>
      <c r="AP73" s="5">
        <f>+IF(AP$4=('Main_O+R_WTC'!$G$34),SUM($H$72:AP$72),0)</f>
        <v>0</v>
      </c>
      <c r="AQ73" s="5">
        <f>+IF(AQ$4=('Main_O+R_WTC'!$G$34),SUM($H$72:AQ$72),0)</f>
        <v>0</v>
      </c>
    </row>
    <row r="74" spans="2:43">
      <c r="B74" s="5" t="s">
        <v>41</v>
      </c>
      <c r="H74" s="5">
        <f ca="1">+H71+H72-H73</f>
        <v>0</v>
      </c>
      <c r="I74" s="5">
        <f t="shared" ref="I74:AE74" ca="1" si="133">+I71+I72-I73</f>
        <v>22.061986084756541</v>
      </c>
      <c r="J74" s="5">
        <f t="shared" ca="1" si="133"/>
        <v>75.815606790754828</v>
      </c>
      <c r="K74" s="5">
        <f t="shared" ca="1" si="133"/>
        <v>119.08990981742517</v>
      </c>
      <c r="L74" s="5">
        <f t="shared" ca="1" si="133"/>
        <v>174.70970086892373</v>
      </c>
      <c r="M74" s="5">
        <f t="shared" ca="1" si="133"/>
        <v>234.6174354965527</v>
      </c>
      <c r="N74" s="5">
        <f t="shared" ca="1" si="133"/>
        <v>316.97349455675749</v>
      </c>
      <c r="O74" s="5">
        <f t="shared" ca="1" si="133"/>
        <v>384.95220894646502</v>
      </c>
      <c r="P74" s="5">
        <f t="shared" ca="1" si="133"/>
        <v>410.7018771429249</v>
      </c>
      <c r="Q74" s="5">
        <f t="shared" ca="1" si="133"/>
        <v>437.45503910547467</v>
      </c>
      <c r="R74" s="5">
        <f t="shared" ca="1" si="133"/>
        <v>466.29628026480566</v>
      </c>
      <c r="S74" s="5">
        <f t="shared" ca="1" si="133"/>
        <v>502.16328232002496</v>
      </c>
      <c r="T74" s="5">
        <f t="shared" ca="1" si="133"/>
        <v>532.93003076974867</v>
      </c>
      <c r="U74" s="5">
        <f t="shared" ca="1" si="133"/>
        <v>559.58487855567648</v>
      </c>
      <c r="V74" s="5">
        <f t="shared" ca="1" si="133"/>
        <v>573.84258916098565</v>
      </c>
      <c r="W74" s="5">
        <f t="shared" ca="1" si="133"/>
        <v>585.73019041564112</v>
      </c>
      <c r="X74" s="5">
        <f t="shared" ca="1" si="133"/>
        <v>592.80559336353042</v>
      </c>
      <c r="Y74" s="5">
        <f t="shared" ca="1" si="133"/>
        <v>599.966464548663</v>
      </c>
      <c r="Z74" s="5">
        <f t="shared" ca="1" si="133"/>
        <v>0</v>
      </c>
      <c r="AA74" s="5">
        <f t="shared" ca="1" si="133"/>
        <v>0</v>
      </c>
      <c r="AB74" s="5">
        <f t="shared" ca="1" si="133"/>
        <v>0</v>
      </c>
      <c r="AC74" s="5">
        <f t="shared" ca="1" si="133"/>
        <v>0</v>
      </c>
      <c r="AD74" s="5">
        <f t="shared" ca="1" si="133"/>
        <v>0</v>
      </c>
      <c r="AE74" s="5">
        <f t="shared" ca="1" si="133"/>
        <v>0</v>
      </c>
      <c r="AF74" s="5">
        <f t="shared" ref="AF74:AQ74" ca="1" si="134">+AF71+AF72-AF73</f>
        <v>0</v>
      </c>
      <c r="AG74" s="5">
        <f t="shared" ca="1" si="134"/>
        <v>0</v>
      </c>
      <c r="AH74" s="5">
        <f t="shared" ca="1" si="134"/>
        <v>0</v>
      </c>
      <c r="AI74" s="5">
        <f t="shared" ca="1" si="134"/>
        <v>0</v>
      </c>
      <c r="AJ74" s="5">
        <f t="shared" ca="1" si="134"/>
        <v>0</v>
      </c>
      <c r="AK74" s="5">
        <f t="shared" ca="1" si="134"/>
        <v>0</v>
      </c>
      <c r="AL74" s="5">
        <f t="shared" ca="1" si="134"/>
        <v>0</v>
      </c>
      <c r="AM74" s="5">
        <f t="shared" ca="1" si="134"/>
        <v>0</v>
      </c>
      <c r="AN74" s="5">
        <f t="shared" ca="1" si="134"/>
        <v>0</v>
      </c>
      <c r="AO74" s="5">
        <f t="shared" ca="1" si="134"/>
        <v>0</v>
      </c>
      <c r="AP74" s="5">
        <f t="shared" ca="1" si="134"/>
        <v>0</v>
      </c>
      <c r="AQ74" s="5">
        <f t="shared" ca="1" si="134"/>
        <v>0</v>
      </c>
    </row>
    <row r="75" spans="2:43">
      <c r="B75" s="5" t="s">
        <v>40</v>
      </c>
      <c r="H75" s="5">
        <f t="shared" ref="H75:AE75" ca="1" si="135">+AVERAGE(H71,H74)</f>
        <v>0</v>
      </c>
      <c r="I75" s="5">
        <f t="shared" ca="1" si="135"/>
        <v>11.03099304237827</v>
      </c>
      <c r="J75" s="5">
        <f t="shared" ca="1" si="135"/>
        <v>48.938796437755684</v>
      </c>
      <c r="K75" s="5">
        <f t="shared" ca="1" si="135"/>
        <v>97.452758304089997</v>
      </c>
      <c r="L75" s="5">
        <f t="shared" ca="1" si="135"/>
        <v>146.89980534317445</v>
      </c>
      <c r="M75" s="5">
        <f t="shared" ca="1" si="135"/>
        <v>204.66356818273823</v>
      </c>
      <c r="N75" s="5">
        <f t="shared" ca="1" si="135"/>
        <v>275.79546502665511</v>
      </c>
      <c r="O75" s="5">
        <f t="shared" ca="1" si="135"/>
        <v>350.96285175161125</v>
      </c>
      <c r="P75" s="5">
        <f t="shared" ca="1" si="135"/>
        <v>397.82704304469496</v>
      </c>
      <c r="Q75" s="5">
        <f t="shared" ca="1" si="135"/>
        <v>424.07845812419976</v>
      </c>
      <c r="R75" s="5">
        <f t="shared" ca="1" si="135"/>
        <v>451.87565968514014</v>
      </c>
      <c r="S75" s="5">
        <f t="shared" ca="1" si="135"/>
        <v>484.22978129241528</v>
      </c>
      <c r="T75" s="5">
        <f t="shared" ca="1" si="135"/>
        <v>517.54665654488679</v>
      </c>
      <c r="U75" s="5">
        <f t="shared" ca="1" si="135"/>
        <v>546.25745466271258</v>
      </c>
      <c r="V75" s="5">
        <f t="shared" ca="1" si="135"/>
        <v>566.71373385833112</v>
      </c>
      <c r="W75" s="5">
        <f t="shared" ca="1" si="135"/>
        <v>579.78638978831339</v>
      </c>
      <c r="X75" s="5">
        <f t="shared" ca="1" si="135"/>
        <v>589.26789188958583</v>
      </c>
      <c r="Y75" s="5">
        <f t="shared" ca="1" si="135"/>
        <v>596.38602895609665</v>
      </c>
      <c r="Z75" s="5">
        <f t="shared" ca="1" si="135"/>
        <v>299.9832322743315</v>
      </c>
      <c r="AA75" s="5">
        <f t="shared" ca="1" si="135"/>
        <v>0</v>
      </c>
      <c r="AB75" s="5">
        <f t="shared" ca="1" si="135"/>
        <v>0</v>
      </c>
      <c r="AC75" s="5">
        <f t="shared" ca="1" si="135"/>
        <v>0</v>
      </c>
      <c r="AD75" s="5">
        <f t="shared" ca="1" si="135"/>
        <v>0</v>
      </c>
      <c r="AE75" s="5">
        <f t="shared" ca="1" si="135"/>
        <v>0</v>
      </c>
      <c r="AF75" s="5">
        <f t="shared" ref="AF75:AQ75" ca="1" si="136">+AVERAGE(AF71,AF74)</f>
        <v>0</v>
      </c>
      <c r="AG75" s="5">
        <f t="shared" ca="1" si="136"/>
        <v>0</v>
      </c>
      <c r="AH75" s="5">
        <f t="shared" ca="1" si="136"/>
        <v>0</v>
      </c>
      <c r="AI75" s="5">
        <f t="shared" ca="1" si="136"/>
        <v>0</v>
      </c>
      <c r="AJ75" s="5">
        <f t="shared" ca="1" si="136"/>
        <v>0</v>
      </c>
      <c r="AK75" s="5">
        <f t="shared" ca="1" si="136"/>
        <v>0</v>
      </c>
      <c r="AL75" s="5">
        <f t="shared" ca="1" si="136"/>
        <v>0</v>
      </c>
      <c r="AM75" s="5">
        <f t="shared" ca="1" si="136"/>
        <v>0</v>
      </c>
      <c r="AN75" s="5">
        <f t="shared" ca="1" si="136"/>
        <v>0</v>
      </c>
      <c r="AO75" s="5">
        <f t="shared" ca="1" si="136"/>
        <v>0</v>
      </c>
      <c r="AP75" s="5">
        <f t="shared" ca="1" si="136"/>
        <v>0</v>
      </c>
      <c r="AQ75" s="5">
        <f t="shared" ca="1" si="136"/>
        <v>0</v>
      </c>
    </row>
    <row r="76" spans="2:43">
      <c r="B76" s="5" t="s">
        <v>39</v>
      </c>
      <c r="H76" s="5">
        <f ca="1">+H75*'Main_O+R_WTC'!$G$30/4</f>
        <v>0</v>
      </c>
      <c r="I76" s="5">
        <f ca="1">+I75*'Main_O+R_WTC'!$G$30/4</f>
        <v>0.26198608475648394</v>
      </c>
      <c r="J76" s="5">
        <f ca="1">+J75*'Main_O+R_WTC'!$G$30/4</f>
        <v>1.1622964153966975</v>
      </c>
      <c r="K76" s="5">
        <f ca="1">+K75*'Main_O+R_WTC'!$G$30/4</f>
        <v>2.3145030097221375</v>
      </c>
      <c r="L76" s="5">
        <f ca="1">+L75*'Main_O+R_WTC'!$G$30/4</f>
        <v>3.488870376900393</v>
      </c>
      <c r="M76" s="5">
        <f ca="1">+M75*'Main_O+R_WTC'!$G$30/4</f>
        <v>4.860759744340033</v>
      </c>
      <c r="N76" s="5">
        <f ca="1">+N75*'Main_O+R_WTC'!$G$30/4</f>
        <v>6.5501422943830585</v>
      </c>
      <c r="O76" s="5">
        <f ca="1">+O75*'Main_O+R_WTC'!$G$30/4</f>
        <v>8.3353677291007671</v>
      </c>
      <c r="P76" s="5">
        <f ca="1">+P75*'Main_O+R_WTC'!$G$30/4</f>
        <v>9.448392272311505</v>
      </c>
      <c r="Q76" s="5">
        <f ca="1">+Q75*'Main_O+R_WTC'!$G$30/4</f>
        <v>10.071863380449745</v>
      </c>
      <c r="R76" s="5">
        <f ca="1">+R75*'Main_O+R_WTC'!$G$30/4</f>
        <v>10.732046917522078</v>
      </c>
      <c r="S76" s="5">
        <f ca="1">+S75*'Main_O+R_WTC'!$G$30/4</f>
        <v>11.500457305694862</v>
      </c>
      <c r="T76" s="5">
        <f ca="1">+T75*'Main_O+R_WTC'!$G$30/4</f>
        <v>12.291733092941062</v>
      </c>
      <c r="U76" s="5">
        <f ca="1">+U75*'Main_O+R_WTC'!$G$30/4</f>
        <v>12.973614548239423</v>
      </c>
      <c r="V76" s="5">
        <f ca="1">+V75*'Main_O+R_WTC'!$G$30/4</f>
        <v>13.459451179135364</v>
      </c>
      <c r="W76" s="5">
        <f ca="1">+W75*'Main_O+R_WTC'!$G$30/4</f>
        <v>13.769926757472444</v>
      </c>
      <c r="X76" s="5">
        <f ca="1">+X75*'Main_O+R_WTC'!$G$30/4</f>
        <v>13.995112432377663</v>
      </c>
      <c r="Y76" s="5">
        <f ca="1">+Y75*'Main_O+R_WTC'!$G$30/4</f>
        <v>14.164168187707295</v>
      </c>
      <c r="Z76" s="5">
        <f ca="1">+Z75*'Main_O+R_WTC'!$G$30/4</f>
        <v>7.1246017665153731</v>
      </c>
      <c r="AA76" s="5">
        <f ca="1">+AA75*'Main_O+R_WTC'!$G$30/4</f>
        <v>0</v>
      </c>
      <c r="AB76" s="5">
        <f ca="1">+AB75*'Main_O+R_WTC'!$G$30/4</f>
        <v>0</v>
      </c>
      <c r="AC76" s="5">
        <f ca="1">+AC75*'Main_O+R_WTC'!$G$30/4</f>
        <v>0</v>
      </c>
      <c r="AD76" s="5">
        <f ca="1">+AD75*'Main_O+R_WTC'!$G$30/4</f>
        <v>0</v>
      </c>
      <c r="AE76" s="5">
        <f ca="1">+AE75*'Main_O+R_WTC'!$G$30/4</f>
        <v>0</v>
      </c>
      <c r="AF76" s="5">
        <f ca="1">+AF75*'Main_O+R_WTC'!$G$30/4</f>
        <v>0</v>
      </c>
      <c r="AG76" s="5">
        <f ca="1">+AG75*'Main_O+R_WTC'!$G$30/4</f>
        <v>0</v>
      </c>
      <c r="AH76" s="5">
        <f ca="1">+AH75*'Main_O+R_WTC'!$G$30/4</f>
        <v>0</v>
      </c>
      <c r="AI76" s="5">
        <f ca="1">+AI75*'Main_O+R_WTC'!$G$30/4</f>
        <v>0</v>
      </c>
      <c r="AJ76" s="5">
        <f ca="1">+AJ75*'Main_O+R_WTC'!$G$30/4</f>
        <v>0</v>
      </c>
      <c r="AK76" s="5">
        <f ca="1">+AK75*'Main_O+R_WTC'!$G$30/4</f>
        <v>0</v>
      </c>
      <c r="AL76" s="5">
        <f ca="1">+AL75*'Main_O+R_WTC'!$G$30/4</f>
        <v>0</v>
      </c>
      <c r="AM76" s="5">
        <f ca="1">+AM75*'Main_O+R_WTC'!$G$30/4</f>
        <v>0</v>
      </c>
      <c r="AN76" s="5">
        <f ca="1">+AN75*'Main_O+R_WTC'!$G$30/4</f>
        <v>0</v>
      </c>
      <c r="AO76" s="5">
        <f ca="1">+AO75*'Main_O+R_WTC'!$G$30/4</f>
        <v>0</v>
      </c>
      <c r="AP76" s="5">
        <f ca="1">+AP75*'Main_O+R_WTC'!$G$30/4</f>
        <v>0</v>
      </c>
      <c r="AQ76" s="5">
        <f ca="1">+AQ75*'Main_O+R_WTC'!$G$30/4</f>
        <v>0</v>
      </c>
    </row>
    <row r="77" spans="2:43">
      <c r="B77" s="5" t="s">
        <v>38</v>
      </c>
      <c r="H77" s="5">
        <f ca="1">+IF(OR(H$24=0,H$24&lt;=0.5),H76,0)</f>
        <v>0</v>
      </c>
      <c r="I77" s="5">
        <f t="shared" ref="I77:AE77" ca="1" si="137">+IF(OR(I$24=0,I$24&lt;=0.5),I76,0)</f>
        <v>0.26198608475648394</v>
      </c>
      <c r="J77" s="5">
        <f t="shared" ca="1" si="137"/>
        <v>1.1622964153966975</v>
      </c>
      <c r="K77" s="5">
        <f t="shared" ca="1" si="137"/>
        <v>2.3145030097221375</v>
      </c>
      <c r="L77" s="5">
        <f t="shared" ca="1" si="137"/>
        <v>3.488870376900393</v>
      </c>
      <c r="M77" s="5">
        <f t="shared" ca="1" si="137"/>
        <v>4.860759744340033</v>
      </c>
      <c r="N77" s="5">
        <f t="shared" ca="1" si="137"/>
        <v>6.5501422943830585</v>
      </c>
      <c r="O77" s="5">
        <f t="shared" ca="1" si="137"/>
        <v>8.3353677291007671</v>
      </c>
      <c r="P77" s="5">
        <f t="shared" ca="1" si="137"/>
        <v>9.448392272311505</v>
      </c>
      <c r="Q77" s="5">
        <f t="shared" ca="1" si="137"/>
        <v>10.071863380449745</v>
      </c>
      <c r="R77" s="5">
        <f t="shared" ca="1" si="137"/>
        <v>10.732046917522078</v>
      </c>
      <c r="S77" s="5">
        <f t="shared" ca="1" si="137"/>
        <v>11.500457305694862</v>
      </c>
      <c r="T77" s="5">
        <f t="shared" ca="1" si="137"/>
        <v>12.291733092941062</v>
      </c>
      <c r="U77" s="5">
        <f t="shared" ca="1" si="137"/>
        <v>12.973614548239423</v>
      </c>
      <c r="V77" s="5">
        <f t="shared" ca="1" si="137"/>
        <v>13.459451179135364</v>
      </c>
      <c r="W77" s="5">
        <f t="shared" ca="1" si="137"/>
        <v>13.769926757472444</v>
      </c>
      <c r="X77" s="5">
        <f t="shared" ca="1" si="137"/>
        <v>13.995112432377663</v>
      </c>
      <c r="Y77" s="5">
        <f t="shared" ca="1" si="137"/>
        <v>14.164168187707295</v>
      </c>
      <c r="Z77" s="5">
        <f t="shared" si="137"/>
        <v>0</v>
      </c>
      <c r="AA77" s="5">
        <f t="shared" si="137"/>
        <v>0</v>
      </c>
      <c r="AB77" s="5">
        <f t="shared" si="137"/>
        <v>0</v>
      </c>
      <c r="AC77" s="5">
        <f t="shared" si="137"/>
        <v>0</v>
      </c>
      <c r="AD77" s="5">
        <f t="shared" si="137"/>
        <v>0</v>
      </c>
      <c r="AE77" s="5">
        <f t="shared" si="137"/>
        <v>0</v>
      </c>
      <c r="AF77" s="5">
        <f t="shared" ref="AF77:AQ77" si="138">+IF(OR(AF$24=0,AF$24&lt;=0.5),AF76,0)</f>
        <v>0</v>
      </c>
      <c r="AG77" s="5">
        <f t="shared" si="138"/>
        <v>0</v>
      </c>
      <c r="AH77" s="5">
        <f t="shared" si="138"/>
        <v>0</v>
      </c>
      <c r="AI77" s="5">
        <f t="shared" si="138"/>
        <v>0</v>
      </c>
      <c r="AJ77" s="5">
        <f t="shared" si="138"/>
        <v>0</v>
      </c>
      <c r="AK77" s="5">
        <f t="shared" si="138"/>
        <v>0</v>
      </c>
      <c r="AL77" s="5">
        <f t="shared" si="138"/>
        <v>0</v>
      </c>
      <c r="AM77" s="5">
        <f t="shared" si="138"/>
        <v>0</v>
      </c>
      <c r="AN77" s="5">
        <f t="shared" si="138"/>
        <v>0</v>
      </c>
      <c r="AO77" s="5">
        <f t="shared" si="138"/>
        <v>0</v>
      </c>
      <c r="AP77" s="5">
        <f t="shared" si="138"/>
        <v>0</v>
      </c>
      <c r="AQ77" s="5">
        <f t="shared" si="138"/>
        <v>0</v>
      </c>
    </row>
    <row r="78" spans="2:43">
      <c r="B78" s="5" t="s">
        <v>37</v>
      </c>
      <c r="H78" s="5">
        <f ca="1">+H76-H77</f>
        <v>0</v>
      </c>
      <c r="I78" s="5">
        <f t="shared" ref="I78:AE78" ca="1" si="139">+I76-I77</f>
        <v>0</v>
      </c>
      <c r="J78" s="5">
        <f t="shared" ca="1" si="139"/>
        <v>0</v>
      </c>
      <c r="K78" s="5">
        <f t="shared" ca="1" si="139"/>
        <v>0</v>
      </c>
      <c r="L78" s="5">
        <f t="shared" ca="1" si="139"/>
        <v>0</v>
      </c>
      <c r="M78" s="5">
        <f t="shared" ca="1" si="139"/>
        <v>0</v>
      </c>
      <c r="N78" s="5">
        <f t="shared" ca="1" si="139"/>
        <v>0</v>
      </c>
      <c r="O78" s="5">
        <f t="shared" ca="1" si="139"/>
        <v>0</v>
      </c>
      <c r="P78" s="5">
        <f t="shared" ca="1" si="139"/>
        <v>0</v>
      </c>
      <c r="Q78" s="5">
        <f t="shared" ca="1" si="139"/>
        <v>0</v>
      </c>
      <c r="R78" s="5">
        <f t="shared" ca="1" si="139"/>
        <v>0</v>
      </c>
      <c r="S78" s="5">
        <f t="shared" ca="1" si="139"/>
        <v>0</v>
      </c>
      <c r="T78" s="5">
        <f t="shared" ca="1" si="139"/>
        <v>0</v>
      </c>
      <c r="U78" s="5">
        <f t="shared" ca="1" si="139"/>
        <v>0</v>
      </c>
      <c r="V78" s="5">
        <f t="shared" ca="1" si="139"/>
        <v>0</v>
      </c>
      <c r="W78" s="5">
        <f t="shared" ca="1" si="139"/>
        <v>0</v>
      </c>
      <c r="X78" s="5">
        <f t="shared" ca="1" si="139"/>
        <v>0</v>
      </c>
      <c r="Y78" s="5">
        <f t="shared" ca="1" si="139"/>
        <v>0</v>
      </c>
      <c r="Z78" s="5">
        <f t="shared" ca="1" si="139"/>
        <v>7.1246017665153731</v>
      </c>
      <c r="AA78" s="5">
        <f t="shared" ca="1" si="139"/>
        <v>0</v>
      </c>
      <c r="AB78" s="5">
        <f t="shared" ca="1" si="139"/>
        <v>0</v>
      </c>
      <c r="AC78" s="5">
        <f t="shared" ca="1" si="139"/>
        <v>0</v>
      </c>
      <c r="AD78" s="5">
        <f t="shared" ca="1" si="139"/>
        <v>0</v>
      </c>
      <c r="AE78" s="5">
        <f t="shared" ca="1" si="139"/>
        <v>0</v>
      </c>
      <c r="AF78" s="5">
        <f t="shared" ref="AF78:AQ78" ca="1" si="140">+AF76-AF77</f>
        <v>0</v>
      </c>
      <c r="AG78" s="5">
        <f t="shared" ca="1" si="140"/>
        <v>0</v>
      </c>
      <c r="AH78" s="5">
        <f t="shared" ca="1" si="140"/>
        <v>0</v>
      </c>
      <c r="AI78" s="5">
        <f t="shared" ca="1" si="140"/>
        <v>0</v>
      </c>
      <c r="AJ78" s="5">
        <f t="shared" ca="1" si="140"/>
        <v>0</v>
      </c>
      <c r="AK78" s="5">
        <f t="shared" ca="1" si="140"/>
        <v>0</v>
      </c>
      <c r="AL78" s="5">
        <f t="shared" ca="1" si="140"/>
        <v>0</v>
      </c>
      <c r="AM78" s="5">
        <f t="shared" ca="1" si="140"/>
        <v>0</v>
      </c>
      <c r="AN78" s="5">
        <f t="shared" ca="1" si="140"/>
        <v>0</v>
      </c>
      <c r="AO78" s="5">
        <f t="shared" ca="1" si="140"/>
        <v>0</v>
      </c>
      <c r="AP78" s="5">
        <f t="shared" ca="1" si="140"/>
        <v>0</v>
      </c>
      <c r="AQ78" s="5">
        <f t="shared" ca="1" si="140"/>
        <v>0</v>
      </c>
    </row>
    <row r="80" spans="2:43">
      <c r="B80" s="5" t="s">
        <v>6</v>
      </c>
      <c r="H80" s="5">
        <f ca="1">+'Main_O+R_WTC'!$G$67-'PH1_O+R'!H43</f>
        <v>356.61178629830169</v>
      </c>
      <c r="I80" s="5">
        <f ca="1">-'PH1_O+R'!I43</f>
        <v>38.046312978786631</v>
      </c>
      <c r="J80" s="5">
        <f ca="1">-'PH1_O+R'!J43</f>
        <v>53.753620705998259</v>
      </c>
      <c r="K80" s="5">
        <f ca="1">-'PH1_O+R'!K43</f>
        <v>43.274303026670353</v>
      </c>
      <c r="L80" s="5">
        <f ca="1">-'PH1_O+R'!L43</f>
        <v>55.619791051498559</v>
      </c>
      <c r="M80" s="5">
        <f ca="1">-'PH1_O+R'!M43</f>
        <v>59.907734627628983</v>
      </c>
      <c r="N80" s="5">
        <f ca="1">-'PH1_O+R'!N43</f>
        <v>82.356059060204814</v>
      </c>
      <c r="O80" s="5">
        <f ca="1">-'PH1_O+R'!O43</f>
        <v>71.863979140128919</v>
      </c>
      <c r="P80" s="5">
        <f ca="1">-'PH1_O+R'!P43</f>
        <v>50.932717777349779</v>
      </c>
      <c r="Q80" s="5">
        <f ca="1">-'PH1_O+R'!Q43</f>
        <v>52.917623539615548</v>
      </c>
      <c r="R80" s="5">
        <f ca="1">-'PH1_O+R'!R43</f>
        <v>57.047833980192635</v>
      </c>
      <c r="S80" s="5">
        <f ca="1">-'PH1_O+R'!S43</f>
        <v>70.944754676460676</v>
      </c>
      <c r="T80" s="5">
        <f ca="1">-'PH1_O+R'!T43</f>
        <v>60.856477984905723</v>
      </c>
      <c r="U80" s="5">
        <f ca="1">-'PH1_O+R'!U43</f>
        <v>52.723158579011255</v>
      </c>
      <c r="V80" s="5">
        <f ca="1">-'PH1_O+R'!V43</f>
        <v>28.201681857445386</v>
      </c>
      <c r="W80" s="5">
        <f ca="1">-'PH1_O+R'!W43</f>
        <v>23.513617151629042</v>
      </c>
      <c r="X80" s="5">
        <f ca="1">-'PH1_O+R'!X43</f>
        <v>13.995112432377663</v>
      </c>
      <c r="Y80" s="5">
        <f ca="1">-'PH1_O+R'!Y43</f>
        <v>14.164168187707295</v>
      </c>
      <c r="Z80" s="5">
        <f>-'PH1_O+R'!Z43</f>
        <v>0</v>
      </c>
      <c r="AA80" s="5">
        <f>-'PH1_O+R'!AA43</f>
        <v>0</v>
      </c>
      <c r="AB80" s="5">
        <f>-'PH1_O+R'!AB43</f>
        <v>0</v>
      </c>
      <c r="AC80" s="5">
        <f>-'PH1_O+R'!AC43</f>
        <v>0</v>
      </c>
      <c r="AD80" s="5">
        <f>-'PH1_O+R'!AD43</f>
        <v>0</v>
      </c>
      <c r="AE80" s="5">
        <f>-'PH1_O+R'!AE43</f>
        <v>0</v>
      </c>
      <c r="AF80" s="5">
        <f>-'PH1_O+R'!AF43</f>
        <v>0</v>
      </c>
      <c r="AG80" s="5">
        <f>-'PH1_O+R'!AG43</f>
        <v>0</v>
      </c>
      <c r="AH80" s="5">
        <f>-'PH1_O+R'!AH43</f>
        <v>0</v>
      </c>
      <c r="AI80" s="5">
        <f>-'PH1_O+R'!AI43</f>
        <v>0</v>
      </c>
      <c r="AJ80" s="5">
        <f>-'PH1_O+R'!AJ43</f>
        <v>0</v>
      </c>
      <c r="AK80" s="5">
        <f>-'PH1_O+R'!AK43</f>
        <v>0</v>
      </c>
      <c r="AL80" s="5">
        <f>-'PH1_O+R'!AL43</f>
        <v>0</v>
      </c>
      <c r="AM80" s="5">
        <f>-'PH1_O+R'!AM43</f>
        <v>0</v>
      </c>
      <c r="AN80" s="5">
        <f>-'PH1_O+R'!AN43</f>
        <v>0</v>
      </c>
      <c r="AO80" s="5">
        <f>-'PH1_O+R'!AO43</f>
        <v>0</v>
      </c>
      <c r="AP80" s="5">
        <f>-'PH1_O+R'!AP43</f>
        <v>0</v>
      </c>
      <c r="AQ80" s="5">
        <f>-'PH1_O+R'!AQ43</f>
        <v>0</v>
      </c>
    </row>
    <row r="81" spans="2:43">
      <c r="B81" s="5" t="s">
        <v>36</v>
      </c>
      <c r="H81" s="5">
        <f t="shared" ref="H81:AE81" ca="1" si="141">G81+H80</f>
        <v>356.61178629830169</v>
      </c>
      <c r="I81" s="5">
        <f t="shared" ca="1" si="141"/>
        <v>394.65809927708835</v>
      </c>
      <c r="J81" s="5">
        <f t="shared" ca="1" si="141"/>
        <v>448.41171998308664</v>
      </c>
      <c r="K81" s="5">
        <f t="shared" ca="1" si="141"/>
        <v>491.68602300975698</v>
      </c>
      <c r="L81" s="5">
        <f t="shared" ca="1" si="141"/>
        <v>547.30581406125555</v>
      </c>
      <c r="M81" s="5">
        <f t="shared" ca="1" si="141"/>
        <v>607.21354868888454</v>
      </c>
      <c r="N81" s="5">
        <f t="shared" ca="1" si="141"/>
        <v>689.5696077490893</v>
      </c>
      <c r="O81" s="5">
        <f t="shared" ca="1" si="141"/>
        <v>761.43358688921819</v>
      </c>
      <c r="P81" s="5">
        <f t="shared" ca="1" si="141"/>
        <v>812.366304666568</v>
      </c>
      <c r="Q81" s="5">
        <f t="shared" ca="1" si="141"/>
        <v>865.28392820618353</v>
      </c>
      <c r="R81" s="5">
        <f t="shared" ca="1" si="141"/>
        <v>922.33176218637618</v>
      </c>
      <c r="S81" s="5">
        <f t="shared" ca="1" si="141"/>
        <v>993.27651686283684</v>
      </c>
      <c r="T81" s="5">
        <f t="shared" ca="1" si="141"/>
        <v>1054.1329948477426</v>
      </c>
      <c r="U81" s="5">
        <f t="shared" ca="1" si="141"/>
        <v>1106.8561534267537</v>
      </c>
      <c r="V81" s="5">
        <f t="shared" ca="1" si="141"/>
        <v>1135.0578352841992</v>
      </c>
      <c r="W81" s="5">
        <f t="shared" ca="1" si="141"/>
        <v>1158.5714524358282</v>
      </c>
      <c r="X81" s="5">
        <f t="shared" ca="1" si="141"/>
        <v>1172.5665648682059</v>
      </c>
      <c r="Y81" s="5">
        <f t="shared" ca="1" si="141"/>
        <v>1186.7307330559131</v>
      </c>
      <c r="Z81" s="5">
        <f t="shared" ca="1" si="141"/>
        <v>1186.7307330559131</v>
      </c>
      <c r="AA81" s="5">
        <f t="shared" ca="1" si="141"/>
        <v>1186.7307330559131</v>
      </c>
      <c r="AB81" s="5">
        <f t="shared" ca="1" si="141"/>
        <v>1186.7307330559131</v>
      </c>
      <c r="AC81" s="5">
        <f t="shared" ca="1" si="141"/>
        <v>1186.7307330559131</v>
      </c>
      <c r="AD81" s="5">
        <f t="shared" ca="1" si="141"/>
        <v>1186.7307330559131</v>
      </c>
      <c r="AE81" s="5">
        <f t="shared" ca="1" si="141"/>
        <v>1186.7307330559131</v>
      </c>
      <c r="AF81" s="5">
        <f t="shared" ref="AF81" ca="1" si="142">AE81+AF80</f>
        <v>1186.7307330559131</v>
      </c>
      <c r="AG81" s="5">
        <f t="shared" ref="AG81" ca="1" si="143">AF81+AG80</f>
        <v>1186.7307330559131</v>
      </c>
      <c r="AH81" s="5">
        <f t="shared" ref="AH81" ca="1" si="144">AG81+AH80</f>
        <v>1186.7307330559131</v>
      </c>
      <c r="AI81" s="5">
        <f t="shared" ref="AI81" ca="1" si="145">AH81+AI80</f>
        <v>1186.7307330559131</v>
      </c>
      <c r="AJ81" s="5">
        <f t="shared" ref="AJ81" ca="1" si="146">AI81+AJ80</f>
        <v>1186.7307330559131</v>
      </c>
      <c r="AK81" s="5">
        <f t="shared" ref="AK81" ca="1" si="147">AJ81+AK80</f>
        <v>1186.7307330559131</v>
      </c>
      <c r="AL81" s="5">
        <f t="shared" ref="AL81" ca="1" si="148">AK81+AL80</f>
        <v>1186.7307330559131</v>
      </c>
      <c r="AM81" s="5">
        <f t="shared" ref="AM81" ca="1" si="149">AL81+AM80</f>
        <v>1186.7307330559131</v>
      </c>
      <c r="AN81" s="5">
        <f t="shared" ref="AN81" ca="1" si="150">AM81+AN80</f>
        <v>1186.7307330559131</v>
      </c>
      <c r="AO81" s="5">
        <f t="shared" ref="AO81" ca="1" si="151">AN81+AO80</f>
        <v>1186.7307330559131</v>
      </c>
      <c r="AP81" s="5">
        <f t="shared" ref="AP81" ca="1" si="152">AO81+AP80</f>
        <v>1186.7307330559131</v>
      </c>
      <c r="AQ81" s="5">
        <f t="shared" ref="AQ81" ca="1" si="153">AP81+AQ80</f>
        <v>1186.7307330559131</v>
      </c>
    </row>
    <row r="83" spans="2:43">
      <c r="B83" s="5" t="s">
        <v>35</v>
      </c>
      <c r="H83" s="53">
        <f>+'Main_O+R_WTC'!$G$67-(H55)</f>
        <v>356.61178629830169</v>
      </c>
      <c r="I83" s="53">
        <f>-(I55)-(21.8)</f>
        <v>15.984326894030144</v>
      </c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</row>
    <row r="84" spans="2:43">
      <c r="B84" s="5" t="s">
        <v>28</v>
      </c>
      <c r="H84" s="5">
        <f t="shared" ref="H84:AE84" si="154">G84+H83</f>
        <v>356.61178629830169</v>
      </c>
      <c r="I84" s="5">
        <f t="shared" si="154"/>
        <v>372.59611319233181</v>
      </c>
      <c r="J84" s="5">
        <f t="shared" si="154"/>
        <v>372.59611319233181</v>
      </c>
      <c r="K84" s="5">
        <f t="shared" si="154"/>
        <v>372.59611319233181</v>
      </c>
      <c r="L84" s="5">
        <f t="shared" si="154"/>
        <v>372.59611319233181</v>
      </c>
      <c r="M84" s="5">
        <f t="shared" si="154"/>
        <v>372.59611319233181</v>
      </c>
      <c r="N84" s="5">
        <f t="shared" si="154"/>
        <v>372.59611319233181</v>
      </c>
      <c r="O84" s="5">
        <f t="shared" si="154"/>
        <v>372.59611319233181</v>
      </c>
      <c r="P84" s="5">
        <f t="shared" si="154"/>
        <v>372.59611319233181</v>
      </c>
      <c r="Q84" s="5">
        <f t="shared" si="154"/>
        <v>372.59611319233181</v>
      </c>
      <c r="R84" s="5">
        <f t="shared" si="154"/>
        <v>372.59611319233181</v>
      </c>
      <c r="S84" s="5">
        <f t="shared" si="154"/>
        <v>372.59611319233181</v>
      </c>
      <c r="T84" s="5">
        <f t="shared" si="154"/>
        <v>372.59611319233181</v>
      </c>
      <c r="U84" s="5">
        <f t="shared" si="154"/>
        <v>372.59611319233181</v>
      </c>
      <c r="V84" s="5">
        <f t="shared" si="154"/>
        <v>372.59611319233181</v>
      </c>
      <c r="W84" s="5">
        <f t="shared" si="154"/>
        <v>372.59611319233181</v>
      </c>
      <c r="X84" s="5">
        <f t="shared" si="154"/>
        <v>372.59611319233181</v>
      </c>
      <c r="Y84" s="5">
        <f t="shared" si="154"/>
        <v>372.59611319233181</v>
      </c>
      <c r="Z84" s="5">
        <f t="shared" si="154"/>
        <v>372.59611319233181</v>
      </c>
      <c r="AA84" s="5">
        <f t="shared" si="154"/>
        <v>372.59611319233181</v>
      </c>
      <c r="AB84" s="5">
        <f t="shared" si="154"/>
        <v>372.59611319233181</v>
      </c>
      <c r="AC84" s="5">
        <f t="shared" si="154"/>
        <v>372.59611319233181</v>
      </c>
      <c r="AD84" s="5">
        <f t="shared" si="154"/>
        <v>372.59611319233181</v>
      </c>
      <c r="AE84" s="5">
        <f t="shared" si="154"/>
        <v>372.59611319233181</v>
      </c>
      <c r="AF84" s="5">
        <f t="shared" ref="AF84" si="155">AE84+AF83</f>
        <v>372.59611319233181</v>
      </c>
      <c r="AG84" s="5">
        <f t="shared" ref="AG84" si="156">AF84+AG83</f>
        <v>372.59611319233181</v>
      </c>
      <c r="AH84" s="5">
        <f t="shared" ref="AH84" si="157">AG84+AH83</f>
        <v>372.59611319233181</v>
      </c>
      <c r="AI84" s="5">
        <f t="shared" ref="AI84" si="158">AH84+AI83</f>
        <v>372.59611319233181</v>
      </c>
      <c r="AJ84" s="5">
        <f t="shared" ref="AJ84" si="159">AI84+AJ83</f>
        <v>372.59611319233181</v>
      </c>
      <c r="AK84" s="5">
        <f t="shared" ref="AK84" si="160">AJ84+AK83</f>
        <v>372.59611319233181</v>
      </c>
      <c r="AL84" s="5">
        <f t="shared" ref="AL84" si="161">AK84+AL83</f>
        <v>372.59611319233181</v>
      </c>
      <c r="AM84" s="5">
        <f t="shared" ref="AM84" si="162">AL84+AM83</f>
        <v>372.59611319233181</v>
      </c>
      <c r="AN84" s="5">
        <f t="shared" ref="AN84" si="163">AM84+AN83</f>
        <v>372.59611319233181</v>
      </c>
      <c r="AO84" s="5">
        <f t="shared" ref="AO84" si="164">AN84+AO83</f>
        <v>372.59611319233181</v>
      </c>
      <c r="AP84" s="5">
        <f t="shared" ref="AP84" si="165">AO84+AP83</f>
        <v>372.59611319233181</v>
      </c>
      <c r="AQ84" s="5">
        <f t="shared" ref="AQ84" si="166">AP84+AQ83</f>
        <v>372.59611319233181</v>
      </c>
    </row>
    <row r="86" spans="2:43">
      <c r="B86" s="5" t="s">
        <v>34</v>
      </c>
      <c r="H86" s="5">
        <f ca="1">MAX(IF(H84&lt;$H$83,0,IF(H81-H84&lt;'Main_O+R_WTC'!$G$33,MIN(H81-H84-SUM(G$86:$G86),'Main_O+R_WTC'!$G$33-SUM(G$86:$G86)),MAX('Main_O+R_WTC'!$G$33-G87,0)))-SUM(G$90:$G90),0)</f>
        <v>0</v>
      </c>
      <c r="I86" s="5">
        <f ca="1">MAX(IF(I84&lt;$H$83,0,IF(I81-I84&lt;'Main_O+R_WTC'!$G$33,MIN(I81-I84-SUM($G$86:H86),'Main_O+R_WTC'!$G$33-SUM($G$86:H86)),MAX('Main_O+R_WTC'!$G$33-H87,0)))-SUM($G$90:H90),0)</f>
        <v>22.061986084756541</v>
      </c>
      <c r="J86" s="5">
        <f ca="1">MAX(IF(J84&lt;$H$83,0,IF(J81-J84&lt;'Main_O+R_WTC'!$G$33,MIN(J81-J84-SUM($G$86:I86),'Main_O+R_WTC'!$G$33-SUM($G$86:I86)),MAX('Main_O+R_WTC'!$G$33-I87,0)))-SUM($G$90:I90),0)</f>
        <v>53.753620705998287</v>
      </c>
      <c r="K86" s="5">
        <f ca="1">MAX(IF(K84&lt;$H$83,0,IF(K81-K84&lt;'Main_O+R_WTC'!$G$33,MIN(K81-K84-SUM($G$86:J86),'Main_O+R_WTC'!$G$33-SUM($G$86:J86)),MAX('Main_O+R_WTC'!$G$33-J87,0)))-SUM($G$90:J90),0)</f>
        <v>43.274303026670339</v>
      </c>
      <c r="L86" s="5">
        <f ca="1">MAX(IF(L84&lt;$H$83,0,IF(L81-L84&lt;'Main_O+R_WTC'!$G$33,MIN(L81-L84-SUM($G$86:K86),'Main_O+R_WTC'!$G$33-SUM($G$86:K86)),MAX('Main_O+R_WTC'!$G$33-K87,0)))-SUM($G$90:K90),0)</f>
        <v>55.619791051498552</v>
      </c>
      <c r="M86" s="5">
        <f ca="1">MAX(IF(M84&lt;$H$83,0,IF(M81-M84&lt;'Main_O+R_WTC'!$G$33,MIN(M81-M84-SUM($G$86:L86),'Main_O+R_WTC'!$G$33-SUM($G$86:L86)),MAX('Main_O+R_WTC'!$G$33-L87,0)))-SUM($G$90:L90),0)</f>
        <v>59.907734627628976</v>
      </c>
      <c r="N86" s="5">
        <f ca="1">MAX(IF(N84&lt;$H$83,0,IF(N81-N84&lt;'Main_O+R_WTC'!$G$33,MIN(N81-N84-SUM($G$86:M86),'Main_O+R_WTC'!$G$33-SUM($G$86:M86)),MAX('Main_O+R_WTC'!$G$33-M87,0)))-SUM($G$90:M90),0)</f>
        <v>82.356059060204757</v>
      </c>
      <c r="O86" s="5">
        <f ca="1">MAX(IF(O84&lt;$H$83,0,IF(O81-O84&lt;'Main_O+R_WTC'!$G$33,MIN(O81-O84-SUM($G$86:N86),'Main_O+R_WTC'!$G$33-SUM($G$86:N86)),MAX('Main_O+R_WTC'!$G$33-N87,0)))-SUM($G$90:N90),0)</f>
        <v>64.006031182401699</v>
      </c>
      <c r="P86" s="5">
        <f ca="1">MAX(IF(P84&lt;$H$83,0,IF(P81-P84&lt;'Main_O+R_WTC'!$G$33,MIN(P81-P84-SUM($G$86:O86),'Main_O+R_WTC'!$G$33-SUM($G$86:O86)),MAX('Main_O+R_WTC'!$G$33-O87,0)))-SUM($G$90:O90),0)</f>
        <v>0</v>
      </c>
      <c r="Q86" s="5">
        <f ca="1">MAX(IF(Q84&lt;$H$83,0,IF(Q81-Q84&lt;'Main_O+R_WTC'!$G$33,MIN(Q81-Q84-SUM($G$86:P86),'Main_O+R_WTC'!$G$33-SUM($G$86:P86)),MAX('Main_O+R_WTC'!$G$33-P87,0)))-SUM($G$90:P90),0)</f>
        <v>0</v>
      </c>
      <c r="R86" s="5">
        <f ca="1">MAX(IF(R84&lt;$H$83,0,IF(R81-R84&lt;'Main_O+R_WTC'!$G$33,MIN(R81-R84-SUM($G$86:Q86),'Main_O+R_WTC'!$G$33-SUM($G$86:Q86)),MAX('Main_O+R_WTC'!$G$33-Q87,0)))-SUM($G$90:Q90),0)</f>
        <v>0</v>
      </c>
      <c r="S86" s="5">
        <f ca="1">MAX(IF(S84&lt;$H$83,0,IF(S81-S84&lt;'Main_O+R_WTC'!$G$33,MIN(S81-S84-SUM($G$86:R86),'Main_O+R_WTC'!$G$33-SUM($G$86:R86)),MAX('Main_O+R_WTC'!$G$33-R87,0)))-SUM($G$90:R90),0)</f>
        <v>0</v>
      </c>
      <c r="T86" s="5">
        <f ca="1">MAX(IF(T84&lt;$H$83,0,IF(T81-T84&lt;'Main_O+R_WTC'!$G$33,MIN(T81-T84-SUM($G$86:S86),'Main_O+R_WTC'!$G$33-SUM($G$86:S86)),MAX('Main_O+R_WTC'!$G$33-S87,0)))-SUM($G$90:S90),0)</f>
        <v>0</v>
      </c>
      <c r="U86" s="5">
        <f ca="1">MAX(IF(U84&lt;$H$83,0,IF(U81-U84&lt;'Main_O+R_WTC'!$G$33,MIN(U81-U84-SUM($G$86:T86),'Main_O+R_WTC'!$G$33-SUM($G$86:T86)),MAX('Main_O+R_WTC'!$G$33-T87,0)))-SUM($G$90:T90),0)</f>
        <v>0</v>
      </c>
      <c r="V86" s="5">
        <f ca="1">MAX(IF(V84&lt;$H$83,0,IF(V81-V84&lt;'Main_O+R_WTC'!$G$33,MIN(V81-V84-SUM($G$86:U86),'Main_O+R_WTC'!$G$33-SUM($G$86:U86)),MAX('Main_O+R_WTC'!$G$33-U87,0)))-SUM($G$90:U90),0)</f>
        <v>0</v>
      </c>
      <c r="W86" s="5">
        <f ca="1">MAX(IF(W84&lt;$H$83,0,IF(W81-W84&lt;'Main_O+R_WTC'!$G$33,MIN(W81-W84-SUM($G$86:V86),'Main_O+R_WTC'!$G$33-SUM($G$86:V86)),MAX('Main_O+R_WTC'!$G$33-V87,0)))-SUM($G$90:V90),0)</f>
        <v>0</v>
      </c>
      <c r="X86" s="5">
        <f ca="1">MAX(IF(X84&lt;$H$83,0,IF(X81-X84&lt;'Main_O+R_WTC'!$G$33,MIN(X81-X84-SUM($G$86:W86),'Main_O+R_WTC'!$G$33-SUM($G$86:W86)),MAX('Main_O+R_WTC'!$G$33-W87,0)))-SUM($G$90:W90),0)</f>
        <v>0</v>
      </c>
      <c r="Y86" s="5">
        <f ca="1">MAX(IF(Y84&lt;$H$83,0,IF(Y81-Y84&lt;'Main_O+R_WTC'!$G$33,MIN(Y81-Y84-SUM($G$86:X86),'Main_O+R_WTC'!$G$33-SUM($G$86:X86)),MAX('Main_O+R_WTC'!$G$33-X87,0)))-SUM($G$90:X90),0)</f>
        <v>0</v>
      </c>
      <c r="Z86" s="5">
        <f ca="1">MAX(IF(Z84&lt;$H$83,0,IF(Z81-Z84&lt;'Main_O+R_WTC'!$G$33,MIN(Z81-Z84-SUM($G$86:Y86),'Main_O+R_WTC'!$G$33-SUM($G$86:Y86)),MAX('Main_O+R_WTC'!$G$33-Y87,0)))-SUM($G$90:Y90),0)</f>
        <v>0</v>
      </c>
      <c r="AA86" s="5">
        <f ca="1">MAX(IF(AA84&lt;$H$83,0,IF(AA81-AA84&lt;'Main_O+R_WTC'!$G$33,MIN(AA81-AA84-SUM($G$86:Z86),'Main_O+R_WTC'!$G$33-SUM($G$86:Z86)),MAX('Main_O+R_WTC'!$G$33-Z87,0)))-SUM($G$90:Z90),0)</f>
        <v>0</v>
      </c>
      <c r="AB86" s="5">
        <f ca="1">MAX(IF(AB84&lt;$H$83,0,IF(AB81-AB84&lt;'Main_O+R_WTC'!$G$33,MIN(AB81-AB84-SUM($G$86:AA86),'Main_O+R_WTC'!$G$33-SUM($G$86:AA86)),MAX('Main_O+R_WTC'!$G$33-AA87,0)))-SUM($G$90:AA90),0)</f>
        <v>0</v>
      </c>
      <c r="AC86" s="5">
        <f ca="1">MAX(IF(AC84&lt;$H$83,0,IF(AC81-AC84&lt;'Main_O+R_WTC'!$G$33,MIN(AC81-AC84-SUM($G$86:AB86),'Main_O+R_WTC'!$G$33-SUM($G$86:AB86)),MAX('Main_O+R_WTC'!$G$33-AB87,0)))-SUM($G$90:AB90),0)</f>
        <v>0</v>
      </c>
      <c r="AD86" s="5">
        <f ca="1">MAX(IF(AD84&lt;$H$83,0,IF(AD81-AD84&lt;'Main_O+R_WTC'!$G$33,MIN(AD81-AD84-SUM($G$86:AC86),'Main_O+R_WTC'!$G$33-SUM($G$86:AC86)),MAX('Main_O+R_WTC'!$G$33-AC87,0)))-SUM($G$90:AC90),0)</f>
        <v>0</v>
      </c>
      <c r="AE86" s="5">
        <f ca="1">MAX(IF(AE84&lt;$H$83,0,IF(AE81-AE84&lt;'Main_O+R_WTC'!$G$33,MIN(AE81-AE84-SUM($G$86:AD86),'Main_O+R_WTC'!$G$33-SUM($G$86:AD86)),MAX('Main_O+R_WTC'!$G$33-AD87,0)))-SUM($G$90:AD90),0)</f>
        <v>0</v>
      </c>
      <c r="AF86" s="5">
        <f ca="1">MAX(IF(AF84&lt;$H$83,0,IF(AF81-AF84&lt;'Main_O+R_WTC'!$G$33,MIN(AF81-AF84-SUM($G$86:AE86),'Main_O+R_WTC'!$G$33-SUM($G$86:AE86)),MAX('Main_O+R_WTC'!$G$33-AE87,0)))-SUM($G$90:AE90),0)</f>
        <v>0</v>
      </c>
      <c r="AG86" s="5">
        <f ca="1">MAX(IF(AG84&lt;$H$83,0,IF(AG81-AG84&lt;'Main_O+R_WTC'!$G$33,MIN(AG81-AG84-SUM($G$86:AF86),'Main_O+R_WTC'!$G$33-SUM($G$86:AF86)),MAX('Main_O+R_WTC'!$G$33-AF87,0)))-SUM($G$90:AF90),0)</f>
        <v>0</v>
      </c>
      <c r="AH86" s="5">
        <f ca="1">MAX(IF(AH84&lt;$H$83,0,IF(AH81-AH84&lt;'Main_O+R_WTC'!$G$33,MIN(AH81-AH84-SUM($G$86:AG86),'Main_O+R_WTC'!$G$33-SUM($G$86:AG86)),MAX('Main_O+R_WTC'!$G$33-AG87,0)))-SUM($G$90:AG90),0)</f>
        <v>0</v>
      </c>
      <c r="AI86" s="5">
        <f ca="1">MAX(IF(AI84&lt;$H$83,0,IF(AI81-AI84&lt;'Main_O+R_WTC'!$G$33,MIN(AI81-AI84-SUM($G$86:AH86),'Main_O+R_WTC'!$G$33-SUM($G$86:AH86)),MAX('Main_O+R_WTC'!$G$33-AH87,0)))-SUM($G$90:AH90),0)</f>
        <v>0</v>
      </c>
      <c r="AJ86" s="5">
        <f ca="1">MAX(IF(AJ84&lt;$H$83,0,IF(AJ81-AJ84&lt;'Main_O+R_WTC'!$G$33,MIN(AJ81-AJ84-SUM($G$86:AI86),'Main_O+R_WTC'!$G$33-SUM($G$86:AI86)),MAX('Main_O+R_WTC'!$G$33-AI87,0)))-SUM($G$90:AI90),0)</f>
        <v>0</v>
      </c>
      <c r="AK86" s="5">
        <f ca="1">MAX(IF(AK84&lt;$H$83,0,IF(AK81-AK84&lt;'Main_O+R_WTC'!$G$33,MIN(AK81-AK84-SUM($G$86:AJ86),'Main_O+R_WTC'!$G$33-SUM($G$86:AJ86)),MAX('Main_O+R_WTC'!$G$33-AJ87,0)))-SUM($G$90:AJ90),0)</f>
        <v>0</v>
      </c>
      <c r="AL86" s="5">
        <f ca="1">MAX(IF(AL84&lt;$H$83,0,IF(AL81-AL84&lt;'Main_O+R_WTC'!$G$33,MIN(AL81-AL84-SUM($G$86:AK86),'Main_O+R_WTC'!$G$33-SUM($G$86:AK86)),MAX('Main_O+R_WTC'!$G$33-AK87,0)))-SUM($G$90:AK90),0)</f>
        <v>0</v>
      </c>
      <c r="AM86" s="5">
        <f ca="1">MAX(IF(AM84&lt;$H$83,0,IF(AM81-AM84&lt;'Main_O+R_WTC'!$G$33,MIN(AM81-AM84-SUM($G$86:AL86),'Main_O+R_WTC'!$G$33-SUM($G$86:AL86)),MAX('Main_O+R_WTC'!$G$33-AL87,0)))-SUM($G$90:AL90),0)</f>
        <v>0</v>
      </c>
      <c r="AN86" s="5">
        <f ca="1">MAX(IF(AN84&lt;$H$83,0,IF(AN81-AN84&lt;'Main_O+R_WTC'!$G$33,MIN(AN81-AN84-SUM($G$86:AM86),'Main_O+R_WTC'!$G$33-SUM($G$86:AM86)),MAX('Main_O+R_WTC'!$G$33-AM87,0)))-SUM($G$90:AM90),0)</f>
        <v>0</v>
      </c>
      <c r="AO86" s="5">
        <f ca="1">MAX(IF(AO84&lt;$H$83,0,IF(AO81-AO84&lt;'Main_O+R_WTC'!$G$33,MIN(AO81-AO84-SUM($G$86:AN86),'Main_O+R_WTC'!$G$33-SUM($G$86:AN86)),MAX('Main_O+R_WTC'!$G$33-AN87,0)))-SUM($G$90:AN90),0)</f>
        <v>0</v>
      </c>
      <c r="AP86" s="5">
        <f ca="1">MAX(IF(AP84&lt;$H$83,0,IF(AP81-AP84&lt;'Main_O+R_WTC'!$G$33,MIN(AP81-AP84-SUM($G$86:AO86),'Main_O+R_WTC'!$G$33-SUM($G$86:AO86)),MAX('Main_O+R_WTC'!$G$33-AO87,0)))-SUM($G$90:AO90),0)</f>
        <v>0</v>
      </c>
      <c r="AQ86" s="5">
        <f ca="1">MAX(IF(AQ84&lt;$H$83,0,IF(AQ81-AQ84&lt;'Main_O+R_WTC'!$G$33,MIN(AQ81-AQ84-SUM($G$86:AP86),'Main_O+R_WTC'!$G$33-SUM($G$86:AP86)),MAX('Main_O+R_WTC'!$G$33-AP87,0)))-SUM($G$90:AP90),0)</f>
        <v>0</v>
      </c>
    </row>
    <row r="87" spans="2:43">
      <c r="B87" s="5" t="s">
        <v>33</v>
      </c>
      <c r="H87" s="5">
        <f t="shared" ref="H87:AE87" ca="1" si="167">G87+H86</f>
        <v>0</v>
      </c>
      <c r="I87" s="5">
        <f t="shared" ca="1" si="167"/>
        <v>22.061986084756541</v>
      </c>
      <c r="J87" s="5">
        <f t="shared" ca="1" si="167"/>
        <v>75.815606790754828</v>
      </c>
      <c r="K87" s="5">
        <f t="shared" ca="1" si="167"/>
        <v>119.08990981742517</v>
      </c>
      <c r="L87" s="5">
        <f t="shared" ca="1" si="167"/>
        <v>174.70970086892373</v>
      </c>
      <c r="M87" s="5">
        <f t="shared" ca="1" si="167"/>
        <v>234.6174354965527</v>
      </c>
      <c r="N87" s="5">
        <f t="shared" ca="1" si="167"/>
        <v>316.97349455675749</v>
      </c>
      <c r="O87" s="5">
        <f t="shared" ca="1" si="167"/>
        <v>380.97952573915916</v>
      </c>
      <c r="P87" s="5">
        <f t="shared" ca="1" si="167"/>
        <v>380.97952573915916</v>
      </c>
      <c r="Q87" s="5">
        <f t="shared" ca="1" si="167"/>
        <v>380.97952573915916</v>
      </c>
      <c r="R87" s="5">
        <f t="shared" ca="1" si="167"/>
        <v>380.97952573915916</v>
      </c>
      <c r="S87" s="5">
        <f t="shared" ca="1" si="167"/>
        <v>380.97952573915916</v>
      </c>
      <c r="T87" s="5">
        <f t="shared" ca="1" si="167"/>
        <v>380.97952573915916</v>
      </c>
      <c r="U87" s="5">
        <f t="shared" ca="1" si="167"/>
        <v>380.97952573915916</v>
      </c>
      <c r="V87" s="5">
        <f t="shared" ca="1" si="167"/>
        <v>380.97952573915916</v>
      </c>
      <c r="W87" s="5">
        <f t="shared" ca="1" si="167"/>
        <v>380.97952573915916</v>
      </c>
      <c r="X87" s="5">
        <f t="shared" ca="1" si="167"/>
        <v>380.97952573915916</v>
      </c>
      <c r="Y87" s="5">
        <f t="shared" ca="1" si="167"/>
        <v>380.97952573915916</v>
      </c>
      <c r="Z87" s="5">
        <f t="shared" ca="1" si="167"/>
        <v>380.97952573915916</v>
      </c>
      <c r="AA87" s="5">
        <f t="shared" ca="1" si="167"/>
        <v>380.97952573915916</v>
      </c>
      <c r="AB87" s="5">
        <f t="shared" ca="1" si="167"/>
        <v>380.97952573915916</v>
      </c>
      <c r="AC87" s="5">
        <f t="shared" ca="1" si="167"/>
        <v>380.97952573915916</v>
      </c>
      <c r="AD87" s="5">
        <f t="shared" ca="1" si="167"/>
        <v>380.97952573915916</v>
      </c>
      <c r="AE87" s="5">
        <f t="shared" ca="1" si="167"/>
        <v>380.97952573915916</v>
      </c>
      <c r="AF87" s="5">
        <f t="shared" ref="AF87" ca="1" si="168">AE87+AF86</f>
        <v>380.97952573915916</v>
      </c>
      <c r="AG87" s="5">
        <f t="shared" ref="AG87" ca="1" si="169">AF87+AG86</f>
        <v>380.97952573915916</v>
      </c>
      <c r="AH87" s="5">
        <f t="shared" ref="AH87" ca="1" si="170">AG87+AH86</f>
        <v>380.97952573915916</v>
      </c>
      <c r="AI87" s="5">
        <f t="shared" ref="AI87" ca="1" si="171">AH87+AI86</f>
        <v>380.97952573915916</v>
      </c>
      <c r="AJ87" s="5">
        <f t="shared" ref="AJ87" ca="1" si="172">AI87+AJ86</f>
        <v>380.97952573915916</v>
      </c>
      <c r="AK87" s="5">
        <f t="shared" ref="AK87" ca="1" si="173">AJ87+AK86</f>
        <v>380.97952573915916</v>
      </c>
      <c r="AL87" s="5">
        <f t="shared" ref="AL87" ca="1" si="174">AK87+AL86</f>
        <v>380.97952573915916</v>
      </c>
      <c r="AM87" s="5">
        <f t="shared" ref="AM87" ca="1" si="175">AL87+AM86</f>
        <v>380.97952573915916</v>
      </c>
      <c r="AN87" s="5">
        <f t="shared" ref="AN87" ca="1" si="176">AM87+AN86</f>
        <v>380.97952573915916</v>
      </c>
      <c r="AO87" s="5">
        <f t="shared" ref="AO87" ca="1" si="177">AN87+AO86</f>
        <v>380.97952573915916</v>
      </c>
      <c r="AP87" s="5">
        <f t="shared" ref="AP87" ca="1" si="178">AO87+AP86</f>
        <v>380.97952573915916</v>
      </c>
      <c r="AQ87" s="5">
        <f t="shared" ref="AQ87" ca="1" si="179">AP87+AQ86</f>
        <v>380.97952573915916</v>
      </c>
    </row>
    <row r="88" spans="2:43">
      <c r="B88" s="5" t="s">
        <v>32</v>
      </c>
      <c r="H88" s="5">
        <f t="shared" ref="H88:AE88" ca="1" si="180">IF(ISERROR(+H87/H84),0,+H87/H84)</f>
        <v>0</v>
      </c>
      <c r="I88" s="5">
        <f t="shared" ca="1" si="180"/>
        <v>5.9211530404151801E-2</v>
      </c>
      <c r="J88" s="5">
        <f t="shared" ca="1" si="180"/>
        <v>0.20347932816899589</v>
      </c>
      <c r="K88" s="5">
        <f t="shared" ca="1" si="180"/>
        <v>0.31962198638382383</v>
      </c>
      <c r="L88" s="5">
        <f t="shared" ca="1" si="180"/>
        <v>0.46889834510629924</v>
      </c>
      <c r="M88" s="5">
        <f t="shared" ca="1" si="180"/>
        <v>0.62968299235973146</v>
      </c>
      <c r="N88" s="5">
        <f t="shared" ca="1" si="180"/>
        <v>0.85071605240588677</v>
      </c>
      <c r="O88" s="5">
        <f t="shared" ca="1" si="180"/>
        <v>1.0224999999999997</v>
      </c>
      <c r="P88" s="5">
        <f t="shared" ca="1" si="180"/>
        <v>1.0224999999999997</v>
      </c>
      <c r="Q88" s="5">
        <f t="shared" ca="1" si="180"/>
        <v>1.0224999999999997</v>
      </c>
      <c r="R88" s="5">
        <f t="shared" ca="1" si="180"/>
        <v>1.0224999999999997</v>
      </c>
      <c r="S88" s="5">
        <f t="shared" ca="1" si="180"/>
        <v>1.0224999999999997</v>
      </c>
      <c r="T88" s="5">
        <f t="shared" ca="1" si="180"/>
        <v>1.0224999999999997</v>
      </c>
      <c r="U88" s="5">
        <f t="shared" ca="1" si="180"/>
        <v>1.0224999999999997</v>
      </c>
      <c r="V88" s="5">
        <f t="shared" ca="1" si="180"/>
        <v>1.0224999999999997</v>
      </c>
      <c r="W88" s="5">
        <f t="shared" ca="1" si="180"/>
        <v>1.0224999999999997</v>
      </c>
      <c r="X88" s="5">
        <f t="shared" ca="1" si="180"/>
        <v>1.0224999999999997</v>
      </c>
      <c r="Y88" s="5">
        <f t="shared" ca="1" si="180"/>
        <v>1.0224999999999997</v>
      </c>
      <c r="Z88" s="5">
        <f t="shared" ca="1" si="180"/>
        <v>1.0224999999999997</v>
      </c>
      <c r="AA88" s="5">
        <f t="shared" ca="1" si="180"/>
        <v>1.0224999999999997</v>
      </c>
      <c r="AB88" s="5">
        <f t="shared" ca="1" si="180"/>
        <v>1.0224999999999997</v>
      </c>
      <c r="AC88" s="5">
        <f t="shared" ca="1" si="180"/>
        <v>1.0224999999999997</v>
      </c>
      <c r="AD88" s="5">
        <f t="shared" ca="1" si="180"/>
        <v>1.0224999999999997</v>
      </c>
      <c r="AE88" s="5">
        <f t="shared" ca="1" si="180"/>
        <v>1.0224999999999997</v>
      </c>
      <c r="AF88" s="5">
        <f t="shared" ref="AF88:AQ88" ca="1" si="181">IF(ISERROR(+AF87/AF84),0,+AF87/AF84)</f>
        <v>1.0224999999999997</v>
      </c>
      <c r="AG88" s="5">
        <f t="shared" ca="1" si="181"/>
        <v>1.0224999999999997</v>
      </c>
      <c r="AH88" s="5">
        <f t="shared" ca="1" si="181"/>
        <v>1.0224999999999997</v>
      </c>
      <c r="AI88" s="5">
        <f t="shared" ca="1" si="181"/>
        <v>1.0224999999999997</v>
      </c>
      <c r="AJ88" s="5">
        <f t="shared" ca="1" si="181"/>
        <v>1.0224999999999997</v>
      </c>
      <c r="AK88" s="5">
        <f t="shared" ca="1" si="181"/>
        <v>1.0224999999999997</v>
      </c>
      <c r="AL88" s="5">
        <f t="shared" ca="1" si="181"/>
        <v>1.0224999999999997</v>
      </c>
      <c r="AM88" s="5">
        <f t="shared" ca="1" si="181"/>
        <v>1.0224999999999997</v>
      </c>
      <c r="AN88" s="5">
        <f t="shared" ca="1" si="181"/>
        <v>1.0224999999999997</v>
      </c>
      <c r="AO88" s="5">
        <f t="shared" ca="1" si="181"/>
        <v>1.0224999999999997</v>
      </c>
      <c r="AP88" s="5">
        <f t="shared" ca="1" si="181"/>
        <v>1.0224999999999997</v>
      </c>
      <c r="AQ88" s="5">
        <f t="shared" ca="1" si="181"/>
        <v>1.0224999999999997</v>
      </c>
    </row>
    <row r="90" spans="2:43">
      <c r="B90" s="5" t="s">
        <v>31</v>
      </c>
      <c r="H90" s="5">
        <f t="shared" ref="H90:AE90" ca="1" si="182">MAX(+H80-H83-H86,0)</f>
        <v>0</v>
      </c>
      <c r="I90" s="5">
        <f t="shared" ca="1" si="182"/>
        <v>0</v>
      </c>
      <c r="J90" s="5">
        <f t="shared" ca="1" si="182"/>
        <v>0</v>
      </c>
      <c r="K90" s="5">
        <f t="shared" ca="1" si="182"/>
        <v>1.4210854715202004E-14</v>
      </c>
      <c r="L90" s="5">
        <f t="shared" ca="1" si="182"/>
        <v>7.1054273576010019E-15</v>
      </c>
      <c r="M90" s="5">
        <f t="shared" ca="1" si="182"/>
        <v>7.1054273576010019E-15</v>
      </c>
      <c r="N90" s="5">
        <f t="shared" ca="1" si="182"/>
        <v>5.6843418860808015E-14</v>
      </c>
      <c r="O90" s="5">
        <f t="shared" ca="1" si="182"/>
        <v>7.8579479577272195</v>
      </c>
      <c r="P90" s="5">
        <f t="shared" ca="1" si="182"/>
        <v>50.932717777349779</v>
      </c>
      <c r="Q90" s="5">
        <f t="shared" ca="1" si="182"/>
        <v>52.917623539615548</v>
      </c>
      <c r="R90" s="5">
        <f t="shared" ca="1" si="182"/>
        <v>57.047833980192635</v>
      </c>
      <c r="S90" s="5">
        <f t="shared" ca="1" si="182"/>
        <v>70.944754676460676</v>
      </c>
      <c r="T90" s="5">
        <f t="shared" ca="1" si="182"/>
        <v>60.856477984905723</v>
      </c>
      <c r="U90" s="5">
        <f t="shared" ca="1" si="182"/>
        <v>52.723158579011255</v>
      </c>
      <c r="V90" s="5">
        <f t="shared" ca="1" si="182"/>
        <v>28.201681857445386</v>
      </c>
      <c r="W90" s="5">
        <f t="shared" ca="1" si="182"/>
        <v>23.513617151629042</v>
      </c>
      <c r="X90" s="5">
        <f t="shared" ca="1" si="182"/>
        <v>13.995112432377663</v>
      </c>
      <c r="Y90" s="5">
        <f t="shared" ca="1" si="182"/>
        <v>14.164168187707295</v>
      </c>
      <c r="Z90" s="5">
        <f t="shared" ca="1" si="182"/>
        <v>0</v>
      </c>
      <c r="AA90" s="5">
        <f t="shared" ca="1" si="182"/>
        <v>0</v>
      </c>
      <c r="AB90" s="5">
        <f t="shared" ca="1" si="182"/>
        <v>0</v>
      </c>
      <c r="AC90" s="5">
        <f t="shared" ca="1" si="182"/>
        <v>0</v>
      </c>
      <c r="AD90" s="5">
        <f t="shared" ca="1" si="182"/>
        <v>0</v>
      </c>
      <c r="AE90" s="5">
        <f t="shared" ca="1" si="182"/>
        <v>0</v>
      </c>
      <c r="AF90" s="5">
        <f t="shared" ref="AF90:AQ90" ca="1" si="183">MAX(+AF80-AF83-AF86,0)</f>
        <v>0</v>
      </c>
      <c r="AG90" s="5">
        <f t="shared" ca="1" si="183"/>
        <v>0</v>
      </c>
      <c r="AH90" s="5">
        <f t="shared" ca="1" si="183"/>
        <v>0</v>
      </c>
      <c r="AI90" s="5">
        <f t="shared" ca="1" si="183"/>
        <v>0</v>
      </c>
      <c r="AJ90" s="5">
        <f t="shared" ca="1" si="183"/>
        <v>0</v>
      </c>
      <c r="AK90" s="5">
        <f t="shared" ca="1" si="183"/>
        <v>0</v>
      </c>
      <c r="AL90" s="5">
        <f t="shared" ca="1" si="183"/>
        <v>0</v>
      </c>
      <c r="AM90" s="5">
        <f t="shared" ca="1" si="183"/>
        <v>0</v>
      </c>
      <c r="AN90" s="5">
        <f t="shared" ca="1" si="183"/>
        <v>0</v>
      </c>
      <c r="AO90" s="5">
        <f t="shared" ca="1" si="183"/>
        <v>0</v>
      </c>
      <c r="AP90" s="5">
        <f t="shared" ca="1" si="183"/>
        <v>0</v>
      </c>
      <c r="AQ90" s="5">
        <f t="shared" ca="1" si="183"/>
        <v>0</v>
      </c>
    </row>
    <row r="92" spans="2:43">
      <c r="B92" s="5" t="s">
        <v>30</v>
      </c>
      <c r="H92" s="5">
        <f t="shared" ref="H92:AE92" ca="1" si="184">H90*(1/(1+H88))</f>
        <v>0</v>
      </c>
      <c r="I92" s="5">
        <f t="shared" ca="1" si="184"/>
        <v>0</v>
      </c>
      <c r="J92" s="5">
        <f t="shared" ca="1" si="184"/>
        <v>0</v>
      </c>
      <c r="K92" s="5">
        <f t="shared" ca="1" si="184"/>
        <v>1.0768882954234629E-14</v>
      </c>
      <c r="L92" s="5">
        <f t="shared" ca="1" si="184"/>
        <v>4.837249208750933E-15</v>
      </c>
      <c r="M92" s="5">
        <f t="shared" ca="1" si="184"/>
        <v>4.3600058360507024E-15</v>
      </c>
      <c r="N92" s="5">
        <f t="shared" ca="1" si="184"/>
        <v>3.0714284229022017E-14</v>
      </c>
      <c r="O92" s="5">
        <f t="shared" ca="1" si="184"/>
        <v>3.8852647504213693</v>
      </c>
      <c r="P92" s="5">
        <f t="shared" ca="1" si="184"/>
        <v>25.183049580889879</v>
      </c>
      <c r="Q92" s="5">
        <f t="shared" ca="1" si="184"/>
        <v>26.164461577065783</v>
      </c>
      <c r="R92" s="5">
        <f t="shared" ca="1" si="184"/>
        <v>28.206592820861626</v>
      </c>
      <c r="S92" s="5">
        <f t="shared" ca="1" si="184"/>
        <v>35.077752621241373</v>
      </c>
      <c r="T92" s="5">
        <f t="shared" ca="1" si="184"/>
        <v>30.089729535182062</v>
      </c>
      <c r="U92" s="5">
        <f t="shared" ca="1" si="184"/>
        <v>26.068310793083437</v>
      </c>
      <c r="V92" s="5">
        <f t="shared" ca="1" si="184"/>
        <v>13.943971252136162</v>
      </c>
      <c r="W92" s="5">
        <f t="shared" ca="1" si="184"/>
        <v>11.626015896973568</v>
      </c>
      <c r="X92" s="5">
        <f t="shared" ca="1" si="184"/>
        <v>6.9197094844883376</v>
      </c>
      <c r="Y92" s="5">
        <f t="shared" ca="1" si="184"/>
        <v>7.0032970025746826</v>
      </c>
      <c r="Z92" s="5">
        <f t="shared" ca="1" si="184"/>
        <v>0</v>
      </c>
      <c r="AA92" s="5">
        <f t="shared" ca="1" si="184"/>
        <v>0</v>
      </c>
      <c r="AB92" s="5">
        <f t="shared" ca="1" si="184"/>
        <v>0</v>
      </c>
      <c r="AC92" s="5">
        <f t="shared" ca="1" si="184"/>
        <v>0</v>
      </c>
      <c r="AD92" s="5">
        <f t="shared" ca="1" si="184"/>
        <v>0</v>
      </c>
      <c r="AE92" s="5">
        <f t="shared" ca="1" si="184"/>
        <v>0</v>
      </c>
      <c r="AF92" s="5">
        <f t="shared" ref="AF92:AQ92" ca="1" si="185">AF90*(1/(1+AF88))</f>
        <v>0</v>
      </c>
      <c r="AG92" s="5">
        <f t="shared" ca="1" si="185"/>
        <v>0</v>
      </c>
      <c r="AH92" s="5">
        <f t="shared" ca="1" si="185"/>
        <v>0</v>
      </c>
      <c r="AI92" s="5">
        <f t="shared" ca="1" si="185"/>
        <v>0</v>
      </c>
      <c r="AJ92" s="5">
        <f t="shared" ca="1" si="185"/>
        <v>0</v>
      </c>
      <c r="AK92" s="5">
        <f t="shared" ca="1" si="185"/>
        <v>0</v>
      </c>
      <c r="AL92" s="5">
        <f t="shared" ca="1" si="185"/>
        <v>0</v>
      </c>
      <c r="AM92" s="5">
        <f t="shared" ca="1" si="185"/>
        <v>0</v>
      </c>
      <c r="AN92" s="5">
        <f t="shared" ca="1" si="185"/>
        <v>0</v>
      </c>
      <c r="AO92" s="5">
        <f t="shared" ca="1" si="185"/>
        <v>0</v>
      </c>
      <c r="AP92" s="5">
        <f t="shared" ca="1" si="185"/>
        <v>0</v>
      </c>
      <c r="AQ92" s="5">
        <f t="shared" ca="1" si="185"/>
        <v>0</v>
      </c>
    </row>
    <row r="93" spans="2:43">
      <c r="B93" s="5" t="s">
        <v>29</v>
      </c>
      <c r="H93" s="5">
        <f t="shared" ref="H93:AE93" ca="1" si="186">H90*(H88/(1+H88))</f>
        <v>0</v>
      </c>
      <c r="I93" s="5">
        <f t="shared" ca="1" si="186"/>
        <v>0</v>
      </c>
      <c r="J93" s="5">
        <f t="shared" ca="1" si="186"/>
        <v>0</v>
      </c>
      <c r="K93" s="5">
        <f t="shared" ca="1" si="186"/>
        <v>3.4419717609673733E-15</v>
      </c>
      <c r="L93" s="5">
        <f t="shared" ca="1" si="186"/>
        <v>2.268178148850068E-15</v>
      </c>
      <c r="M93" s="5">
        <f t="shared" ca="1" si="186"/>
        <v>2.7454215215502991E-15</v>
      </c>
      <c r="N93" s="5">
        <f t="shared" ca="1" si="186"/>
        <v>2.6129134631785998E-14</v>
      </c>
      <c r="O93" s="5">
        <f t="shared" ca="1" si="186"/>
        <v>3.9726832073058493</v>
      </c>
      <c r="P93" s="5">
        <f t="shared" ca="1" si="186"/>
        <v>25.749668196459893</v>
      </c>
      <c r="Q93" s="5">
        <f t="shared" ca="1" si="186"/>
        <v>26.753161962549758</v>
      </c>
      <c r="R93" s="5">
        <f t="shared" ca="1" si="186"/>
        <v>28.841241159331005</v>
      </c>
      <c r="S93" s="5">
        <f t="shared" ca="1" si="186"/>
        <v>35.867002055219295</v>
      </c>
      <c r="T93" s="5">
        <f t="shared" ca="1" si="186"/>
        <v>30.766748449723654</v>
      </c>
      <c r="U93" s="5">
        <f t="shared" ca="1" si="186"/>
        <v>26.65484778592781</v>
      </c>
      <c r="V93" s="5">
        <f t="shared" ca="1" si="186"/>
        <v>14.257710605309223</v>
      </c>
      <c r="W93" s="5">
        <f t="shared" ca="1" si="186"/>
        <v>11.88760125465547</v>
      </c>
      <c r="X93" s="5">
        <f t="shared" ca="1" si="186"/>
        <v>7.0754029478893239</v>
      </c>
      <c r="Y93" s="5">
        <f t="shared" ca="1" si="186"/>
        <v>7.1608711851326108</v>
      </c>
      <c r="Z93" s="5">
        <f t="shared" ca="1" si="186"/>
        <v>0</v>
      </c>
      <c r="AA93" s="5">
        <f t="shared" ca="1" si="186"/>
        <v>0</v>
      </c>
      <c r="AB93" s="5">
        <f t="shared" ca="1" si="186"/>
        <v>0</v>
      </c>
      <c r="AC93" s="5">
        <f t="shared" ca="1" si="186"/>
        <v>0</v>
      </c>
      <c r="AD93" s="5">
        <f t="shared" ca="1" si="186"/>
        <v>0</v>
      </c>
      <c r="AE93" s="5">
        <f t="shared" ca="1" si="186"/>
        <v>0</v>
      </c>
      <c r="AF93" s="5">
        <f t="shared" ref="AF93:AQ93" ca="1" si="187">AF90*(AF88/(1+AF88))</f>
        <v>0</v>
      </c>
      <c r="AG93" s="5">
        <f t="shared" ca="1" si="187"/>
        <v>0</v>
      </c>
      <c r="AH93" s="5">
        <f t="shared" ca="1" si="187"/>
        <v>0</v>
      </c>
      <c r="AI93" s="5">
        <f t="shared" ca="1" si="187"/>
        <v>0</v>
      </c>
      <c r="AJ93" s="5">
        <f t="shared" ca="1" si="187"/>
        <v>0</v>
      </c>
      <c r="AK93" s="5">
        <f t="shared" ca="1" si="187"/>
        <v>0</v>
      </c>
      <c r="AL93" s="5">
        <f t="shared" ca="1" si="187"/>
        <v>0</v>
      </c>
      <c r="AM93" s="5">
        <f t="shared" ca="1" si="187"/>
        <v>0</v>
      </c>
      <c r="AN93" s="5">
        <f t="shared" ca="1" si="187"/>
        <v>0</v>
      </c>
      <c r="AO93" s="5">
        <f t="shared" ca="1" si="187"/>
        <v>0</v>
      </c>
      <c r="AP93" s="5">
        <f t="shared" ca="1" si="187"/>
        <v>0</v>
      </c>
      <c r="AQ93" s="5">
        <f t="shared" ca="1" si="187"/>
        <v>0</v>
      </c>
    </row>
    <row r="95" spans="2:43">
      <c r="B95" s="5" t="s">
        <v>113</v>
      </c>
      <c r="H95" s="5">
        <f t="shared" ref="H95:AE95" ca="1" si="188">+H83+H92</f>
        <v>356.61178629830169</v>
      </c>
      <c r="I95" s="5">
        <f t="shared" ca="1" si="188"/>
        <v>15.984326894030144</v>
      </c>
      <c r="J95" s="5">
        <f t="shared" ca="1" si="188"/>
        <v>0</v>
      </c>
      <c r="K95" s="5">
        <f t="shared" ca="1" si="188"/>
        <v>1.0768882954234629E-14</v>
      </c>
      <c r="L95" s="5">
        <f t="shared" ca="1" si="188"/>
        <v>4.837249208750933E-15</v>
      </c>
      <c r="M95" s="5">
        <f t="shared" ca="1" si="188"/>
        <v>4.3600058360507024E-15</v>
      </c>
      <c r="N95" s="5">
        <f t="shared" ca="1" si="188"/>
        <v>3.0714284229022017E-14</v>
      </c>
      <c r="O95" s="5">
        <f t="shared" ca="1" si="188"/>
        <v>3.8852647504213693</v>
      </c>
      <c r="P95" s="5">
        <f t="shared" ca="1" si="188"/>
        <v>25.183049580889879</v>
      </c>
      <c r="Q95" s="5">
        <f t="shared" ca="1" si="188"/>
        <v>26.164461577065783</v>
      </c>
      <c r="R95" s="5">
        <f t="shared" ca="1" si="188"/>
        <v>28.206592820861626</v>
      </c>
      <c r="S95" s="5">
        <f t="shared" ca="1" si="188"/>
        <v>35.077752621241373</v>
      </c>
      <c r="T95" s="5">
        <f t="shared" ca="1" si="188"/>
        <v>30.089729535182062</v>
      </c>
      <c r="U95" s="5">
        <f t="shared" ca="1" si="188"/>
        <v>26.068310793083437</v>
      </c>
      <c r="V95" s="5">
        <f t="shared" ca="1" si="188"/>
        <v>13.943971252136162</v>
      </c>
      <c r="W95" s="5">
        <f t="shared" ca="1" si="188"/>
        <v>11.626015896973568</v>
      </c>
      <c r="X95" s="5">
        <f t="shared" ca="1" si="188"/>
        <v>6.9197094844883376</v>
      </c>
      <c r="Y95" s="5">
        <f t="shared" ca="1" si="188"/>
        <v>7.0032970025746826</v>
      </c>
      <c r="Z95" s="5">
        <f t="shared" ca="1" si="188"/>
        <v>0</v>
      </c>
      <c r="AA95" s="5">
        <f t="shared" ca="1" si="188"/>
        <v>0</v>
      </c>
      <c r="AB95" s="5">
        <f t="shared" ca="1" si="188"/>
        <v>0</v>
      </c>
      <c r="AC95" s="5">
        <f t="shared" ca="1" si="188"/>
        <v>0</v>
      </c>
      <c r="AD95" s="5">
        <f t="shared" ca="1" si="188"/>
        <v>0</v>
      </c>
      <c r="AE95" s="5">
        <f t="shared" ca="1" si="188"/>
        <v>0</v>
      </c>
      <c r="AF95" s="5">
        <f t="shared" ref="AF95:AQ95" ca="1" si="189">+AF83+AF92</f>
        <v>0</v>
      </c>
      <c r="AG95" s="5">
        <f t="shared" ca="1" si="189"/>
        <v>0</v>
      </c>
      <c r="AH95" s="5">
        <f t="shared" ca="1" si="189"/>
        <v>0</v>
      </c>
      <c r="AI95" s="5">
        <f t="shared" ca="1" si="189"/>
        <v>0</v>
      </c>
      <c r="AJ95" s="5">
        <f t="shared" ca="1" si="189"/>
        <v>0</v>
      </c>
      <c r="AK95" s="5">
        <f t="shared" ca="1" si="189"/>
        <v>0</v>
      </c>
      <c r="AL95" s="5">
        <f t="shared" ca="1" si="189"/>
        <v>0</v>
      </c>
      <c r="AM95" s="5">
        <f t="shared" ca="1" si="189"/>
        <v>0</v>
      </c>
      <c r="AN95" s="5">
        <f t="shared" ca="1" si="189"/>
        <v>0</v>
      </c>
      <c r="AO95" s="5">
        <f t="shared" ca="1" si="189"/>
        <v>0</v>
      </c>
      <c r="AP95" s="5">
        <f t="shared" ca="1" si="189"/>
        <v>0</v>
      </c>
      <c r="AQ95" s="5">
        <f t="shared" ca="1" si="189"/>
        <v>0</v>
      </c>
    </row>
    <row r="96" spans="2:43">
      <c r="B96" s="5" t="s">
        <v>28</v>
      </c>
      <c r="H96" s="5">
        <f t="shared" ref="H96:AE96" ca="1" si="190">G96+H95</f>
        <v>356.61178629830169</v>
      </c>
      <c r="I96" s="5">
        <f t="shared" ca="1" si="190"/>
        <v>372.59611319233181</v>
      </c>
      <c r="J96" s="5">
        <f t="shared" ca="1" si="190"/>
        <v>372.59611319233181</v>
      </c>
      <c r="K96" s="5">
        <f t="shared" ca="1" si="190"/>
        <v>372.59611319233181</v>
      </c>
      <c r="L96" s="5">
        <f t="shared" ca="1" si="190"/>
        <v>372.59611319233181</v>
      </c>
      <c r="M96" s="5">
        <f t="shared" ca="1" si="190"/>
        <v>372.59611319233181</v>
      </c>
      <c r="N96" s="5">
        <f t="shared" ca="1" si="190"/>
        <v>372.59611319233187</v>
      </c>
      <c r="O96" s="5">
        <f t="shared" ca="1" si="190"/>
        <v>376.48137794275323</v>
      </c>
      <c r="P96" s="5">
        <f t="shared" ca="1" si="190"/>
        <v>401.6644275236431</v>
      </c>
      <c r="Q96" s="5">
        <f t="shared" ca="1" si="190"/>
        <v>427.82888910070886</v>
      </c>
      <c r="R96" s="5">
        <f t="shared" ca="1" si="190"/>
        <v>456.03548192157047</v>
      </c>
      <c r="S96" s="5">
        <f t="shared" ca="1" si="190"/>
        <v>491.11323454281182</v>
      </c>
      <c r="T96" s="5">
        <f t="shared" ca="1" si="190"/>
        <v>521.2029640779939</v>
      </c>
      <c r="U96" s="5">
        <f t="shared" ca="1" si="190"/>
        <v>547.27127487107737</v>
      </c>
      <c r="V96" s="5">
        <f t="shared" ca="1" si="190"/>
        <v>561.21524612321355</v>
      </c>
      <c r="W96" s="5">
        <f t="shared" ca="1" si="190"/>
        <v>572.84126202018706</v>
      </c>
      <c r="X96" s="5">
        <f t="shared" ca="1" si="190"/>
        <v>579.76097150467535</v>
      </c>
      <c r="Y96" s="5">
        <f t="shared" ca="1" si="190"/>
        <v>586.76426850724999</v>
      </c>
      <c r="Z96" s="5">
        <f t="shared" ca="1" si="190"/>
        <v>586.76426850724999</v>
      </c>
      <c r="AA96" s="5">
        <f t="shared" ca="1" si="190"/>
        <v>586.76426850724999</v>
      </c>
      <c r="AB96" s="5">
        <f t="shared" ca="1" si="190"/>
        <v>586.76426850724999</v>
      </c>
      <c r="AC96" s="5">
        <f t="shared" ca="1" si="190"/>
        <v>586.76426850724999</v>
      </c>
      <c r="AD96" s="5">
        <f t="shared" ca="1" si="190"/>
        <v>586.76426850724999</v>
      </c>
      <c r="AE96" s="5">
        <f t="shared" ca="1" si="190"/>
        <v>586.76426850724999</v>
      </c>
      <c r="AF96" s="5">
        <f t="shared" ref="AF96" ca="1" si="191">AE96+AF95</f>
        <v>586.76426850724999</v>
      </c>
      <c r="AG96" s="5">
        <f t="shared" ref="AG96" ca="1" si="192">AF96+AG95</f>
        <v>586.76426850724999</v>
      </c>
      <c r="AH96" s="5">
        <f t="shared" ref="AH96" ca="1" si="193">AG96+AH95</f>
        <v>586.76426850724999</v>
      </c>
      <c r="AI96" s="5">
        <f t="shared" ref="AI96" ca="1" si="194">AH96+AI95</f>
        <v>586.76426850724999</v>
      </c>
      <c r="AJ96" s="5">
        <f t="shared" ref="AJ96" ca="1" si="195">AI96+AJ95</f>
        <v>586.76426850724999</v>
      </c>
      <c r="AK96" s="5">
        <f t="shared" ref="AK96" ca="1" si="196">AJ96+AK95</f>
        <v>586.76426850724999</v>
      </c>
      <c r="AL96" s="5">
        <f t="shared" ref="AL96" ca="1" si="197">AK96+AL95</f>
        <v>586.76426850724999</v>
      </c>
      <c r="AM96" s="5">
        <f t="shared" ref="AM96" ca="1" si="198">AL96+AM95</f>
        <v>586.76426850724999</v>
      </c>
      <c r="AN96" s="5">
        <f t="shared" ref="AN96" ca="1" si="199">AM96+AN95</f>
        <v>586.76426850724999</v>
      </c>
      <c r="AO96" s="5">
        <f t="shared" ref="AO96" ca="1" si="200">AN96+AO95</f>
        <v>586.76426850724999</v>
      </c>
      <c r="AP96" s="5">
        <f t="shared" ref="AP96" ca="1" si="201">AO96+AP95</f>
        <v>586.76426850724999</v>
      </c>
      <c r="AQ96" s="5">
        <f t="shared" ref="AQ96" ca="1" si="202">AP96+AQ95</f>
        <v>586.76426850724999</v>
      </c>
    </row>
    <row r="98" spans="2:43">
      <c r="B98" s="5" t="s">
        <v>27</v>
      </c>
      <c r="H98" s="5">
        <f ca="1">+H86+H93</f>
        <v>0</v>
      </c>
      <c r="I98" s="5">
        <f t="shared" ref="I98:AE98" ca="1" si="203">+I86+I93</f>
        <v>22.061986084756541</v>
      </c>
      <c r="J98" s="5">
        <f t="shared" ca="1" si="203"/>
        <v>53.753620705998287</v>
      </c>
      <c r="K98" s="5">
        <f t="shared" ca="1" si="203"/>
        <v>43.274303026670339</v>
      </c>
      <c r="L98" s="5">
        <f t="shared" ca="1" si="203"/>
        <v>55.619791051498552</v>
      </c>
      <c r="M98" s="5">
        <f t="shared" ca="1" si="203"/>
        <v>59.907734627628976</v>
      </c>
      <c r="N98" s="5">
        <f t="shared" ca="1" si="203"/>
        <v>82.356059060204785</v>
      </c>
      <c r="O98" s="5">
        <f t="shared" ca="1" si="203"/>
        <v>67.978714389707548</v>
      </c>
      <c r="P98" s="5">
        <f t="shared" ca="1" si="203"/>
        <v>25.749668196459893</v>
      </c>
      <c r="Q98" s="5">
        <f t="shared" ca="1" si="203"/>
        <v>26.753161962549758</v>
      </c>
      <c r="R98" s="5">
        <f t="shared" ca="1" si="203"/>
        <v>28.841241159331005</v>
      </c>
      <c r="S98" s="5">
        <f t="shared" ca="1" si="203"/>
        <v>35.867002055219295</v>
      </c>
      <c r="T98" s="5">
        <f t="shared" ca="1" si="203"/>
        <v>30.766748449723654</v>
      </c>
      <c r="U98" s="5">
        <f t="shared" ca="1" si="203"/>
        <v>26.65484778592781</v>
      </c>
      <c r="V98" s="5">
        <f t="shared" ca="1" si="203"/>
        <v>14.257710605309223</v>
      </c>
      <c r="W98" s="5">
        <f t="shared" ca="1" si="203"/>
        <v>11.88760125465547</v>
      </c>
      <c r="X98" s="5">
        <f t="shared" ca="1" si="203"/>
        <v>7.0754029478893239</v>
      </c>
      <c r="Y98" s="5">
        <f t="shared" ca="1" si="203"/>
        <v>7.1608711851326108</v>
      </c>
      <c r="Z98" s="5">
        <f t="shared" ca="1" si="203"/>
        <v>0</v>
      </c>
      <c r="AA98" s="5">
        <f t="shared" ca="1" si="203"/>
        <v>0</v>
      </c>
      <c r="AB98" s="5">
        <f t="shared" ca="1" si="203"/>
        <v>0</v>
      </c>
      <c r="AC98" s="5">
        <f t="shared" ca="1" si="203"/>
        <v>0</v>
      </c>
      <c r="AD98" s="5">
        <f t="shared" ca="1" si="203"/>
        <v>0</v>
      </c>
      <c r="AE98" s="5">
        <f t="shared" ca="1" si="203"/>
        <v>0</v>
      </c>
      <c r="AF98" s="5">
        <f t="shared" ref="AF98:AQ98" ca="1" si="204">+AF86+AF93</f>
        <v>0</v>
      </c>
      <c r="AG98" s="5">
        <f t="shared" ca="1" si="204"/>
        <v>0</v>
      </c>
      <c r="AH98" s="5">
        <f t="shared" ca="1" si="204"/>
        <v>0</v>
      </c>
      <c r="AI98" s="5">
        <f t="shared" ca="1" si="204"/>
        <v>0</v>
      </c>
      <c r="AJ98" s="5">
        <f t="shared" ca="1" si="204"/>
        <v>0</v>
      </c>
      <c r="AK98" s="5">
        <f t="shared" ca="1" si="204"/>
        <v>0</v>
      </c>
      <c r="AL98" s="5">
        <f t="shared" ca="1" si="204"/>
        <v>0</v>
      </c>
      <c r="AM98" s="5">
        <f t="shared" ca="1" si="204"/>
        <v>0</v>
      </c>
      <c r="AN98" s="5">
        <f t="shared" ca="1" si="204"/>
        <v>0</v>
      </c>
      <c r="AO98" s="5">
        <f t="shared" ca="1" si="204"/>
        <v>0</v>
      </c>
      <c r="AP98" s="5">
        <f t="shared" ca="1" si="204"/>
        <v>0</v>
      </c>
      <c r="AQ98" s="5">
        <f t="shared" ca="1" si="204"/>
        <v>0</v>
      </c>
    </row>
    <row r="99" spans="2:43">
      <c r="B99" s="5" t="s">
        <v>26</v>
      </c>
      <c r="H99" s="5">
        <f t="shared" ref="H99:AE99" ca="1" si="205">G99+H98</f>
        <v>0</v>
      </c>
      <c r="I99" s="5">
        <f t="shared" ca="1" si="205"/>
        <v>22.061986084756541</v>
      </c>
      <c r="J99" s="5">
        <f t="shared" ca="1" si="205"/>
        <v>75.815606790754828</v>
      </c>
      <c r="K99" s="5">
        <f t="shared" ca="1" si="205"/>
        <v>119.08990981742517</v>
      </c>
      <c r="L99" s="5">
        <f t="shared" ca="1" si="205"/>
        <v>174.70970086892373</v>
      </c>
      <c r="M99" s="5">
        <f t="shared" ca="1" si="205"/>
        <v>234.6174354965527</v>
      </c>
      <c r="N99" s="5">
        <f t="shared" ca="1" si="205"/>
        <v>316.97349455675749</v>
      </c>
      <c r="O99" s="5">
        <f t="shared" ca="1" si="205"/>
        <v>384.95220894646502</v>
      </c>
      <c r="P99" s="5">
        <f t="shared" ca="1" si="205"/>
        <v>410.7018771429249</v>
      </c>
      <c r="Q99" s="5">
        <f t="shared" ca="1" si="205"/>
        <v>437.45503910547467</v>
      </c>
      <c r="R99" s="5">
        <f t="shared" ca="1" si="205"/>
        <v>466.29628026480566</v>
      </c>
      <c r="S99" s="5">
        <f t="shared" ca="1" si="205"/>
        <v>502.16328232002496</v>
      </c>
      <c r="T99" s="5">
        <f t="shared" ca="1" si="205"/>
        <v>532.93003076974867</v>
      </c>
      <c r="U99" s="5">
        <f t="shared" ca="1" si="205"/>
        <v>559.58487855567648</v>
      </c>
      <c r="V99" s="5">
        <f t="shared" ca="1" si="205"/>
        <v>573.84258916098565</v>
      </c>
      <c r="W99" s="5">
        <f t="shared" ca="1" si="205"/>
        <v>585.73019041564112</v>
      </c>
      <c r="X99" s="5">
        <f t="shared" ca="1" si="205"/>
        <v>592.80559336353042</v>
      </c>
      <c r="Y99" s="5">
        <f t="shared" ca="1" si="205"/>
        <v>599.966464548663</v>
      </c>
      <c r="Z99" s="5">
        <f t="shared" ca="1" si="205"/>
        <v>599.966464548663</v>
      </c>
      <c r="AA99" s="5">
        <f t="shared" ca="1" si="205"/>
        <v>599.966464548663</v>
      </c>
      <c r="AB99" s="5">
        <f t="shared" ca="1" si="205"/>
        <v>599.966464548663</v>
      </c>
      <c r="AC99" s="5">
        <f t="shared" ca="1" si="205"/>
        <v>599.966464548663</v>
      </c>
      <c r="AD99" s="5">
        <f t="shared" ca="1" si="205"/>
        <v>599.966464548663</v>
      </c>
      <c r="AE99" s="5">
        <f t="shared" ca="1" si="205"/>
        <v>599.966464548663</v>
      </c>
      <c r="AF99" s="5">
        <f t="shared" ref="AF99" ca="1" si="206">AE99+AF98</f>
        <v>599.966464548663</v>
      </c>
      <c r="AG99" s="5">
        <f t="shared" ref="AG99" ca="1" si="207">AF99+AG98</f>
        <v>599.966464548663</v>
      </c>
      <c r="AH99" s="5">
        <f t="shared" ref="AH99" ca="1" si="208">AG99+AH98</f>
        <v>599.966464548663</v>
      </c>
      <c r="AI99" s="5">
        <f t="shared" ref="AI99" ca="1" si="209">AH99+AI98</f>
        <v>599.966464548663</v>
      </c>
      <c r="AJ99" s="5">
        <f t="shared" ref="AJ99" ca="1" si="210">AI99+AJ98</f>
        <v>599.966464548663</v>
      </c>
      <c r="AK99" s="5">
        <f t="shared" ref="AK99" ca="1" si="211">AJ99+AK98</f>
        <v>599.966464548663</v>
      </c>
      <c r="AL99" s="5">
        <f t="shared" ref="AL99" ca="1" si="212">AK99+AL98</f>
        <v>599.966464548663</v>
      </c>
      <c r="AM99" s="5">
        <f t="shared" ref="AM99" ca="1" si="213">AL99+AM98</f>
        <v>599.966464548663</v>
      </c>
      <c r="AN99" s="5">
        <f t="shared" ref="AN99" ca="1" si="214">AM99+AN98</f>
        <v>599.966464548663</v>
      </c>
      <c r="AO99" s="5">
        <f t="shared" ref="AO99" ca="1" si="215">AN99+AO98</f>
        <v>599.966464548663</v>
      </c>
      <c r="AP99" s="5">
        <f t="shared" ref="AP99" ca="1" si="216">AO99+AP98</f>
        <v>599.966464548663</v>
      </c>
      <c r="AQ99" s="5">
        <f t="shared" ref="AQ99" ca="1" si="217">AP99+AQ98</f>
        <v>599.966464548663</v>
      </c>
    </row>
    <row r="104" spans="2:43">
      <c r="B104" s="52" t="s">
        <v>25</v>
      </c>
    </row>
    <row r="105" spans="2:43">
      <c r="B105" s="5" t="s">
        <v>24</v>
      </c>
      <c r="G105" s="5">
        <v>0</v>
      </c>
      <c r="H105" s="5">
        <f ca="1">G108</f>
        <v>0</v>
      </c>
      <c r="I105" s="5">
        <f t="shared" ref="I105:AE105" ca="1" si="218">H108</f>
        <v>0</v>
      </c>
      <c r="J105" s="5">
        <f t="shared" ca="1" si="218"/>
        <v>0</v>
      </c>
      <c r="K105" s="5">
        <f t="shared" ca="1" si="218"/>
        <v>0</v>
      </c>
      <c r="L105" s="5">
        <f t="shared" ca="1" si="218"/>
        <v>0</v>
      </c>
      <c r="M105" s="5">
        <f t="shared" ca="1" si="218"/>
        <v>0</v>
      </c>
      <c r="N105" s="5">
        <f t="shared" ca="1" si="218"/>
        <v>0</v>
      </c>
      <c r="O105" s="5">
        <f t="shared" ca="1" si="218"/>
        <v>0</v>
      </c>
      <c r="P105" s="5">
        <f t="shared" ca="1" si="218"/>
        <v>0</v>
      </c>
      <c r="Q105" s="5">
        <f t="shared" ca="1" si="218"/>
        <v>0</v>
      </c>
      <c r="R105" s="5">
        <f t="shared" ca="1" si="218"/>
        <v>0</v>
      </c>
      <c r="S105" s="5">
        <f t="shared" ca="1" si="218"/>
        <v>0</v>
      </c>
      <c r="T105" s="5">
        <f t="shared" ca="1" si="218"/>
        <v>0</v>
      </c>
      <c r="U105" s="5">
        <f t="shared" ca="1" si="218"/>
        <v>0</v>
      </c>
      <c r="V105" s="5">
        <f t="shared" ca="1" si="218"/>
        <v>0</v>
      </c>
      <c r="W105" s="5">
        <f t="shared" ca="1" si="218"/>
        <v>0</v>
      </c>
      <c r="X105" s="5">
        <f t="shared" ca="1" si="218"/>
        <v>0</v>
      </c>
      <c r="Y105" s="5">
        <f t="shared" ca="1" si="218"/>
        <v>0</v>
      </c>
      <c r="Z105" s="5">
        <f t="shared" ca="1" si="218"/>
        <v>0</v>
      </c>
      <c r="AA105" s="5">
        <f t="shared" ca="1" si="218"/>
        <v>599.966464548663</v>
      </c>
      <c r="AB105" s="5">
        <f t="shared" ca="1" si="218"/>
        <v>570.44928434493272</v>
      </c>
      <c r="AC105" s="5">
        <f t="shared" ca="1" si="218"/>
        <v>0</v>
      </c>
      <c r="AD105" s="5">
        <f t="shared" ca="1" si="218"/>
        <v>0</v>
      </c>
      <c r="AE105" s="5">
        <f t="shared" ca="1" si="218"/>
        <v>0</v>
      </c>
      <c r="AF105" s="5">
        <f t="shared" ref="AF105" ca="1" si="219">AE108</f>
        <v>0</v>
      </c>
      <c r="AG105" s="5">
        <f t="shared" ref="AG105" ca="1" si="220">AF108</f>
        <v>0</v>
      </c>
      <c r="AH105" s="5">
        <f t="shared" ref="AH105" ca="1" si="221">AG108</f>
        <v>0</v>
      </c>
      <c r="AI105" s="5">
        <f t="shared" ref="AI105" ca="1" si="222">AH108</f>
        <v>0</v>
      </c>
      <c r="AJ105" s="5">
        <f t="shared" ref="AJ105" ca="1" si="223">AI108</f>
        <v>0</v>
      </c>
      <c r="AK105" s="5">
        <f t="shared" ref="AK105" ca="1" si="224">AJ108</f>
        <v>0</v>
      </c>
      <c r="AL105" s="5">
        <f t="shared" ref="AL105" ca="1" si="225">AK108</f>
        <v>0</v>
      </c>
      <c r="AM105" s="5">
        <f t="shared" ref="AM105" ca="1" si="226">AL108</f>
        <v>0</v>
      </c>
      <c r="AN105" s="5">
        <f t="shared" ref="AN105" ca="1" si="227">AM108</f>
        <v>0</v>
      </c>
      <c r="AO105" s="5">
        <f t="shared" ref="AO105" ca="1" si="228">AN108</f>
        <v>0</v>
      </c>
      <c r="AP105" s="5">
        <f t="shared" ref="AP105" ca="1" si="229">AO108</f>
        <v>0</v>
      </c>
      <c r="AQ105" s="5">
        <f t="shared" ref="AQ105" ca="1" si="230">AP108</f>
        <v>0</v>
      </c>
    </row>
    <row r="106" spans="2:43">
      <c r="B106" s="5" t="s">
        <v>23</v>
      </c>
      <c r="G106" s="5">
        <f>+IF(G$4=('Main_O+R_WTC'!$G$34),MAX(H99:AQ99)+(15)*0,0)</f>
        <v>0</v>
      </c>
      <c r="H106" s="5">
        <f>+IF(H$4=('Main_O+R_WTC'!$G$34),MAX(I99:AR99)+(15)*0,0)</f>
        <v>0</v>
      </c>
      <c r="I106" s="5">
        <f>+IF(I$4=('Main_O+R_WTC'!$G$34),MAX(J99:AS99)+(15)*0,0)</f>
        <v>0</v>
      </c>
      <c r="J106" s="5">
        <f>+IF(J$4=('Main_O+R_WTC'!$G$34),MAX(K99:AT99)+(15)*0,0)</f>
        <v>0</v>
      </c>
      <c r="K106" s="5">
        <f>+IF(K$4=('Main_O+R_WTC'!$G$34),MAX(L99:AU99)+(15)*0,0)</f>
        <v>0</v>
      </c>
      <c r="L106" s="5">
        <f>+IF(L$4=('Main_O+R_WTC'!$G$34),MAX(M99:AV99)+(15)*0,0)</f>
        <v>0</v>
      </c>
      <c r="M106" s="5">
        <f>+IF(M$4=('Main_O+R_WTC'!$G$34),MAX(N99:AW99)+(15)*0,0)</f>
        <v>0</v>
      </c>
      <c r="N106" s="5">
        <f>+IF(N$4=('Main_O+R_WTC'!$G$34),MAX(O99:AX99)+(15)*0,0)</f>
        <v>0</v>
      </c>
      <c r="O106" s="5">
        <f>+IF(O$4=('Main_O+R_WTC'!$G$34),MAX(P99:AY99)+(15)*0,0)</f>
        <v>0</v>
      </c>
      <c r="P106" s="5">
        <f>+IF(P$4=('Main_O+R_WTC'!$G$34),MAX(Q99:AZ99)+(15)*0,0)</f>
        <v>0</v>
      </c>
      <c r="Q106" s="5">
        <f>+IF(Q$4=('Main_O+R_WTC'!$G$34),MAX(R99:BA99)+(15)*0,0)</f>
        <v>0</v>
      </c>
      <c r="R106" s="5">
        <f>+IF(R$4=('Main_O+R_WTC'!$G$34),MAX(S99:BB99)+(15)*0,0)</f>
        <v>0</v>
      </c>
      <c r="S106" s="5">
        <f>+IF(S$4=('Main_O+R_WTC'!$G$34),MAX(T99:BC99)+(15)*0,0)</f>
        <v>0</v>
      </c>
      <c r="T106" s="5">
        <f>+IF(T$4=('Main_O+R_WTC'!$G$34),MAX(U99:BD99)+(15)*0,0)</f>
        <v>0</v>
      </c>
      <c r="U106" s="5">
        <f>+IF(U$4=('Main_O+R_WTC'!$G$34),MAX(V99:BE99)+(15)*0,0)</f>
        <v>0</v>
      </c>
      <c r="V106" s="5">
        <f>+IF(V$4=('Main_O+R_WTC'!$G$34),MAX(W99:BF99)+(15)*0,0)</f>
        <v>0</v>
      </c>
      <c r="W106" s="5">
        <f>+IF(W$4=('Main_O+R_WTC'!$G$34),MAX(X99:BG99)+(15)*0,0)</f>
        <v>0</v>
      </c>
      <c r="X106" s="5">
        <f>+IF(X$4=('Main_O+R_WTC'!$G$34),MAX(Y99:BH99)+(15)*0,0)</f>
        <v>0</v>
      </c>
      <c r="Y106" s="5">
        <f>+IF(Y$4=('Main_O+R_WTC'!$G$34),MAX(Z99:BI99)+(15)*0,0)</f>
        <v>0</v>
      </c>
      <c r="Z106" s="5">
        <f ca="1">+IF(Z$4=('Main_O+R_WTC'!$G$34),MAX(AA99:BJ99)+(15)*0,0)</f>
        <v>599.966464548663</v>
      </c>
      <c r="AA106" s="5">
        <f>+IF(AA$4=('Main_O+R_WTC'!$G$34),MAX(AB99:BK99)+(15)*0,0)</f>
        <v>0</v>
      </c>
      <c r="AB106" s="5">
        <f>+IF(AB$4=('Main_O+R_WTC'!$G$34),MAX(AC99:BL99)+(15)*0,0)</f>
        <v>0</v>
      </c>
      <c r="AC106" s="5">
        <f>+IF(AC$4=('Main_O+R_WTC'!$G$34),MAX(AD99:BM99)+(15)*0,0)</f>
        <v>0</v>
      </c>
      <c r="AD106" s="5">
        <f>+IF(AD$4=('Main_O+R_WTC'!$G$34),MAX(AE99:BN99)+(15)*0,0)</f>
        <v>0</v>
      </c>
      <c r="AE106" s="5">
        <f>+IF(AE$4=('Main_O+R_WTC'!$G$34),MAX(AF99:BO99)+(15)*0,0)</f>
        <v>0</v>
      </c>
      <c r="AF106" s="5">
        <f>+IF(AF$4=('Main_O+R_WTC'!$G$34),MAX(AG99:BP99)+(15)*0,0)</f>
        <v>0</v>
      </c>
      <c r="AG106" s="5">
        <f>+IF(AG$4=('Main_O+R_WTC'!$G$34),MAX(AH99:BQ99)+(15)*0,0)</f>
        <v>0</v>
      </c>
      <c r="AH106" s="5">
        <f>+IF(AH$4=('Main_O+R_WTC'!$G$34),MAX(AI99:BR99)+(15)*0,0)</f>
        <v>0</v>
      </c>
      <c r="AI106" s="5">
        <f>+IF(AI$4=('Main_O+R_WTC'!$G$34),MAX(AJ99:BS99)+(15)*0,0)</f>
        <v>0</v>
      </c>
      <c r="AJ106" s="5">
        <f>+IF(AJ$4=('Main_O+R_WTC'!$G$34),MAX(AK99:BT99)+(15)*0,0)</f>
        <v>0</v>
      </c>
      <c r="AK106" s="5">
        <f>+IF(AK$4=('Main_O+R_WTC'!$G$34),MAX(AL99:BU99)+(15)*0,0)</f>
        <v>0</v>
      </c>
      <c r="AL106" s="5">
        <f>+IF(AL$4=('Main_O+R_WTC'!$G$34),MAX(AM99:BV99)+(15)*0,0)</f>
        <v>0</v>
      </c>
      <c r="AM106" s="5">
        <f>+IF(AM$4=('Main_O+R_WTC'!$G$34),MAX(AN99:BW99)+(15)*0,0)</f>
        <v>0</v>
      </c>
      <c r="AN106" s="5">
        <f>+IF(AN$4=('Main_O+R_WTC'!$G$34),MAX(AO99:BX99)+(15)*0,0)</f>
        <v>0</v>
      </c>
      <c r="AO106" s="5">
        <f>+IF(AO$4=('Main_O+R_WTC'!$G$34),MAX(AP99:BY99)+(15)*0,0)</f>
        <v>0</v>
      </c>
      <c r="AP106" s="5">
        <f>+IF(AP$4=('Main_O+R_WTC'!$G$34),MAX(AQ99:BZ99)+(15)*0,0)</f>
        <v>0</v>
      </c>
      <c r="AQ106" s="5">
        <f>+IF(AQ$4=('Main_O+R_WTC'!$G$34),MAX(AR99:CA99)+(15)*0,0)</f>
        <v>0</v>
      </c>
    </row>
    <row r="107" spans="2:43">
      <c r="B107" s="5" t="s">
        <v>22</v>
      </c>
      <c r="G107" s="5">
        <f ca="1">+G115</f>
        <v>0</v>
      </c>
      <c r="H107" s="5">
        <f ca="1">+H115</f>
        <v>0</v>
      </c>
      <c r="I107" s="5">
        <f t="shared" ref="I107:AE107" ca="1" si="231">+I115</f>
        <v>0</v>
      </c>
      <c r="J107" s="5">
        <f t="shared" ca="1" si="231"/>
        <v>0</v>
      </c>
      <c r="K107" s="5">
        <f t="shared" ca="1" si="231"/>
        <v>0</v>
      </c>
      <c r="L107" s="5">
        <f t="shared" ca="1" si="231"/>
        <v>0</v>
      </c>
      <c r="M107" s="5">
        <f t="shared" ca="1" si="231"/>
        <v>0</v>
      </c>
      <c r="N107" s="5">
        <f t="shared" ca="1" si="231"/>
        <v>0</v>
      </c>
      <c r="O107" s="5">
        <f t="shared" ca="1" si="231"/>
        <v>0</v>
      </c>
      <c r="P107" s="5">
        <f t="shared" ca="1" si="231"/>
        <v>0</v>
      </c>
      <c r="Q107" s="5">
        <f t="shared" ca="1" si="231"/>
        <v>0</v>
      </c>
      <c r="R107" s="5">
        <f t="shared" ca="1" si="231"/>
        <v>0</v>
      </c>
      <c r="S107" s="5">
        <f t="shared" ca="1" si="231"/>
        <v>0</v>
      </c>
      <c r="T107" s="5">
        <f t="shared" ca="1" si="231"/>
        <v>0</v>
      </c>
      <c r="U107" s="5">
        <f t="shared" ca="1" si="231"/>
        <v>0</v>
      </c>
      <c r="V107" s="5">
        <f t="shared" ca="1" si="231"/>
        <v>0</v>
      </c>
      <c r="W107" s="5">
        <f t="shared" ca="1" si="231"/>
        <v>0</v>
      </c>
      <c r="X107" s="5">
        <f t="shared" ca="1" si="231"/>
        <v>0</v>
      </c>
      <c r="Y107" s="5">
        <f t="shared" ca="1" si="231"/>
        <v>0</v>
      </c>
      <c r="Z107" s="5">
        <f t="shared" ca="1" si="231"/>
        <v>0</v>
      </c>
      <c r="AA107" s="5">
        <f t="shared" ca="1" si="231"/>
        <v>29.51718020373028</v>
      </c>
      <c r="AB107" s="5">
        <f t="shared" ca="1" si="231"/>
        <v>570.44928434493272</v>
      </c>
      <c r="AC107" s="5">
        <f t="shared" ca="1" si="231"/>
        <v>0</v>
      </c>
      <c r="AD107" s="5">
        <f t="shared" ca="1" si="231"/>
        <v>0</v>
      </c>
      <c r="AE107" s="5">
        <f t="shared" ca="1" si="231"/>
        <v>0</v>
      </c>
      <c r="AF107" s="5">
        <f t="shared" ref="AF107:AQ107" ca="1" si="232">+AF115</f>
        <v>0</v>
      </c>
      <c r="AG107" s="5">
        <f t="shared" ca="1" si="232"/>
        <v>0</v>
      </c>
      <c r="AH107" s="5">
        <f t="shared" ca="1" si="232"/>
        <v>0</v>
      </c>
      <c r="AI107" s="5">
        <f t="shared" ca="1" si="232"/>
        <v>0</v>
      </c>
      <c r="AJ107" s="5">
        <f t="shared" ca="1" si="232"/>
        <v>0</v>
      </c>
      <c r="AK107" s="5">
        <f t="shared" ca="1" si="232"/>
        <v>0</v>
      </c>
      <c r="AL107" s="5">
        <f t="shared" ca="1" si="232"/>
        <v>0</v>
      </c>
      <c r="AM107" s="5">
        <f t="shared" ca="1" si="232"/>
        <v>0</v>
      </c>
      <c r="AN107" s="5">
        <f t="shared" ca="1" si="232"/>
        <v>0</v>
      </c>
      <c r="AO107" s="5">
        <f t="shared" ca="1" si="232"/>
        <v>0</v>
      </c>
      <c r="AP107" s="5">
        <f t="shared" ca="1" si="232"/>
        <v>0</v>
      </c>
      <c r="AQ107" s="5">
        <f t="shared" ca="1" si="232"/>
        <v>0</v>
      </c>
    </row>
    <row r="108" spans="2:43">
      <c r="B108" s="5" t="s">
        <v>21</v>
      </c>
      <c r="G108" s="5">
        <f ca="1">+G105+G106-G107</f>
        <v>0</v>
      </c>
      <c r="H108" s="5">
        <f t="shared" ref="H108:K108" ca="1" si="233">+H105+H106-H107</f>
        <v>0</v>
      </c>
      <c r="I108" s="5">
        <f t="shared" ca="1" si="233"/>
        <v>0</v>
      </c>
      <c r="J108" s="5">
        <f ca="1">+J105+J106-J107</f>
        <v>0</v>
      </c>
      <c r="K108" s="5">
        <f t="shared" ca="1" si="233"/>
        <v>0</v>
      </c>
      <c r="L108" s="5">
        <f t="shared" ref="L108:Q108" ca="1" si="234">+L105+L106-L107</f>
        <v>0</v>
      </c>
      <c r="M108" s="5">
        <f t="shared" ca="1" si="234"/>
        <v>0</v>
      </c>
      <c r="N108" s="5">
        <f t="shared" ca="1" si="234"/>
        <v>0</v>
      </c>
      <c r="O108" s="5">
        <f t="shared" ca="1" si="234"/>
        <v>0</v>
      </c>
      <c r="P108" s="5">
        <f t="shared" ca="1" si="234"/>
        <v>0</v>
      </c>
      <c r="Q108" s="5">
        <f t="shared" ca="1" si="234"/>
        <v>0</v>
      </c>
      <c r="R108" s="5">
        <f ca="1">+R105+R106-R107</f>
        <v>0</v>
      </c>
      <c r="S108" s="5">
        <f ca="1">+S105+S106-S107</f>
        <v>0</v>
      </c>
      <c r="T108" s="5">
        <f ca="1">+T105+T106-T107</f>
        <v>0</v>
      </c>
      <c r="U108" s="5">
        <f ca="1">+U105+U106-U107</f>
        <v>0</v>
      </c>
      <c r="V108" s="5">
        <f ca="1">+V105+V106-V107</f>
        <v>0</v>
      </c>
      <c r="W108" s="5">
        <f t="shared" ref="W108:AQ108" ca="1" si="235">+W105+W106-W107</f>
        <v>0</v>
      </c>
      <c r="X108" s="5">
        <f t="shared" ca="1" si="235"/>
        <v>0</v>
      </c>
      <c r="Y108" s="5">
        <f t="shared" ca="1" si="235"/>
        <v>0</v>
      </c>
      <c r="Z108" s="5">
        <f t="shared" ca="1" si="235"/>
        <v>599.966464548663</v>
      </c>
      <c r="AA108" s="5">
        <f t="shared" ca="1" si="235"/>
        <v>570.44928434493272</v>
      </c>
      <c r="AB108" s="5">
        <f t="shared" ca="1" si="235"/>
        <v>0</v>
      </c>
      <c r="AC108" s="5">
        <f t="shared" ca="1" si="235"/>
        <v>0</v>
      </c>
      <c r="AD108" s="5">
        <f t="shared" ca="1" si="235"/>
        <v>0</v>
      </c>
      <c r="AE108" s="5">
        <f t="shared" ca="1" si="235"/>
        <v>0</v>
      </c>
      <c r="AF108" s="5">
        <f t="shared" ca="1" si="235"/>
        <v>0</v>
      </c>
      <c r="AG108" s="5">
        <f t="shared" ca="1" si="235"/>
        <v>0</v>
      </c>
      <c r="AH108" s="5">
        <f t="shared" ca="1" si="235"/>
        <v>0</v>
      </c>
      <c r="AI108" s="5">
        <f t="shared" ca="1" si="235"/>
        <v>0</v>
      </c>
      <c r="AJ108" s="5">
        <f t="shared" ca="1" si="235"/>
        <v>0</v>
      </c>
      <c r="AK108" s="5">
        <f t="shared" ca="1" si="235"/>
        <v>0</v>
      </c>
      <c r="AL108" s="5">
        <f t="shared" ca="1" si="235"/>
        <v>0</v>
      </c>
      <c r="AM108" s="5">
        <f t="shared" ca="1" si="235"/>
        <v>0</v>
      </c>
      <c r="AN108" s="5">
        <f t="shared" ca="1" si="235"/>
        <v>0</v>
      </c>
      <c r="AO108" s="5">
        <f t="shared" ca="1" si="235"/>
        <v>0</v>
      </c>
      <c r="AP108" s="5">
        <f t="shared" ca="1" si="235"/>
        <v>0</v>
      </c>
      <c r="AQ108" s="5">
        <f t="shared" ca="1" si="235"/>
        <v>0</v>
      </c>
    </row>
    <row r="109" spans="2:43">
      <c r="B109" s="5" t="s">
        <v>20</v>
      </c>
      <c r="G109" s="5">
        <f ca="1">+(SUM($G$106:G106)-SUM($G$107:G107))*'Main_O+R_WTC'!$G$31/4</f>
        <v>0</v>
      </c>
      <c r="H109" s="5">
        <f ca="1">+(SUM($G$106:H106)-SUM($G$107:H107))*'Main_O+R_WTC'!$G$31/4</f>
        <v>0</v>
      </c>
      <c r="I109" s="5">
        <f ca="1">+(SUM($G$106:I106)-SUM($G$107:I107))*'Main_O+R_WTC'!$G$31/4</f>
        <v>0</v>
      </c>
      <c r="J109" s="5">
        <f ca="1">+(SUM($G$106:J106)-SUM($G$107:J107))*'Main_O+R_WTC'!$G$31/4</f>
        <v>0</v>
      </c>
      <c r="K109" s="5">
        <f ca="1">+(SUM($G$106:K106)-SUM($G$107:K107))*'Main_O+R_WTC'!$G$31/4</f>
        <v>0</v>
      </c>
      <c r="L109" s="5">
        <f ca="1">+(SUM($G$106:L106)-SUM($G$107:L107))*'Main_O+R_WTC'!$G$31/4</f>
        <v>0</v>
      </c>
      <c r="M109" s="5">
        <f ca="1">+(SUM($G$106:M106)-SUM($G$107:M107))*'Main_O+R_WTC'!$G$31/4</f>
        <v>0</v>
      </c>
      <c r="N109" s="5">
        <f ca="1">+(SUM($G$106:N106)-SUM($G$107:N107))*'Main_O+R_WTC'!$G$31/4</f>
        <v>0</v>
      </c>
      <c r="O109" s="5">
        <f ca="1">+(SUM($G$106:O106)-SUM($G$107:O107))*'Main_O+R_WTC'!$G$31/4</f>
        <v>0</v>
      </c>
      <c r="P109" s="5">
        <f ca="1">+(SUM($G$106:P106)-SUM($G$107:P107))*'Main_O+R_WTC'!$G$31/4</f>
        <v>0</v>
      </c>
      <c r="Q109" s="5">
        <f ca="1">+(SUM($G$106:Q106)-SUM($G$107:Q107))*'Main_O+R_WTC'!$G$31/4</f>
        <v>0</v>
      </c>
      <c r="R109" s="5">
        <f ca="1">+(SUM($G$106:R106)-SUM($G$107:R107))*'Main_O+R_WTC'!$G$31/4</f>
        <v>0</v>
      </c>
      <c r="S109" s="5">
        <f ca="1">+(SUM($G$106:S106)-SUM($G$107:S107))*'Main_O+R_WTC'!$G$31/4</f>
        <v>0</v>
      </c>
      <c r="T109" s="5">
        <f ca="1">+(SUM($G$106:T106)-SUM($G$107:T107))*'Main_O+R_WTC'!$G$31/4</f>
        <v>0</v>
      </c>
      <c r="U109" s="5">
        <f ca="1">+(SUM($G$106:U106)-SUM($G$107:U107))*'Main_O+R_WTC'!$G$31/4</f>
        <v>0</v>
      </c>
      <c r="V109" s="5">
        <f ca="1">+(SUM($G$106:V106)-SUM($G$107:V107))*'Main_O+R_WTC'!$G$31/4</f>
        <v>0</v>
      </c>
      <c r="W109" s="5">
        <f ca="1">+(SUM($G$106:W106)-SUM($G$107:W107))*'Main_O+R_WTC'!$G$31/4</f>
        <v>0</v>
      </c>
      <c r="X109" s="5">
        <f ca="1">+(SUM($G$106:X106)-SUM($G$107:X107))*'Main_O+R_WTC'!$G$31/4</f>
        <v>0</v>
      </c>
      <c r="Y109" s="5">
        <f ca="1">+(SUM($G$106:Y106)-SUM($G$107:Y107))*'Main_O+R_WTC'!$G$31/4</f>
        <v>0</v>
      </c>
      <c r="Z109" s="5">
        <f ca="1">+(SUM($G$106:Z106)-SUM($G$107:Z107))*'Main_O+R_WTC'!$G$31/4</f>
        <v>12.74928737165909</v>
      </c>
      <c r="AA109" s="5">
        <f ca="1">+(SUM($G$106:AA106)-SUM($G$107:AA107))*'Main_O+R_WTC'!$G$31/4</f>
        <v>12.122047292329821</v>
      </c>
      <c r="AB109" s="5">
        <f ca="1">+(SUM($G$106:AB106)-SUM($G$107:AB107))*'Main_O+R_WTC'!$G$31/4</f>
        <v>0</v>
      </c>
      <c r="AC109" s="5">
        <f ca="1">+(SUM($G$106:AC106)-SUM($G$107:AC107))*'Main_O+R_WTC'!$G$31/4</f>
        <v>0</v>
      </c>
      <c r="AD109" s="5">
        <f ca="1">+(SUM($G$106:AD106)-SUM($G$107:AD107))*'Main_O+R_WTC'!$G$31/4</f>
        <v>0</v>
      </c>
      <c r="AE109" s="5">
        <f ca="1">+(SUM($G$106:AE106)-SUM($G$107:AE107))*'Main_O+R_WTC'!$G$31/4</f>
        <v>0</v>
      </c>
      <c r="AF109" s="5">
        <f ca="1">+(SUM($G$106:AF106)-SUM($G$107:AF107))*'Main_O+R_WTC'!$G$31/4</f>
        <v>0</v>
      </c>
      <c r="AG109" s="5">
        <f ca="1">+(SUM($G$106:AG106)-SUM($G$107:AG107))*'Main_O+R_WTC'!$G$31/4</f>
        <v>0</v>
      </c>
      <c r="AH109" s="5">
        <f ca="1">+(SUM($G$106:AH106)-SUM($G$107:AH107))*'Main_O+R_WTC'!$G$31/4</f>
        <v>0</v>
      </c>
      <c r="AI109" s="5">
        <f ca="1">+(SUM($G$106:AI106)-SUM($G$107:AI107))*'Main_O+R_WTC'!$G$31/4</f>
        <v>0</v>
      </c>
      <c r="AJ109" s="5">
        <f ca="1">+(SUM($G$106:AJ106)-SUM($G$107:AJ107))*'Main_O+R_WTC'!$G$31/4</f>
        <v>0</v>
      </c>
      <c r="AK109" s="5">
        <f ca="1">+(SUM($G$106:AK106)-SUM($G$107:AK107))*'Main_O+R_WTC'!$G$31/4</f>
        <v>0</v>
      </c>
      <c r="AL109" s="5">
        <f ca="1">+(SUM($G$106:AL106)-SUM($G$107:AL107))*'Main_O+R_WTC'!$G$31/4</f>
        <v>0</v>
      </c>
      <c r="AM109" s="5">
        <f ca="1">+(SUM($G$106:AM106)-SUM($G$107:AM107))*'Main_O+R_WTC'!$G$31/4</f>
        <v>0</v>
      </c>
      <c r="AN109" s="5">
        <f ca="1">+(SUM($G$106:AN106)-SUM($G$107:AN107))*'Main_O+R_WTC'!$G$31/4</f>
        <v>0</v>
      </c>
      <c r="AO109" s="5">
        <f ca="1">+(SUM($G$106:AO106)-SUM($G$107:AO107))*'Main_O+R_WTC'!$G$31/4</f>
        <v>0</v>
      </c>
      <c r="AP109" s="5">
        <f ca="1">+(SUM($G$106:AP106)-SUM($G$107:AP107))*'Main_O+R_WTC'!$G$31/4</f>
        <v>0</v>
      </c>
      <c r="AQ109" s="5">
        <f ca="1">+(SUM($G$106:AQ106)-SUM($G$107:AQ107))*'Main_O+R_WTC'!$G$31/4</f>
        <v>0</v>
      </c>
    </row>
    <row r="111" spans="2:43" s="31" customFormat="1">
      <c r="B111" s="31" t="s">
        <v>46</v>
      </c>
      <c r="G111" s="36">
        <f>+IF(SUM($G$106:G106)&lt;&gt;0,1,0)+F111</f>
        <v>0</v>
      </c>
      <c r="H111" s="36">
        <f>+IF(SUM($G$106:H106)&lt;&gt;0,1,0)+G111</f>
        <v>0</v>
      </c>
      <c r="I111" s="36">
        <f>+IF(SUM($G$106:I106)&lt;&gt;0,1,0)+H111</f>
        <v>0</v>
      </c>
      <c r="J111" s="36">
        <f>+IF(SUM($G$106:J106)&lt;&gt;0,1,0)+I111</f>
        <v>0</v>
      </c>
      <c r="K111" s="36">
        <f>+IF(SUM($G$106:K106)&lt;&gt;0,1,0)+J111</f>
        <v>0</v>
      </c>
      <c r="L111" s="36">
        <f>+IF(SUM($G$106:L106)&lt;&gt;0,1,0)+K111</f>
        <v>0</v>
      </c>
      <c r="M111" s="36">
        <f>+IF(SUM($G$106:M106)&lt;&gt;0,1,0)+L111</f>
        <v>0</v>
      </c>
      <c r="N111" s="36">
        <f>+IF(SUM($G$106:N106)&lt;&gt;0,1,0)+M111</f>
        <v>0</v>
      </c>
      <c r="O111" s="36">
        <f>+IF(SUM($G$106:O106)&lt;&gt;0,1,0)+N111</f>
        <v>0</v>
      </c>
      <c r="P111" s="36">
        <f>+IF(SUM($G$106:P106)&lt;&gt;0,1,0)+O111</f>
        <v>0</v>
      </c>
      <c r="Q111" s="36">
        <f>+IF(SUM($G$106:Q106)&lt;&gt;0,1,0)+P111</f>
        <v>0</v>
      </c>
      <c r="R111" s="36">
        <f>+IF(SUM($G$106:R106)&lt;&gt;0,1,0)+Q111</f>
        <v>0</v>
      </c>
      <c r="S111" s="36">
        <f>+IF(SUM($G$106:S106)&lt;&gt;0,1,0)+R111</f>
        <v>0</v>
      </c>
      <c r="T111" s="36">
        <f>+IF(SUM($G$106:T106)&lt;&gt;0,1,0)+S111</f>
        <v>0</v>
      </c>
      <c r="U111" s="36">
        <f>+IF(SUM($G$106:U106)&lt;&gt;0,1,0)+T111</f>
        <v>0</v>
      </c>
      <c r="V111" s="36">
        <f>+IF(SUM($G$106:V106)&lt;&gt;0,1,0)+U111</f>
        <v>0</v>
      </c>
      <c r="W111" s="36">
        <f>+IF(SUM($G$106:W106)&lt;&gt;0,1,0)+V111</f>
        <v>0</v>
      </c>
      <c r="X111" s="36">
        <f>+IF(SUM($G$106:X106)&lt;&gt;0,1,0)+W111</f>
        <v>0</v>
      </c>
      <c r="Y111" s="36">
        <f>+IF(SUM($G$106:Y106)&lt;&gt;0,1,0)+X111</f>
        <v>0</v>
      </c>
      <c r="Z111" s="36">
        <f ca="1">+IF(SUM($G$106:Z106)&lt;&gt;0,1,0)+Y111</f>
        <v>1</v>
      </c>
      <c r="AA111" s="36">
        <f ca="1">+IF(SUM($G$106:AA106)&lt;&gt;0,1,0)+Z111</f>
        <v>2</v>
      </c>
      <c r="AB111" s="36">
        <f ca="1">+IF(SUM($G$106:AB106)&lt;&gt;0,1,0)+AA111</f>
        <v>3</v>
      </c>
      <c r="AC111" s="36">
        <f ca="1">+IF(SUM($G$106:AC106)&lt;&gt;0,1,0)+AB111</f>
        <v>4</v>
      </c>
      <c r="AD111" s="36">
        <f ca="1">+IF(SUM($G$106:AD106)&lt;&gt;0,1,0)+AC111</f>
        <v>5</v>
      </c>
      <c r="AE111" s="36">
        <f ca="1">+IF(SUM($G$106:AE106)&lt;&gt;0,1,0)+AD111</f>
        <v>6</v>
      </c>
      <c r="AF111" s="36">
        <f ca="1">+IF(SUM($G$106:AF106)&lt;&gt;0,1,0)+AE111</f>
        <v>7</v>
      </c>
      <c r="AG111" s="36">
        <f ca="1">+IF(SUM($G$106:AG106)&lt;&gt;0,1,0)+AF111</f>
        <v>8</v>
      </c>
      <c r="AH111" s="36">
        <f ca="1">+IF(SUM($G$106:AH106)&lt;&gt;0,1,0)+AG111</f>
        <v>9</v>
      </c>
      <c r="AI111" s="36">
        <f ca="1">+IF(SUM($G$106:AI106)&lt;&gt;0,1,0)+AH111</f>
        <v>10</v>
      </c>
      <c r="AJ111" s="36">
        <f ca="1">+IF(SUM($G$106:AJ106)&lt;&gt;0,1,0)+AI111</f>
        <v>11</v>
      </c>
      <c r="AK111" s="36">
        <f ca="1">+IF(SUM($G$106:AK106)&lt;&gt;0,1,0)+AJ111</f>
        <v>12</v>
      </c>
      <c r="AL111" s="36">
        <f ca="1">+IF(SUM($G$106:AL106)&lt;&gt;0,1,0)+AK111</f>
        <v>13</v>
      </c>
      <c r="AM111" s="36">
        <f ca="1">+IF(SUM($G$106:AM106)&lt;&gt;0,1,0)+AL111</f>
        <v>14</v>
      </c>
      <c r="AN111" s="36">
        <f ca="1">+IF(SUM($G$106:AN106)&lt;&gt;0,1,0)+AM111</f>
        <v>15</v>
      </c>
      <c r="AO111" s="36">
        <f ca="1">+IF(SUM($G$106:AO106)&lt;&gt;0,1,0)+AN111</f>
        <v>16</v>
      </c>
      <c r="AP111" s="36">
        <f ca="1">+IF(SUM($G$106:AP106)&lt;&gt;0,1,0)+AO111</f>
        <v>17</v>
      </c>
      <c r="AQ111" s="36">
        <f ca="1">+IF(SUM($G$106:AQ106)&lt;&gt;0,1,0)+AP111</f>
        <v>18</v>
      </c>
    </row>
    <row r="113" spans="2:43">
      <c r="B113" s="5" t="s">
        <v>129</v>
      </c>
      <c r="G113" s="5">
        <f ca="1">+IF(G35&gt;0,MAX($H$106:$AQ$106)-SUM($F$113:F113),MAX(G55,0)*95%-G109)*(G4&lt;='Main_O+R_WTC'!$G$54)*(G$4&gt;('Main_O+R_WTC'!$G$24+3))</f>
        <v>0</v>
      </c>
      <c r="H113" s="5">
        <f ca="1">+IF(H35&gt;0,MAX($H$106:$AQ$106)-SUM($F$113:G113),MAX(H55,0)*95%-H109)*(H4&lt;='Main_O+R_WTC'!$G$54)*(H$4&gt;('Main_O+R_WTC'!$G$24+3))</f>
        <v>0</v>
      </c>
      <c r="I113" s="5">
        <f ca="1">+IF(I35&gt;0,MAX($H$106:$AQ$106)-SUM($F$113:H113),MAX(I55,0)*95%-I109)*(I4&lt;='Main_O+R_WTC'!$G$54)*(I$4&gt;('Main_O+R_WTC'!$G$24+3))</f>
        <v>0</v>
      </c>
      <c r="J113" s="5">
        <f ca="1">+IF(J35&gt;0,MAX($H$106:$AQ$106)-SUM($F$113:I113),MAX(J55,0)*95%-J109)*(J4&lt;='Main_O+R_WTC'!$G$54)*(J$4&gt;('Main_O+R_WTC'!$G$24+3))</f>
        <v>0</v>
      </c>
      <c r="K113" s="5">
        <f ca="1">+IF(K35&gt;0,MAX($H$106:$AQ$106)-SUM($F$113:J113),MAX(K55,0)*95%-K109)*(K4&lt;='Main_O+R_WTC'!$G$54)*(K$4&gt;('Main_O+R_WTC'!$G$24+3))</f>
        <v>0</v>
      </c>
      <c r="L113" s="5">
        <f ca="1">+IF(L35&gt;0,MAX($H$106:$AQ$106)-SUM($F$113:K113),MAX(L55,0)*95%-L109)*(L4&lt;='Main_O+R_WTC'!$G$54)*(L$4&gt;('Main_O+R_WTC'!$G$24+3))</f>
        <v>0</v>
      </c>
      <c r="M113" s="5">
        <f ca="1">+IF(M35&gt;0,MAX($H$106:$AQ$106)-SUM($F$113:L113),MAX(M55,0)*95%-M109)*(M4&lt;='Main_O+R_WTC'!$G$54)*(M$4&gt;('Main_O+R_WTC'!$G$24+3))</f>
        <v>0</v>
      </c>
      <c r="N113" s="5">
        <f ca="1">+IF(N35&gt;0,MAX($H$106:$AQ$106)-SUM($F$113:M113),MAX(N55,0)*95%-N109)*(N4&lt;='Main_O+R_WTC'!$G$54)*(N$4&gt;('Main_O+R_WTC'!$G$24+3))</f>
        <v>0</v>
      </c>
      <c r="O113" s="5">
        <f ca="1">+IF(O35&gt;0,MAX($H$106:$AQ$106)-SUM($F$113:N113),MAX(O55,0)*95%-O109)*(O4&lt;='Main_O+R_WTC'!$G$54)*(O$4&gt;('Main_O+R_WTC'!$G$24+3))</f>
        <v>0</v>
      </c>
      <c r="P113" s="5">
        <f ca="1">+IF(P35&gt;0,MAX($H$106:$AQ$106)-SUM($F$113:O113),MAX(P55,0)*95%-P109)*(P4&lt;='Main_O+R_WTC'!$G$54)*(P$4&gt;('Main_O+R_WTC'!$G$24+3))</f>
        <v>0</v>
      </c>
      <c r="Q113" s="5">
        <f ca="1">+IF(Q35&gt;0,MAX($H$106:$AQ$106)-SUM($F$113:P113),MAX(Q55,0)*95%-Q109)*(Q4&lt;='Main_O+R_WTC'!$G$54)*(Q$4&gt;('Main_O+R_WTC'!$G$24+3))</f>
        <v>0</v>
      </c>
      <c r="R113" s="5">
        <f ca="1">+IF(R35&gt;0,MAX($H$106:$AQ$106)-SUM($F$113:Q113),MAX(R55,0)*95%-R109)*(R4&lt;='Main_O+R_WTC'!$G$54)*(R$4&gt;('Main_O+R_WTC'!$G$24+3))</f>
        <v>0</v>
      </c>
      <c r="S113" s="5">
        <f ca="1">+IF(S35&gt;0,MAX($H$106:$AQ$106)-SUM($F$113:R113),MAX(S55,0)*95%-S109)*(S4&lt;='Main_O+R_WTC'!$G$54)*(S$4&gt;('Main_O+R_WTC'!$G$24+3))</f>
        <v>0</v>
      </c>
      <c r="T113" s="5">
        <f ca="1">+IF(T35&gt;0,MAX($H$106:$AQ$106)-SUM($F$113:S113),MAX(T55,0)*95%-T109)*(T4&lt;='Main_O+R_WTC'!$G$54)*(T$4&gt;('Main_O+R_WTC'!$G$24+3))</f>
        <v>0</v>
      </c>
      <c r="U113" s="5">
        <f ca="1">+IF(U35&gt;0,MAX($H$106:$AQ$106)-SUM($F$113:T113),MAX(U55,0)*95%-U109)*(U4&lt;='Main_O+R_WTC'!$G$54)*(U$4&gt;('Main_O+R_WTC'!$G$24+3))</f>
        <v>0</v>
      </c>
      <c r="V113" s="5">
        <f ca="1">+IF(V35&gt;0,MAX($H$106:$AQ$106)-SUM($F$113:U113),MAX(V55,0)*95%-V109)*(V4&lt;='Main_O+R_WTC'!$G$54)*(V$4&gt;('Main_O+R_WTC'!$G$24+3))</f>
        <v>0</v>
      </c>
      <c r="W113" s="5">
        <f ca="1">+IF(W35&gt;0,MAX($H$106:$AQ$106)-SUM($F$113:V113),MAX(W55,0)*95%-W109)*(W4&lt;='Main_O+R_WTC'!$G$54)*(W$4&gt;('Main_O+R_WTC'!$G$24+3))</f>
        <v>0</v>
      </c>
      <c r="X113" s="5">
        <f ca="1">+IF(X35&gt;0,MAX($H$106:$AQ$106)-SUM($F$113:W113),MAX(X55,0)*95%-X109)*(X4&lt;='Main_O+R_WTC'!$G$54)*(X$4&gt;('Main_O+R_WTC'!$G$24+3))</f>
        <v>0</v>
      </c>
      <c r="Y113" s="5">
        <f ca="1">+IF(Y35&gt;0,MAX($H$106:$AQ$106)-SUM($F$113:X113),MAX(Y55,0)*95%-Y109)*(Y4&lt;='Main_O+R_WTC'!$G$54)*(Y$4&gt;('Main_O+R_WTC'!$G$24+3))</f>
        <v>0</v>
      </c>
      <c r="Z113" s="5">
        <f ca="1">+IF(Z35&gt;0,MAX($H$106:$AQ$106)-SUM($F$113:Y113),MAX(Z55,0)*95%-Z109)*(Z4&lt;='Main_O+R_WTC'!$G$54)*(Z$4&gt;('Main_O+R_WTC'!$G$24+3))</f>
        <v>0</v>
      </c>
      <c r="AA113" s="5">
        <f ca="1">+IF(AA35&gt;0,MAX($H$106:$AQ$106)-SUM($F$113:Z113),MAX(AA55,0)*95%-AA109)*(AA4&lt;='Main_O+R_WTC'!$G$54)*(AA$4&gt;('Main_O+R_WTC'!$G$24+3))</f>
        <v>29.51718020373028</v>
      </c>
      <c r="AB113" s="5">
        <f ca="1">+IF(AB35&gt;0,MAX($H$106:$AQ$106)-SUM($F$113:AA113),MAX(AB55,0)*95%-AB109)*(AB4&lt;='Main_O+R_WTC'!$G$54)*(AB$4&gt;('Main_O+R_WTC'!$G$24+3))</f>
        <v>570.44928434493272</v>
      </c>
      <c r="AC113" s="5">
        <f ca="1">+IF(AC35&gt;0,MAX($H$106:$AQ$106)-SUM($F$113:AB113),MAX(AC55,0)*95%-AC109)*(AC4&lt;='Main_O+R_WTC'!$G$54)*(AC$4&gt;('Main_O+R_WTC'!$G$24+3))</f>
        <v>0</v>
      </c>
      <c r="AD113" s="5">
        <f ca="1">+IF(AD35&gt;0,MAX($H$106:$AQ$106)-SUM($F$113:AC113),MAX(AD55,0)*95%-AD109)*(AD4&lt;='Main_O+R_WTC'!$G$54)*(AD$4&gt;('Main_O+R_WTC'!$G$24+3))</f>
        <v>0</v>
      </c>
      <c r="AE113" s="5">
        <f ca="1">+IF(AE35&gt;0,MAX($H$106:$AQ$106)-SUM($F$113:AD113),MAX(AE55,0)*95%-AE109)*(AE4&lt;='Main_O+R_WTC'!$G$54)*(AE$4&gt;('Main_O+R_WTC'!$G$24+3))</f>
        <v>0</v>
      </c>
      <c r="AF113" s="5">
        <f ca="1">+IF(AF35&gt;0,MAX($H$106:$AQ$106)-SUM($F$113:AE113),MAX(AF55,0)*95%-AF109)*(AF4&lt;='Main_O+R_WTC'!$G$54)*(AF$4&gt;('Main_O+R_WTC'!$G$24+3))</f>
        <v>0</v>
      </c>
      <c r="AG113" s="5">
        <f ca="1">+IF(AG35&gt;0,MAX($H$106:$AQ$106)-SUM($F$113:AF113),MAX(AG55,0)*95%-AG109)*(AG4&lt;='Main_O+R_WTC'!$G$54)*(AG$4&gt;('Main_O+R_WTC'!$G$24+3))</f>
        <v>0</v>
      </c>
      <c r="AH113" s="5">
        <f ca="1">+IF(AH35&gt;0,MAX($H$106:$AQ$106)-SUM($F$113:AG113),MAX(AH55,0)*95%-AH109)*(AH4&lt;='Main_O+R_WTC'!$G$54)*(AH$4&gt;('Main_O+R_WTC'!$G$24+3))</f>
        <v>0</v>
      </c>
      <c r="AI113" s="5">
        <f ca="1">+IF(AI35&gt;0,MAX($H$106:$AQ$106)-SUM($F$113:AH113),MAX(AI55,0)*95%-AI109)*(AI4&lt;='Main_O+R_WTC'!$G$54)*(AI$4&gt;('Main_O+R_WTC'!$G$24+3))</f>
        <v>0</v>
      </c>
      <c r="AJ113" s="5">
        <f ca="1">+IF(AJ35&gt;0,MAX($H$106:$AQ$106)-SUM($F$113:AI113),MAX(AJ55,0)*95%-AJ109)*(AJ4&lt;='Main_O+R_WTC'!$G$54)*(AJ$4&gt;('Main_O+R_WTC'!$G$24+3))</f>
        <v>0</v>
      </c>
      <c r="AK113" s="5">
        <f ca="1">+IF(AK35&gt;0,MAX($H$106:$AQ$106)-SUM($F$113:AJ113),MAX(AK55,0)*95%-AK109)*(AK4&lt;='Main_O+R_WTC'!$G$54)*(AK$4&gt;('Main_O+R_WTC'!$G$24+3))</f>
        <v>0</v>
      </c>
      <c r="AL113" s="5">
        <f ca="1">+IF(AL35&gt;0,MAX($H$106:$AQ$106)-SUM($F$113:AK113),MAX(AL55,0)*95%-AL109)*(AL4&lt;='Main_O+R_WTC'!$G$54)*(AL$4&gt;('Main_O+R_WTC'!$G$24+3))</f>
        <v>0</v>
      </c>
      <c r="AM113" s="5">
        <f ca="1">+IF(AM35&gt;0,MAX($H$106:$AQ$106)-SUM($F$113:AL113),MAX(AM55,0)*95%-AM109)*(AM4&lt;='Main_O+R_WTC'!$G$54)*(AM$4&gt;('Main_O+R_WTC'!$G$24+3))</f>
        <v>0</v>
      </c>
      <c r="AN113" s="5">
        <f ca="1">+IF(AN35&gt;0,MAX($H$106:$AQ$106)-SUM($F$113:AM113),MAX(AN55,0)*95%-AN109)*(AN4&lt;='Main_O+R_WTC'!$G$54)*(AN$4&gt;('Main_O+R_WTC'!$G$24+3))</f>
        <v>0</v>
      </c>
      <c r="AO113" s="5">
        <f ca="1">+IF(AO35&gt;0,MAX($H$106:$AQ$106)-SUM($F$113:AN113),MAX(AO55,0)*95%-AO109)*(AO4&lt;='Main_O+R_WTC'!$G$54)*(AO$4&gt;('Main_O+R_WTC'!$G$24+3))</f>
        <v>0</v>
      </c>
      <c r="AP113" s="5">
        <f ca="1">+IF(AP35&gt;0,MAX($H$106:$AQ$106)-SUM($F$113:AO113),MAX(AP55,0)*95%-AP109)*(AP4&lt;='Main_O+R_WTC'!$G$54)*(AP$4&gt;('Main_O+R_WTC'!$G$24+3))</f>
        <v>0</v>
      </c>
      <c r="AQ113" s="5">
        <f ca="1">+IF(AQ35&gt;0,MAX($H$106:$AQ$106)-SUM($F$113:AP113),MAX(AQ55,0)*95%-AQ109)*(AQ4&lt;='Main_O+R_WTC'!$G$54)*(AQ$4&gt;('Main_O+R_WTC'!$G$24+3))</f>
        <v>0</v>
      </c>
    </row>
    <row r="114" spans="2:43">
      <c r="B114" s="5" t="s">
        <v>129</v>
      </c>
      <c r="G114" s="5">
        <f ca="1">+F114+G113</f>
        <v>0</v>
      </c>
      <c r="H114" s="5">
        <f ca="1">+G114+H113</f>
        <v>0</v>
      </c>
      <c r="I114" s="5">
        <f t="shared" ref="I114:AE114" ca="1" si="236">+H114+I113</f>
        <v>0</v>
      </c>
      <c r="J114" s="5">
        <f t="shared" ca="1" si="236"/>
        <v>0</v>
      </c>
      <c r="K114" s="5">
        <f t="shared" ca="1" si="236"/>
        <v>0</v>
      </c>
      <c r="L114" s="5">
        <f t="shared" ca="1" si="236"/>
        <v>0</v>
      </c>
      <c r="M114" s="5">
        <f t="shared" ca="1" si="236"/>
        <v>0</v>
      </c>
      <c r="N114" s="5">
        <f t="shared" ca="1" si="236"/>
        <v>0</v>
      </c>
      <c r="O114" s="5">
        <f t="shared" ca="1" si="236"/>
        <v>0</v>
      </c>
      <c r="P114" s="5">
        <f t="shared" ca="1" si="236"/>
        <v>0</v>
      </c>
      <c r="Q114" s="5">
        <f t="shared" ca="1" si="236"/>
        <v>0</v>
      </c>
      <c r="R114" s="5">
        <f t="shared" ca="1" si="236"/>
        <v>0</v>
      </c>
      <c r="S114" s="5">
        <f t="shared" ca="1" si="236"/>
        <v>0</v>
      </c>
      <c r="T114" s="5">
        <f t="shared" ca="1" si="236"/>
        <v>0</v>
      </c>
      <c r="U114" s="5">
        <f t="shared" ca="1" si="236"/>
        <v>0</v>
      </c>
      <c r="V114" s="5">
        <f t="shared" ca="1" si="236"/>
        <v>0</v>
      </c>
      <c r="W114" s="5">
        <f t="shared" ca="1" si="236"/>
        <v>0</v>
      </c>
      <c r="X114" s="5">
        <f t="shared" ca="1" si="236"/>
        <v>0</v>
      </c>
      <c r="Y114" s="5">
        <f t="shared" ca="1" si="236"/>
        <v>0</v>
      </c>
      <c r="Z114" s="5">
        <f t="shared" ca="1" si="236"/>
        <v>0</v>
      </c>
      <c r="AA114" s="5">
        <f t="shared" ca="1" si="236"/>
        <v>29.51718020373028</v>
      </c>
      <c r="AB114" s="5">
        <f ca="1">AA114+AB113</f>
        <v>599.966464548663</v>
      </c>
      <c r="AC114" s="5">
        <f t="shared" ca="1" si="236"/>
        <v>599.966464548663</v>
      </c>
      <c r="AD114" s="5">
        <f t="shared" ca="1" si="236"/>
        <v>599.966464548663</v>
      </c>
      <c r="AE114" s="5">
        <f t="shared" ca="1" si="236"/>
        <v>599.966464548663</v>
      </c>
      <c r="AF114" s="5">
        <f t="shared" ref="AF114" ca="1" si="237">+AE114+AF113</f>
        <v>599.966464548663</v>
      </c>
      <c r="AG114" s="5">
        <f t="shared" ref="AG114" ca="1" si="238">+AF114+AG113</f>
        <v>599.966464548663</v>
      </c>
      <c r="AH114" s="5">
        <f t="shared" ref="AH114" ca="1" si="239">+AG114+AH113</f>
        <v>599.966464548663</v>
      </c>
      <c r="AI114" s="5">
        <f t="shared" ref="AI114" ca="1" si="240">+AH114+AI113</f>
        <v>599.966464548663</v>
      </c>
      <c r="AJ114" s="5">
        <f t="shared" ref="AJ114" ca="1" si="241">+AI114+AJ113</f>
        <v>599.966464548663</v>
      </c>
      <c r="AK114" s="5">
        <f t="shared" ref="AK114" ca="1" si="242">+AJ114+AK113</f>
        <v>599.966464548663</v>
      </c>
      <c r="AL114" s="5">
        <f t="shared" ref="AL114" ca="1" si="243">+AK114+AL113</f>
        <v>599.966464548663</v>
      </c>
      <c r="AM114" s="5">
        <f t="shared" ref="AM114" ca="1" si="244">+AL114+AM113</f>
        <v>599.966464548663</v>
      </c>
      <c r="AN114" s="5">
        <f t="shared" ref="AN114" ca="1" si="245">+AM114+AN113</f>
        <v>599.966464548663</v>
      </c>
      <c r="AO114" s="5">
        <f t="shared" ref="AO114" ca="1" si="246">+AN114+AO113</f>
        <v>599.966464548663</v>
      </c>
      <c r="AP114" s="5">
        <f t="shared" ref="AP114" ca="1" si="247">+AO114+AP113</f>
        <v>599.966464548663</v>
      </c>
      <c r="AQ114" s="5">
        <f t="shared" ref="AQ114" ca="1" si="248">+AP114+AQ113</f>
        <v>599.966464548663</v>
      </c>
    </row>
    <row r="115" spans="2:43">
      <c r="B115" s="5" t="s">
        <v>130</v>
      </c>
      <c r="G115" s="5">
        <f ca="1">+MAX(IF((F114+G113)&gt;MAX($G$106:$AQ$106),MAX($G$106:$AQ$106)-F114,G113),0)</f>
        <v>0</v>
      </c>
      <c r="H115" s="5">
        <f ca="1">+MAX(IF((G114+H113)&gt;MAX($G$106:$AQ$106),MAX($G$106:$AQ$106)-G114,H113),0)</f>
        <v>0</v>
      </c>
      <c r="I115" s="5">
        <f ca="1">+MAX(IF((H114+I113)&gt;MAX($G$106:$AQ$106),MAX($G$106:$AQ$106)-H114,I113),0)</f>
        <v>0</v>
      </c>
      <c r="J115" s="5">
        <f t="shared" ref="J115:AQ115" ca="1" si="249">+MAX(IF((I114+J113)&gt;MAX($G$106:$AQ$106),MAX($G$106:$AQ$106)-I114,J113),0)</f>
        <v>0</v>
      </c>
      <c r="K115" s="5">
        <f t="shared" ca="1" si="249"/>
        <v>0</v>
      </c>
      <c r="L115" s="5">
        <f t="shared" ca="1" si="249"/>
        <v>0</v>
      </c>
      <c r="M115" s="5">
        <f t="shared" ca="1" si="249"/>
        <v>0</v>
      </c>
      <c r="N115" s="5">
        <f t="shared" ca="1" si="249"/>
        <v>0</v>
      </c>
      <c r="O115" s="5">
        <f t="shared" ca="1" si="249"/>
        <v>0</v>
      </c>
      <c r="P115" s="5">
        <f t="shared" ca="1" si="249"/>
        <v>0</v>
      </c>
      <c r="Q115" s="5">
        <f t="shared" ca="1" si="249"/>
        <v>0</v>
      </c>
      <c r="R115" s="5">
        <f t="shared" ca="1" si="249"/>
        <v>0</v>
      </c>
      <c r="S115" s="5">
        <f t="shared" ca="1" si="249"/>
        <v>0</v>
      </c>
      <c r="T115" s="5">
        <f t="shared" ca="1" si="249"/>
        <v>0</v>
      </c>
      <c r="U115" s="5">
        <f t="shared" ca="1" si="249"/>
        <v>0</v>
      </c>
      <c r="V115" s="5">
        <f t="shared" ca="1" si="249"/>
        <v>0</v>
      </c>
      <c r="W115" s="5">
        <f t="shared" ca="1" si="249"/>
        <v>0</v>
      </c>
      <c r="X115" s="5">
        <f t="shared" ca="1" si="249"/>
        <v>0</v>
      </c>
      <c r="Y115" s="5">
        <f t="shared" ca="1" si="249"/>
        <v>0</v>
      </c>
      <c r="Z115" s="5">
        <f t="shared" ca="1" si="249"/>
        <v>0</v>
      </c>
      <c r="AA115" s="5">
        <f t="shared" ca="1" si="249"/>
        <v>29.51718020373028</v>
      </c>
      <c r="AB115" s="5">
        <f t="shared" ca="1" si="249"/>
        <v>570.44928434493272</v>
      </c>
      <c r="AC115" s="5">
        <f t="shared" ca="1" si="249"/>
        <v>0</v>
      </c>
      <c r="AD115" s="5">
        <f t="shared" ca="1" si="249"/>
        <v>0</v>
      </c>
      <c r="AE115" s="5">
        <f t="shared" ca="1" si="249"/>
        <v>0</v>
      </c>
      <c r="AF115" s="5">
        <f t="shared" ca="1" si="249"/>
        <v>0</v>
      </c>
      <c r="AG115" s="5">
        <f t="shared" ca="1" si="249"/>
        <v>0</v>
      </c>
      <c r="AH115" s="5">
        <f t="shared" ca="1" si="249"/>
        <v>0</v>
      </c>
      <c r="AI115" s="5">
        <f t="shared" ca="1" si="249"/>
        <v>0</v>
      </c>
      <c r="AJ115" s="5">
        <f t="shared" ca="1" si="249"/>
        <v>0</v>
      </c>
      <c r="AK115" s="5">
        <f t="shared" ca="1" si="249"/>
        <v>0</v>
      </c>
      <c r="AL115" s="5">
        <f t="shared" ca="1" si="249"/>
        <v>0</v>
      </c>
      <c r="AM115" s="5">
        <f t="shared" ca="1" si="249"/>
        <v>0</v>
      </c>
      <c r="AN115" s="5">
        <f t="shared" ca="1" si="249"/>
        <v>0</v>
      </c>
      <c r="AO115" s="5">
        <f t="shared" ca="1" si="249"/>
        <v>0</v>
      </c>
      <c r="AP115" s="5">
        <f t="shared" ca="1" si="249"/>
        <v>0</v>
      </c>
      <c r="AQ115" s="5">
        <f t="shared" ca="1" si="249"/>
        <v>0</v>
      </c>
    </row>
  </sheetData>
  <conditionalFormatting sqref="H8:AQ8">
    <cfRule type="cellIs" dxfId="1" priority="1" operator="equal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O1:Y1 AB1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:AF9"/>
  <sheetViews>
    <sheetView showGridLines="0" zoomScale="85" zoomScaleNormal="85" workbookViewId="0">
      <selection activeCell="F8" sqref="F8"/>
    </sheetView>
  </sheetViews>
  <sheetFormatPr defaultColWidth="8.85546875" defaultRowHeight="17.25"/>
  <cols>
    <col min="1" max="1" width="8.42578125" style="20" bestFit="1" customWidth="1"/>
    <col min="2" max="2" width="8.85546875" style="20"/>
    <col min="3" max="5" width="11.140625" style="20" customWidth="1"/>
    <col min="6" max="32" width="11.7109375" style="20" customWidth="1"/>
    <col min="33" max="16384" width="8.85546875" style="20"/>
  </cols>
  <sheetData>
    <row r="3" spans="1:32">
      <c r="B3" s="20" t="s">
        <v>108</v>
      </c>
    </row>
    <row r="6" spans="1:32">
      <c r="B6" s="54"/>
      <c r="C6" s="54" t="s">
        <v>0</v>
      </c>
      <c r="D6" s="54" t="s">
        <v>109</v>
      </c>
      <c r="E6" s="54" t="s">
        <v>71</v>
      </c>
      <c r="F6" s="55">
        <f>+'Cost Schedule'!G3</f>
        <v>45199</v>
      </c>
      <c r="G6" s="55">
        <f>+EOMONTH(F6,3)</f>
        <v>45291</v>
      </c>
      <c r="H6" s="55">
        <f t="shared" ref="H6:AF6" si="0">+EOMONTH(G6,3)</f>
        <v>45382</v>
      </c>
      <c r="I6" s="55">
        <f t="shared" si="0"/>
        <v>45473</v>
      </c>
      <c r="J6" s="55">
        <f t="shared" si="0"/>
        <v>45565</v>
      </c>
      <c r="K6" s="55">
        <f t="shared" si="0"/>
        <v>45657</v>
      </c>
      <c r="L6" s="55">
        <f t="shared" si="0"/>
        <v>45747</v>
      </c>
      <c r="M6" s="55">
        <f t="shared" si="0"/>
        <v>45838</v>
      </c>
      <c r="N6" s="55">
        <f t="shared" si="0"/>
        <v>45930</v>
      </c>
      <c r="O6" s="55">
        <f t="shared" si="0"/>
        <v>46022</v>
      </c>
      <c r="P6" s="55">
        <f t="shared" si="0"/>
        <v>46112</v>
      </c>
      <c r="Q6" s="55">
        <f t="shared" si="0"/>
        <v>46203</v>
      </c>
      <c r="R6" s="55">
        <f t="shared" si="0"/>
        <v>46295</v>
      </c>
      <c r="S6" s="55">
        <f t="shared" si="0"/>
        <v>46387</v>
      </c>
      <c r="T6" s="55">
        <f t="shared" si="0"/>
        <v>46477</v>
      </c>
      <c r="U6" s="55">
        <f t="shared" si="0"/>
        <v>46568</v>
      </c>
      <c r="V6" s="55">
        <f t="shared" si="0"/>
        <v>46660</v>
      </c>
      <c r="W6" s="55">
        <f t="shared" si="0"/>
        <v>46752</v>
      </c>
      <c r="X6" s="55">
        <f t="shared" si="0"/>
        <v>46843</v>
      </c>
      <c r="Y6" s="55">
        <f t="shared" si="0"/>
        <v>46934</v>
      </c>
      <c r="Z6" s="55">
        <f t="shared" si="0"/>
        <v>47026</v>
      </c>
      <c r="AA6" s="55">
        <f t="shared" si="0"/>
        <v>47118</v>
      </c>
      <c r="AB6" s="55">
        <f t="shared" si="0"/>
        <v>47208</v>
      </c>
      <c r="AC6" s="55">
        <f t="shared" si="0"/>
        <v>47299</v>
      </c>
      <c r="AD6" s="55">
        <f t="shared" si="0"/>
        <v>47391</v>
      </c>
      <c r="AE6" s="55">
        <f t="shared" si="0"/>
        <v>47483</v>
      </c>
      <c r="AF6" s="55">
        <f t="shared" si="0"/>
        <v>47573</v>
      </c>
    </row>
    <row r="7" spans="1:32"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32">
      <c r="A8" s="20" t="b">
        <f>+E8=SUM(F8:Z8)</f>
        <v>1</v>
      </c>
      <c r="B8" s="56" t="s">
        <v>229</v>
      </c>
      <c r="C8" s="56">
        <f>+'Cost Schedule'!C41/100</f>
        <v>739.93845332746218</v>
      </c>
      <c r="D8" s="56">
        <f>+'Cost Schedule'!D41/100</f>
        <v>25.088412000000002</v>
      </c>
      <c r="E8" s="56">
        <f>+C8-D8</f>
        <v>714.85004132746224</v>
      </c>
      <c r="F8" s="56">
        <f>+SUMIF('Cost Schedule'!$3:$3,F$6,'Cost Schedule'!$41:$41)/100</f>
        <v>34.111786298301702</v>
      </c>
      <c r="G8" s="56">
        <f>+SUMIF('Cost Schedule'!$3:$3,G$6,'Cost Schedule'!$41:$41)/100</f>
        <v>37.784326894030144</v>
      </c>
      <c r="H8" s="56">
        <f>+SUMIF('Cost Schedule'!$3:$3,H$6,'Cost Schedule'!$41:$41)/100</f>
        <v>52.591324290601577</v>
      </c>
      <c r="I8" s="56">
        <f>+SUMIF('Cost Schedule'!$3:$3,I$6,'Cost Schedule'!$41:$41)/100</f>
        <v>40.959800016948222</v>
      </c>
      <c r="J8" s="56">
        <f>+SUMIF('Cost Schedule'!$3:$3,J$6,'Cost Schedule'!$41:$41)/100</f>
        <v>52.130920674598165</v>
      </c>
      <c r="K8" s="56">
        <f>+SUMIF('Cost Schedule'!$3:$3,K$6,'Cost Schedule'!$41:$41)/100</f>
        <v>55.046974883288961</v>
      </c>
      <c r="L8" s="56">
        <f>+SUMIF('Cost Schedule'!$3:$3,L$6,'Cost Schedule'!$41:$41)/100</f>
        <v>75.805916765821749</v>
      </c>
      <c r="M8" s="56">
        <f>+SUMIF('Cost Schedule'!$3:$3,M$6,'Cost Schedule'!$41:$41)/100</f>
        <v>63.528611411028145</v>
      </c>
      <c r="N8" s="56">
        <f>+SUMIF('Cost Schedule'!$3:$3,N$6,'Cost Schedule'!$41:$41)/100</f>
        <v>41.484325505038271</v>
      </c>
      <c r="O8" s="56">
        <f>+SUMIF('Cost Schedule'!$3:$3,O$6,'Cost Schedule'!$41:$41)/100</f>
        <v>42.845760159165799</v>
      </c>
      <c r="P8" s="56">
        <f>+SUMIF('Cost Schedule'!$3:$3,P$6,'Cost Schedule'!$41:$41)/100</f>
        <v>46.315787062670559</v>
      </c>
      <c r="Q8" s="56">
        <f>+SUMIF('Cost Schedule'!$3:$3,Q$6,'Cost Schedule'!$41:$41)/100</f>
        <v>59.444297370765817</v>
      </c>
      <c r="R8" s="56">
        <f>+SUMIF('Cost Schedule'!$3:$3,R$6,'Cost Schedule'!$41:$41)/100</f>
        <v>48.564744891964658</v>
      </c>
      <c r="S8" s="56">
        <f>+SUMIF('Cost Schedule'!$3:$3,S$6,'Cost Schedule'!$41:$41)/100</f>
        <v>39.74954403077183</v>
      </c>
      <c r="T8" s="56">
        <f>+SUMIF('Cost Schedule'!$3:$3,T$6,'Cost Schedule'!$41:$41)/100</f>
        <v>14.742230678310024</v>
      </c>
      <c r="U8" s="56">
        <f>+SUMIF('Cost Schedule'!$3:$3,U$6,'Cost Schedule'!$41:$41)/100</f>
        <v>9.7436903941565962</v>
      </c>
      <c r="V8" s="56">
        <f>+SUMIF('Cost Schedule'!$3:$3,V$6,'Cost Schedule'!$41:$41)/100</f>
        <v>0</v>
      </c>
      <c r="W8" s="56">
        <f>+SUMIF('Cost Schedule'!$3:$3,W$6,'Cost Schedule'!$41:$41)/100</f>
        <v>0</v>
      </c>
      <c r="X8" s="56">
        <f>+SUMIF('Cost Schedule'!$3:$3,X$6,'Cost Schedule'!$41:$41)/100</f>
        <v>0</v>
      </c>
      <c r="Y8" s="56">
        <f>+SUMIF('Cost Schedule'!$3:$3,Y$6,'Cost Schedule'!$41:$41)/100</f>
        <v>0</v>
      </c>
      <c r="Z8" s="56">
        <f>+SUMIF('Cost Schedule'!$3:$3,Z$6,'Cost Schedule'!$41:$41)/100</f>
        <v>0</v>
      </c>
      <c r="AA8" s="56">
        <f>+SUMIF('Cost Schedule'!$3:$3,AA$6,'Cost Schedule'!$41:$41)/100</f>
        <v>0</v>
      </c>
      <c r="AB8" s="56">
        <f>+SUMIF('Cost Schedule'!$3:$3,AB$6,'Cost Schedule'!$41:$41)/100</f>
        <v>0</v>
      </c>
      <c r="AC8" s="56">
        <f>+SUMIF('Cost Schedule'!$3:$3,AC$6,'Cost Schedule'!$41:$41)/100</f>
        <v>0</v>
      </c>
      <c r="AD8" s="56">
        <f>+SUMIF('Cost Schedule'!$3:$3,AD$6,'Cost Schedule'!$41:$41)/100</f>
        <v>0</v>
      </c>
      <c r="AE8" s="56">
        <f>+SUMIF('Cost Schedule'!$3:$3,AE$6,'Cost Schedule'!$41:$41)/100</f>
        <v>0</v>
      </c>
      <c r="AF8" s="56">
        <f>+SUMIF('Cost Schedule'!$3:$3,AF$6,'Cost Schedule'!$41:$41)/100</f>
        <v>0</v>
      </c>
    </row>
    <row r="9" spans="1:32">
      <c r="B9" s="20" t="s">
        <v>110</v>
      </c>
      <c r="F9" s="57">
        <f>+F8/SUM($F$8:$AF$8)</f>
        <v>4.7718800204525125E-2</v>
      </c>
      <c r="G9" s="57">
        <f t="shared" ref="G9:AF9" si="1">+G8/SUM($F$8:$AF$8)</f>
        <v>5.2856298117945684E-2</v>
      </c>
      <c r="H9" s="57">
        <f t="shared" si="1"/>
        <v>7.3569729663777492E-2</v>
      </c>
      <c r="I9" s="57">
        <f t="shared" si="1"/>
        <v>5.7298450932291599E-2</v>
      </c>
      <c r="J9" s="57">
        <f t="shared" si="1"/>
        <v>7.2925673443051189E-2</v>
      </c>
      <c r="K9" s="57">
        <f t="shared" si="1"/>
        <v>7.7004926489292524E-2</v>
      </c>
      <c r="L9" s="57">
        <f t="shared" si="1"/>
        <v>0.10604450217985813</v>
      </c>
      <c r="M9" s="57">
        <f t="shared" si="1"/>
        <v>8.8869843657079145E-2</v>
      </c>
      <c r="N9" s="57">
        <f t="shared" si="1"/>
        <v>5.8032206905944496E-2</v>
      </c>
      <c r="O9" s="57">
        <f t="shared" si="1"/>
        <v>5.9936710753491843E-2</v>
      </c>
      <c r="P9" s="57">
        <f t="shared" si="1"/>
        <v>6.4790913317516297E-2</v>
      </c>
      <c r="Q9" s="57">
        <f t="shared" si="1"/>
        <v>8.3156318016543634E-2</v>
      </c>
      <c r="R9" s="57">
        <f t="shared" si="1"/>
        <v>6.7936968712739937E-2</v>
      </c>
      <c r="S9" s="57">
        <f t="shared" si="1"/>
        <v>5.5605430136029248E-2</v>
      </c>
      <c r="T9" s="57">
        <f t="shared" si="1"/>
        <v>2.0622829720949577E-2</v>
      </c>
      <c r="U9" s="57">
        <f t="shared" si="1"/>
        <v>1.3630397748963904E-2</v>
      </c>
      <c r="V9" s="57">
        <f t="shared" si="1"/>
        <v>0</v>
      </c>
      <c r="W9" s="57">
        <f t="shared" si="1"/>
        <v>0</v>
      </c>
      <c r="X9" s="57">
        <f t="shared" si="1"/>
        <v>0</v>
      </c>
      <c r="Y9" s="57">
        <f t="shared" si="1"/>
        <v>0</v>
      </c>
      <c r="Z9" s="57">
        <f t="shared" si="1"/>
        <v>0</v>
      </c>
      <c r="AA9" s="57">
        <f t="shared" si="1"/>
        <v>0</v>
      </c>
      <c r="AB9" s="57">
        <f t="shared" si="1"/>
        <v>0</v>
      </c>
      <c r="AC9" s="57">
        <f t="shared" si="1"/>
        <v>0</v>
      </c>
      <c r="AD9" s="57">
        <f t="shared" si="1"/>
        <v>0</v>
      </c>
      <c r="AE9" s="57">
        <f t="shared" si="1"/>
        <v>0</v>
      </c>
      <c r="AF9" s="57">
        <f t="shared" si="1"/>
        <v>0</v>
      </c>
    </row>
  </sheetData>
  <phoneticPr fontId="9" type="noConversion"/>
  <conditionalFormatting sqref="F9:AF9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1"/>
  <sheetViews>
    <sheetView topLeftCell="A17" zoomScale="85" zoomScaleNormal="85" workbookViewId="0">
      <selection activeCell="D39" sqref="D39"/>
    </sheetView>
  </sheetViews>
  <sheetFormatPr defaultColWidth="8.85546875" defaultRowHeight="17.25"/>
  <cols>
    <col min="1" max="1" width="8.85546875" style="1"/>
    <col min="2" max="2" width="41.28515625" style="1" bestFit="1" customWidth="1"/>
    <col min="3" max="5" width="9.7109375" style="1" customWidth="1"/>
    <col min="6" max="6" width="8.85546875" style="1"/>
    <col min="7" max="63" width="12" style="1" customWidth="1"/>
    <col min="64" max="16384" width="8.85546875" style="1"/>
  </cols>
  <sheetData>
    <row r="1" spans="2:63">
      <c r="G1" s="81" t="s">
        <v>252</v>
      </c>
      <c r="H1" s="82"/>
      <c r="I1" s="83"/>
      <c r="J1" s="81" t="s">
        <v>253</v>
      </c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3"/>
    </row>
    <row r="2" spans="2:63">
      <c r="G2" s="79"/>
      <c r="H2" s="79"/>
      <c r="I2" s="79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</row>
    <row r="3" spans="2:63">
      <c r="G3" s="3">
        <f>+EOMONTH(G4,IF(MOD(MONTH(G4),3)=0,0,3-MOD(MONTH(G4),3)))</f>
        <v>45199</v>
      </c>
      <c r="H3" s="3">
        <f>+EOMONTH(H4,IF(MOD(MONTH(H4),3)=0,0,3-MOD(MONTH(H4),3)))</f>
        <v>45199</v>
      </c>
      <c r="I3" s="3">
        <f t="shared" ref="I3:BK3" si="0">+EOMONTH(I4,IF(MOD(MONTH(I4),3)=0,0,3-MOD(MONTH(I4),3)))</f>
        <v>45199</v>
      </c>
      <c r="J3" s="3">
        <f t="shared" si="0"/>
        <v>45291</v>
      </c>
      <c r="K3" s="3">
        <f t="shared" si="0"/>
        <v>45291</v>
      </c>
      <c r="L3" s="3">
        <f t="shared" si="0"/>
        <v>45291</v>
      </c>
      <c r="M3" s="3">
        <f t="shared" si="0"/>
        <v>45382</v>
      </c>
      <c r="N3" s="3">
        <f t="shared" si="0"/>
        <v>45382</v>
      </c>
      <c r="O3" s="3">
        <f t="shared" si="0"/>
        <v>45382</v>
      </c>
      <c r="P3" s="3">
        <f t="shared" si="0"/>
        <v>45473</v>
      </c>
      <c r="Q3" s="3">
        <f t="shared" si="0"/>
        <v>45473</v>
      </c>
      <c r="R3" s="3">
        <f t="shared" si="0"/>
        <v>45473</v>
      </c>
      <c r="S3" s="3">
        <f t="shared" si="0"/>
        <v>45565</v>
      </c>
      <c r="T3" s="3">
        <f t="shared" si="0"/>
        <v>45565</v>
      </c>
      <c r="U3" s="3">
        <f t="shared" si="0"/>
        <v>45565</v>
      </c>
      <c r="V3" s="3">
        <f t="shared" si="0"/>
        <v>45657</v>
      </c>
      <c r="W3" s="3">
        <f t="shared" si="0"/>
        <v>45657</v>
      </c>
      <c r="X3" s="3">
        <f t="shared" si="0"/>
        <v>45657</v>
      </c>
      <c r="Y3" s="3">
        <f t="shared" si="0"/>
        <v>45747</v>
      </c>
      <c r="Z3" s="3">
        <f t="shared" si="0"/>
        <v>45747</v>
      </c>
      <c r="AA3" s="3">
        <f t="shared" si="0"/>
        <v>45747</v>
      </c>
      <c r="AB3" s="3">
        <f t="shared" si="0"/>
        <v>45838</v>
      </c>
      <c r="AC3" s="3">
        <f t="shared" si="0"/>
        <v>45838</v>
      </c>
      <c r="AD3" s="3">
        <f t="shared" si="0"/>
        <v>45838</v>
      </c>
      <c r="AE3" s="3">
        <f t="shared" si="0"/>
        <v>45930</v>
      </c>
      <c r="AF3" s="3">
        <f t="shared" si="0"/>
        <v>45930</v>
      </c>
      <c r="AG3" s="3">
        <f t="shared" si="0"/>
        <v>45930</v>
      </c>
      <c r="AH3" s="3">
        <f t="shared" si="0"/>
        <v>46022</v>
      </c>
      <c r="AI3" s="3">
        <f t="shared" si="0"/>
        <v>46022</v>
      </c>
      <c r="AJ3" s="3">
        <f t="shared" si="0"/>
        <v>46022</v>
      </c>
      <c r="AK3" s="3">
        <f t="shared" si="0"/>
        <v>46112</v>
      </c>
      <c r="AL3" s="3">
        <f t="shared" si="0"/>
        <v>46112</v>
      </c>
      <c r="AM3" s="3">
        <f t="shared" si="0"/>
        <v>46112</v>
      </c>
      <c r="AN3" s="3">
        <f t="shared" si="0"/>
        <v>46203</v>
      </c>
      <c r="AO3" s="3">
        <f t="shared" si="0"/>
        <v>46203</v>
      </c>
      <c r="AP3" s="3">
        <f t="shared" si="0"/>
        <v>46203</v>
      </c>
      <c r="AQ3" s="3">
        <f t="shared" si="0"/>
        <v>46295</v>
      </c>
      <c r="AR3" s="3">
        <f t="shared" si="0"/>
        <v>46295</v>
      </c>
      <c r="AS3" s="3">
        <f t="shared" si="0"/>
        <v>46295</v>
      </c>
      <c r="AT3" s="3">
        <f t="shared" si="0"/>
        <v>46387</v>
      </c>
      <c r="AU3" s="3">
        <f t="shared" si="0"/>
        <v>46387</v>
      </c>
      <c r="AV3" s="3">
        <f t="shared" si="0"/>
        <v>46387</v>
      </c>
      <c r="AW3" s="3">
        <f t="shared" si="0"/>
        <v>46477</v>
      </c>
      <c r="AX3" s="3">
        <f t="shared" si="0"/>
        <v>46477</v>
      </c>
      <c r="AY3" s="3">
        <f t="shared" si="0"/>
        <v>46477</v>
      </c>
      <c r="AZ3" s="3">
        <f t="shared" si="0"/>
        <v>46568</v>
      </c>
      <c r="BA3" s="3">
        <f t="shared" si="0"/>
        <v>46568</v>
      </c>
      <c r="BB3" s="3">
        <f t="shared" si="0"/>
        <v>46568</v>
      </c>
      <c r="BC3" s="3">
        <f t="shared" si="0"/>
        <v>46660</v>
      </c>
      <c r="BD3" s="3">
        <f t="shared" si="0"/>
        <v>46660</v>
      </c>
      <c r="BE3" s="3">
        <f t="shared" si="0"/>
        <v>46660</v>
      </c>
      <c r="BF3" s="3">
        <f t="shared" si="0"/>
        <v>46752</v>
      </c>
      <c r="BG3" s="3">
        <f t="shared" si="0"/>
        <v>46752</v>
      </c>
      <c r="BH3" s="3">
        <f t="shared" si="0"/>
        <v>46752</v>
      </c>
      <c r="BI3" s="3">
        <f t="shared" si="0"/>
        <v>46843</v>
      </c>
      <c r="BJ3" s="3">
        <f t="shared" si="0"/>
        <v>46843</v>
      </c>
      <c r="BK3" s="3">
        <f t="shared" si="0"/>
        <v>46843</v>
      </c>
    </row>
    <row r="4" spans="2:63">
      <c r="B4" s="1" t="s">
        <v>201</v>
      </c>
      <c r="C4" s="1" t="s">
        <v>225</v>
      </c>
      <c r="D4" s="1" t="s">
        <v>109</v>
      </c>
      <c r="E4" s="1" t="s">
        <v>71</v>
      </c>
      <c r="G4" s="4">
        <v>45138</v>
      </c>
      <c r="H4" s="3">
        <f t="shared" ref="H4:AM4" si="1">+EOMONTH(G4,1)</f>
        <v>45169</v>
      </c>
      <c r="I4" s="3">
        <f t="shared" si="1"/>
        <v>45199</v>
      </c>
      <c r="J4" s="3">
        <f t="shared" si="1"/>
        <v>45230</v>
      </c>
      <c r="K4" s="3">
        <f t="shared" si="1"/>
        <v>45260</v>
      </c>
      <c r="L4" s="3">
        <f t="shared" si="1"/>
        <v>45291</v>
      </c>
      <c r="M4" s="3">
        <f t="shared" si="1"/>
        <v>45322</v>
      </c>
      <c r="N4" s="3">
        <f t="shared" si="1"/>
        <v>45351</v>
      </c>
      <c r="O4" s="3">
        <f t="shared" si="1"/>
        <v>45382</v>
      </c>
      <c r="P4" s="3">
        <f t="shared" si="1"/>
        <v>45412</v>
      </c>
      <c r="Q4" s="3">
        <f t="shared" si="1"/>
        <v>45443</v>
      </c>
      <c r="R4" s="3">
        <f t="shared" si="1"/>
        <v>45473</v>
      </c>
      <c r="S4" s="3">
        <f t="shared" si="1"/>
        <v>45504</v>
      </c>
      <c r="T4" s="3">
        <f t="shared" si="1"/>
        <v>45535</v>
      </c>
      <c r="U4" s="3">
        <f t="shared" si="1"/>
        <v>45565</v>
      </c>
      <c r="V4" s="3">
        <f t="shared" si="1"/>
        <v>45596</v>
      </c>
      <c r="W4" s="3">
        <f t="shared" si="1"/>
        <v>45626</v>
      </c>
      <c r="X4" s="3">
        <f t="shared" si="1"/>
        <v>45657</v>
      </c>
      <c r="Y4" s="3">
        <f t="shared" si="1"/>
        <v>45688</v>
      </c>
      <c r="Z4" s="3">
        <f t="shared" si="1"/>
        <v>45716</v>
      </c>
      <c r="AA4" s="3">
        <f t="shared" si="1"/>
        <v>45747</v>
      </c>
      <c r="AB4" s="3">
        <f t="shared" si="1"/>
        <v>45777</v>
      </c>
      <c r="AC4" s="3">
        <f t="shared" si="1"/>
        <v>45808</v>
      </c>
      <c r="AD4" s="3">
        <f t="shared" si="1"/>
        <v>45838</v>
      </c>
      <c r="AE4" s="3">
        <f t="shared" si="1"/>
        <v>45869</v>
      </c>
      <c r="AF4" s="3">
        <f t="shared" si="1"/>
        <v>45900</v>
      </c>
      <c r="AG4" s="3">
        <f t="shared" si="1"/>
        <v>45930</v>
      </c>
      <c r="AH4" s="3">
        <f t="shared" si="1"/>
        <v>45961</v>
      </c>
      <c r="AI4" s="3">
        <f t="shared" si="1"/>
        <v>45991</v>
      </c>
      <c r="AJ4" s="3">
        <f t="shared" si="1"/>
        <v>46022</v>
      </c>
      <c r="AK4" s="3">
        <f t="shared" si="1"/>
        <v>46053</v>
      </c>
      <c r="AL4" s="3">
        <f t="shared" si="1"/>
        <v>46081</v>
      </c>
      <c r="AM4" s="3">
        <f t="shared" si="1"/>
        <v>46112</v>
      </c>
      <c r="AN4" s="3">
        <f t="shared" ref="AN4:BK4" si="2">+EOMONTH(AM4,1)</f>
        <v>46142</v>
      </c>
      <c r="AO4" s="3">
        <f t="shared" si="2"/>
        <v>46173</v>
      </c>
      <c r="AP4" s="3">
        <f t="shared" si="2"/>
        <v>46203</v>
      </c>
      <c r="AQ4" s="3">
        <f t="shared" si="2"/>
        <v>46234</v>
      </c>
      <c r="AR4" s="3">
        <f t="shared" si="2"/>
        <v>46265</v>
      </c>
      <c r="AS4" s="3">
        <f t="shared" si="2"/>
        <v>46295</v>
      </c>
      <c r="AT4" s="3">
        <f t="shared" si="2"/>
        <v>46326</v>
      </c>
      <c r="AU4" s="3">
        <f t="shared" si="2"/>
        <v>46356</v>
      </c>
      <c r="AV4" s="3">
        <f t="shared" si="2"/>
        <v>46387</v>
      </c>
      <c r="AW4" s="3">
        <f t="shared" si="2"/>
        <v>46418</v>
      </c>
      <c r="AX4" s="3">
        <f t="shared" si="2"/>
        <v>46446</v>
      </c>
      <c r="AY4" s="3">
        <f t="shared" si="2"/>
        <v>46477</v>
      </c>
      <c r="AZ4" s="3">
        <f t="shared" si="2"/>
        <v>46507</v>
      </c>
      <c r="BA4" s="3">
        <f t="shared" si="2"/>
        <v>46538</v>
      </c>
      <c r="BB4" s="3">
        <f t="shared" si="2"/>
        <v>46568</v>
      </c>
      <c r="BC4" s="3">
        <f t="shared" si="2"/>
        <v>46599</v>
      </c>
      <c r="BD4" s="3">
        <f t="shared" si="2"/>
        <v>46630</v>
      </c>
      <c r="BE4" s="3">
        <f t="shared" si="2"/>
        <v>46660</v>
      </c>
      <c r="BF4" s="3">
        <f t="shared" si="2"/>
        <v>46691</v>
      </c>
      <c r="BG4" s="3">
        <f t="shared" si="2"/>
        <v>46721</v>
      </c>
      <c r="BH4" s="3">
        <f t="shared" si="2"/>
        <v>46752</v>
      </c>
      <c r="BI4" s="3">
        <f t="shared" si="2"/>
        <v>46783</v>
      </c>
      <c r="BJ4" s="3">
        <f t="shared" si="2"/>
        <v>46812</v>
      </c>
      <c r="BK4" s="3">
        <f t="shared" si="2"/>
        <v>46843</v>
      </c>
    </row>
    <row r="6" spans="2:63">
      <c r="B6" s="2" t="s">
        <v>224</v>
      </c>
      <c r="C6" s="1">
        <v>24007.321800000002</v>
      </c>
      <c r="D6" s="1">
        <v>829.0372000000001</v>
      </c>
      <c r="E6" s="1">
        <f>+C6-D6</f>
        <v>23178.284600000003</v>
      </c>
      <c r="G6" s="1">
        <v>0</v>
      </c>
      <c r="H6" s="1">
        <v>0</v>
      </c>
      <c r="I6" s="1">
        <v>1158.9142300000001</v>
      </c>
      <c r="J6" s="1">
        <v>1158.9142300000001</v>
      </c>
      <c r="K6" s="1">
        <v>927.13138400000014</v>
      </c>
      <c r="L6" s="1">
        <v>927.13138400000014</v>
      </c>
      <c r="M6" s="1">
        <v>927.13138400000014</v>
      </c>
      <c r="N6" s="1">
        <v>927.13138400000014</v>
      </c>
      <c r="O6" s="1">
        <v>1158.9142300000001</v>
      </c>
      <c r="P6" s="1">
        <v>1158.9142300000001</v>
      </c>
      <c r="Q6" s="1">
        <v>1158.9142300000001</v>
      </c>
      <c r="R6" s="1">
        <v>1158.9142300000001</v>
      </c>
      <c r="S6" s="1">
        <v>1158.9142300000001</v>
      </c>
      <c r="T6" s="1">
        <v>1158.9142300000001</v>
      </c>
      <c r="U6" s="1">
        <v>1158.9142300000001</v>
      </c>
      <c r="V6" s="1">
        <v>927.13138400000014</v>
      </c>
      <c r="W6" s="1">
        <v>927.13138400000014</v>
      </c>
      <c r="X6" s="1">
        <v>927.13138400000014</v>
      </c>
      <c r="Y6" s="1">
        <v>927.13138400000014</v>
      </c>
      <c r="Z6" s="1">
        <v>927.13138400000014</v>
      </c>
      <c r="AA6" s="1">
        <v>927.13138400000014</v>
      </c>
      <c r="AB6" s="1">
        <v>927.13138400000014</v>
      </c>
      <c r="AC6" s="1">
        <v>811.23996100000022</v>
      </c>
      <c r="AD6" s="1">
        <v>811.23996100000022</v>
      </c>
      <c r="AE6" s="1">
        <v>231.78284600000003</v>
      </c>
      <c r="AF6" s="1">
        <v>231.78284600000003</v>
      </c>
      <c r="AG6" s="1">
        <v>231.78284600000003</v>
      </c>
      <c r="AH6" s="1">
        <v>231.78284600000003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</row>
    <row r="7" spans="2:63">
      <c r="B7" s="2" t="s">
        <v>223</v>
      </c>
      <c r="C7" s="1">
        <v>9968.0027999999984</v>
      </c>
      <c r="D7" s="1">
        <v>0</v>
      </c>
      <c r="E7" s="1">
        <f t="shared" ref="E7:E20" si="3">+C7-D7</f>
        <v>9968.0027999999984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498.40013999999996</v>
      </c>
      <c r="W7" s="1">
        <v>0</v>
      </c>
      <c r="X7" s="1">
        <v>498.40013999999996</v>
      </c>
      <c r="Z7" s="1">
        <v>996.80027999999993</v>
      </c>
      <c r="AA7" s="1">
        <v>996.80027999999993</v>
      </c>
      <c r="AB7" s="1">
        <v>410.44717411764697</v>
      </c>
      <c r="AC7" s="1">
        <v>410.44717411764697</v>
      </c>
      <c r="AD7" s="1">
        <v>410.44717411764697</v>
      </c>
      <c r="AE7" s="1">
        <v>410.44717411764697</v>
      </c>
      <c r="AF7" s="1">
        <v>410.44717411764697</v>
      </c>
      <c r="AG7" s="1">
        <v>410.44717411764697</v>
      </c>
      <c r="AH7" s="1">
        <v>410.44717411764697</v>
      </c>
      <c r="AI7" s="1">
        <v>410.44717411764697</v>
      </c>
      <c r="AJ7" s="1">
        <v>410.44717411764697</v>
      </c>
      <c r="AK7" s="1">
        <v>410.44717411764697</v>
      </c>
      <c r="AL7" s="1">
        <v>410.44717411764697</v>
      </c>
      <c r="AM7" s="1">
        <v>410.44717411764697</v>
      </c>
      <c r="AN7" s="1">
        <v>410.44717411764697</v>
      </c>
      <c r="AO7" s="1">
        <v>410.44717411764697</v>
      </c>
      <c r="AP7" s="1">
        <v>410.44717411764697</v>
      </c>
      <c r="AQ7" s="1">
        <v>410.44717411764697</v>
      </c>
      <c r="AR7" s="1">
        <v>410.44717411764697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</row>
    <row r="8" spans="2:63">
      <c r="B8" s="2" t="s">
        <v>222</v>
      </c>
      <c r="C8" s="1">
        <v>2299.9970000000003</v>
      </c>
      <c r="D8" s="1">
        <v>0</v>
      </c>
      <c r="E8" s="1">
        <f t="shared" si="3"/>
        <v>2299.9970000000003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229.99970000000005</v>
      </c>
      <c r="Y8" s="1">
        <v>229.99970000000005</v>
      </c>
      <c r="Z8" s="1">
        <v>229.99970000000005</v>
      </c>
      <c r="AA8" s="1">
        <v>229.99970000000005</v>
      </c>
      <c r="AB8" s="1">
        <v>229.99970000000005</v>
      </c>
      <c r="AC8" s="1">
        <v>229.99970000000005</v>
      </c>
      <c r="AD8" s="1">
        <v>0</v>
      </c>
      <c r="AE8" s="1">
        <v>0</v>
      </c>
      <c r="AF8" s="1">
        <v>0</v>
      </c>
      <c r="AG8" s="1">
        <v>229.99970000000005</v>
      </c>
      <c r="AH8" s="1">
        <v>229.99970000000005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229.99970000000005</v>
      </c>
      <c r="AO8" s="1">
        <v>229.99970000000005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</row>
    <row r="9" spans="2:63">
      <c r="B9" s="2" t="s">
        <v>221</v>
      </c>
      <c r="C9" s="1">
        <v>5531.2972</v>
      </c>
      <c r="D9" s="1">
        <v>0</v>
      </c>
      <c r="E9" s="1">
        <f t="shared" si="3"/>
        <v>5531.2972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216.44206434782609</v>
      </c>
      <c r="Z9" s="1">
        <v>216.44206434782609</v>
      </c>
      <c r="AA9" s="1">
        <v>216.44206434782609</v>
      </c>
      <c r="AB9" s="1">
        <v>216.44206434782609</v>
      </c>
      <c r="AC9" s="1">
        <v>216.44206434782609</v>
      </c>
      <c r="AD9" s="1">
        <v>216.44206434782609</v>
      </c>
      <c r="AE9" s="1">
        <v>216.44206434782609</v>
      </c>
      <c r="AF9" s="1">
        <v>216.44206434782609</v>
      </c>
      <c r="AG9" s="1">
        <v>216.44206434782609</v>
      </c>
      <c r="AH9" s="1">
        <v>216.44206434782609</v>
      </c>
      <c r="AI9" s="1">
        <v>216.44206434782609</v>
      </c>
      <c r="AJ9" s="1">
        <v>216.44206434782609</v>
      </c>
      <c r="AK9" s="1">
        <v>216.44206434782609</v>
      </c>
      <c r="AL9" s="1">
        <v>216.44206434782609</v>
      </c>
      <c r="AM9" s="1">
        <v>216.44206434782609</v>
      </c>
      <c r="AN9" s="1">
        <v>216.44206434782609</v>
      </c>
      <c r="AO9" s="1">
        <v>216.44206434782609</v>
      </c>
      <c r="AP9" s="1">
        <v>216.44206434782609</v>
      </c>
      <c r="AQ9" s="1">
        <v>216.44206434782609</v>
      </c>
      <c r="AR9" s="1">
        <v>216.44206434782609</v>
      </c>
      <c r="AS9" s="1">
        <v>216.44206434782609</v>
      </c>
      <c r="AT9" s="1">
        <v>216.44206434782609</v>
      </c>
      <c r="AU9" s="1">
        <v>216.44206434782609</v>
      </c>
      <c r="AV9" s="1">
        <v>276.56486000000001</v>
      </c>
      <c r="AW9" s="1">
        <v>276.56486000000001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</row>
    <row r="10" spans="2:63">
      <c r="B10" s="2" t="s">
        <v>244</v>
      </c>
      <c r="C10" s="1">
        <v>1643.74</v>
      </c>
      <c r="D10" s="1">
        <v>0</v>
      </c>
      <c r="E10" s="1">
        <f t="shared" si="3"/>
        <v>1643.74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147.93660000000003</v>
      </c>
      <c r="U10" s="1">
        <v>49.312199999999997</v>
      </c>
      <c r="V10" s="1">
        <v>49.312199999999997</v>
      </c>
      <c r="W10" s="1">
        <v>49.312199999999997</v>
      </c>
      <c r="X10" s="1">
        <v>49.312199999999997</v>
      </c>
      <c r="Y10" s="1">
        <v>49.312199999999997</v>
      </c>
      <c r="Z10" s="1">
        <v>49.312199999999997</v>
      </c>
      <c r="AA10" s="1">
        <v>49.312199999999997</v>
      </c>
      <c r="AB10" s="1">
        <v>49.312199999999997</v>
      </c>
      <c r="AC10" s="1">
        <v>49.312199999999997</v>
      </c>
      <c r="AD10" s="1">
        <v>49.312199999999997</v>
      </c>
      <c r="AE10" s="1">
        <v>49.312199999999997</v>
      </c>
      <c r="AF10" s="1">
        <v>49.312199999999997</v>
      </c>
      <c r="AG10" s="1">
        <v>49.312199999999997</v>
      </c>
      <c r="AH10" s="1">
        <v>49.312199999999997</v>
      </c>
      <c r="AI10" s="1">
        <v>49.312199999999997</v>
      </c>
      <c r="AJ10" s="1">
        <v>63.010033333333332</v>
      </c>
      <c r="AK10" s="1">
        <v>63.010033333333332</v>
      </c>
      <c r="AL10" s="1">
        <v>63.010033333333332</v>
      </c>
      <c r="AM10" s="1">
        <v>63.010033333333332</v>
      </c>
      <c r="AN10" s="1">
        <v>63.010033333333332</v>
      </c>
      <c r="AO10" s="1">
        <v>63.010033333333332</v>
      </c>
      <c r="AP10" s="1">
        <v>63.010033333333332</v>
      </c>
      <c r="AQ10" s="1">
        <v>63.010033333333332</v>
      </c>
      <c r="AR10" s="1">
        <v>63.010033333333332</v>
      </c>
      <c r="AS10" s="1">
        <v>63.010033333333332</v>
      </c>
      <c r="AT10" s="1">
        <v>63.010033333333332</v>
      </c>
      <c r="AU10" s="1">
        <v>63.010033333333332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</row>
    <row r="11" spans="2:63">
      <c r="B11" s="2" t="s">
        <v>245</v>
      </c>
      <c r="C11" s="1">
        <v>1109.2</v>
      </c>
      <c r="D11" s="1">
        <v>0</v>
      </c>
      <c r="E11" s="1">
        <f t="shared" si="3"/>
        <v>1109.2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77.643999999999991</v>
      </c>
      <c r="U11" s="1">
        <v>25.881333333333334</v>
      </c>
      <c r="V11" s="1">
        <v>25.881333333333334</v>
      </c>
      <c r="W11" s="1">
        <v>25.881333333333334</v>
      </c>
      <c r="X11" s="1">
        <v>25.881333333333334</v>
      </c>
      <c r="Y11" s="1">
        <v>25.881333333333334</v>
      </c>
      <c r="Z11" s="1">
        <v>25.881333333333334</v>
      </c>
      <c r="AA11" s="1">
        <v>25.881333333333334</v>
      </c>
      <c r="AB11" s="1">
        <v>25.881333333333334</v>
      </c>
      <c r="AC11" s="1">
        <v>25.881333333333334</v>
      </c>
      <c r="AD11" s="1">
        <v>25.881333333333334</v>
      </c>
      <c r="AE11" s="1">
        <v>25.881333333333334</v>
      </c>
      <c r="AF11" s="1">
        <v>25.881333333333334</v>
      </c>
      <c r="AG11" s="1">
        <v>25.881333333333334</v>
      </c>
      <c r="AH11" s="1">
        <v>25.881333333333334</v>
      </c>
      <c r="AI11" s="1">
        <v>25.881333333333334</v>
      </c>
      <c r="AJ11" s="1">
        <v>53.611333333333334</v>
      </c>
      <c r="AK11" s="1">
        <v>53.611333333333334</v>
      </c>
      <c r="AL11" s="1">
        <v>53.611333333333334</v>
      </c>
      <c r="AM11" s="1">
        <v>53.611333333333334</v>
      </c>
      <c r="AN11" s="1">
        <v>53.611333333333334</v>
      </c>
      <c r="AO11" s="1">
        <v>53.611333333333334</v>
      </c>
      <c r="AP11" s="1">
        <v>53.611333333333334</v>
      </c>
      <c r="AQ11" s="1">
        <v>53.611333333333334</v>
      </c>
      <c r="AR11" s="1">
        <v>53.611333333333334</v>
      </c>
      <c r="AS11" s="1">
        <v>53.611333333333334</v>
      </c>
      <c r="AT11" s="1">
        <v>53.611333333333334</v>
      </c>
      <c r="AU11" s="1">
        <v>53.611333333333334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</row>
    <row r="12" spans="2:63">
      <c r="B12" s="2" t="s">
        <v>246</v>
      </c>
      <c r="C12" s="1">
        <v>3597.9143999999997</v>
      </c>
      <c r="D12" s="1">
        <v>0</v>
      </c>
      <c r="E12" s="1">
        <f t="shared" si="3"/>
        <v>3597.9143999999997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205.08112079999995</v>
      </c>
      <c r="U12" s="1">
        <v>68.360373599999988</v>
      </c>
      <c r="V12" s="1">
        <v>68.360373599999988</v>
      </c>
      <c r="W12" s="1">
        <v>68.360373599999988</v>
      </c>
      <c r="X12" s="1">
        <v>68.360373599999988</v>
      </c>
      <c r="Y12" s="1">
        <v>68.360373599999988</v>
      </c>
      <c r="Z12" s="1">
        <v>68.360373599999988</v>
      </c>
      <c r="AA12" s="1">
        <v>68.360373599999988</v>
      </c>
      <c r="AB12" s="1">
        <v>68.360373599999988</v>
      </c>
      <c r="AC12" s="1">
        <v>68.360373599999988</v>
      </c>
      <c r="AD12" s="1">
        <v>68.360373599999988</v>
      </c>
      <c r="AE12" s="1">
        <v>68.360373599999988</v>
      </c>
      <c r="AF12" s="1">
        <v>68.360373599999988</v>
      </c>
      <c r="AG12" s="1">
        <v>68.360373599999988</v>
      </c>
      <c r="AH12" s="1">
        <v>68.360373599999988</v>
      </c>
      <c r="AI12" s="1">
        <v>68.360373599999988</v>
      </c>
      <c r="AJ12" s="1">
        <v>197.28563959999997</v>
      </c>
      <c r="AK12" s="1">
        <v>197.28563959999997</v>
      </c>
      <c r="AL12" s="1">
        <v>197.28563959999997</v>
      </c>
      <c r="AM12" s="1">
        <v>197.28563959999997</v>
      </c>
      <c r="AN12" s="1">
        <v>197.28563959999997</v>
      </c>
      <c r="AO12" s="1">
        <v>197.28563959999997</v>
      </c>
      <c r="AP12" s="1">
        <v>197.28563959999997</v>
      </c>
      <c r="AQ12" s="1">
        <v>197.28563959999997</v>
      </c>
      <c r="AR12" s="1">
        <v>197.28563959999997</v>
      </c>
      <c r="AS12" s="1">
        <v>197.28563959999997</v>
      </c>
      <c r="AT12" s="1">
        <v>197.28563959999997</v>
      </c>
      <c r="AU12" s="1">
        <v>197.28563959999997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</row>
    <row r="13" spans="2:63">
      <c r="B13" s="2" t="s">
        <v>247</v>
      </c>
      <c r="C13" s="1">
        <v>1043.002</v>
      </c>
      <c r="D13" s="1">
        <v>0</v>
      </c>
      <c r="E13" s="1">
        <f t="shared" si="3"/>
        <v>1043.002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104.3002</v>
      </c>
      <c r="AL13" s="1">
        <v>0</v>
      </c>
      <c r="AM13" s="1">
        <v>0</v>
      </c>
      <c r="AN13" s="1">
        <v>0</v>
      </c>
      <c r="AO13" s="1">
        <v>0</v>
      </c>
      <c r="AP13" s="1">
        <v>834.40160000000003</v>
      </c>
      <c r="AQ13" s="1">
        <v>0</v>
      </c>
      <c r="AR13" s="1">
        <v>0</v>
      </c>
      <c r="AS13" s="1">
        <v>0</v>
      </c>
      <c r="AT13" s="1">
        <v>0</v>
      </c>
      <c r="AU13" s="1">
        <v>104.3002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</row>
    <row r="14" spans="2:63">
      <c r="B14" s="2" t="s">
        <v>248</v>
      </c>
      <c r="C14" s="1">
        <v>3431.9946</v>
      </c>
      <c r="D14" s="1">
        <v>0</v>
      </c>
      <c r="E14" s="1">
        <f t="shared" si="3"/>
        <v>3431.9946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154.43975700000001</v>
      </c>
      <c r="U14" s="1">
        <v>51.479919000000002</v>
      </c>
      <c r="V14" s="1">
        <v>51.479919000000002</v>
      </c>
      <c r="W14" s="1">
        <v>51.479919000000002</v>
      </c>
      <c r="X14" s="1">
        <v>51.479919000000002</v>
      </c>
      <c r="Y14" s="1">
        <v>51.479919000000002</v>
      </c>
      <c r="Z14" s="1">
        <v>51.479919000000002</v>
      </c>
      <c r="AA14" s="1">
        <v>51.479919000000002</v>
      </c>
      <c r="AB14" s="1">
        <v>51.479919000000002</v>
      </c>
      <c r="AC14" s="1">
        <v>51.479919000000002</v>
      </c>
      <c r="AD14" s="1">
        <v>51.479919000000002</v>
      </c>
      <c r="AE14" s="1">
        <v>51.479919000000002</v>
      </c>
      <c r="AF14" s="1">
        <v>51.479919000000002</v>
      </c>
      <c r="AG14" s="1">
        <v>51.479919000000002</v>
      </c>
      <c r="AH14" s="1">
        <v>51.479919000000002</v>
      </c>
      <c r="AI14" s="1">
        <v>51.479919000000002</v>
      </c>
      <c r="AJ14" s="1">
        <v>208.77967150000001</v>
      </c>
      <c r="AK14" s="1">
        <v>208.77967150000001</v>
      </c>
      <c r="AL14" s="1">
        <v>208.77967150000001</v>
      </c>
      <c r="AM14" s="1">
        <v>208.77967150000001</v>
      </c>
      <c r="AN14" s="1">
        <v>208.77967150000001</v>
      </c>
      <c r="AO14" s="1">
        <v>208.77967150000001</v>
      </c>
      <c r="AP14" s="1">
        <v>208.77967150000001</v>
      </c>
      <c r="AQ14" s="1">
        <v>208.77967150000001</v>
      </c>
      <c r="AR14" s="1">
        <v>208.77967150000001</v>
      </c>
      <c r="AS14" s="1">
        <v>208.77967150000001</v>
      </c>
      <c r="AT14" s="1">
        <v>208.77967150000001</v>
      </c>
      <c r="AU14" s="1">
        <v>208.77967150000001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</row>
    <row r="15" spans="2:63">
      <c r="B15" s="2" t="s">
        <v>249</v>
      </c>
      <c r="C15" s="1">
        <v>569.99900000000002</v>
      </c>
      <c r="D15" s="1">
        <v>0</v>
      </c>
      <c r="E15" s="1">
        <f t="shared" si="3"/>
        <v>569.99900000000002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56.999900000000004</v>
      </c>
      <c r="AQ15" s="1">
        <v>102.59981999999999</v>
      </c>
      <c r="AR15" s="1">
        <v>102.59981999999999</v>
      </c>
      <c r="AS15" s="1">
        <v>102.59981999999999</v>
      </c>
      <c r="AT15" s="1">
        <v>102.59981999999999</v>
      </c>
      <c r="AU15" s="1">
        <v>102.59981999999999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</row>
    <row r="16" spans="2:63">
      <c r="B16" s="2" t="s">
        <v>250</v>
      </c>
      <c r="C16" s="1">
        <v>147.5</v>
      </c>
      <c r="D16" s="1">
        <v>0</v>
      </c>
      <c r="E16" s="1">
        <f t="shared" si="3"/>
        <v>147.5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Q16" s="1">
        <v>14.75</v>
      </c>
      <c r="AR16" s="1">
        <v>26.55</v>
      </c>
      <c r="AS16" s="1">
        <v>26.55</v>
      </c>
      <c r="AT16" s="1">
        <v>26.55</v>
      </c>
      <c r="AU16" s="1">
        <v>26.55</v>
      </c>
      <c r="AV16" s="1">
        <v>26.55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</row>
    <row r="17" spans="2:63">
      <c r="B17" s="2" t="s">
        <v>251</v>
      </c>
      <c r="C17" s="1">
        <v>623.59460000000001</v>
      </c>
      <c r="D17" s="1">
        <v>0</v>
      </c>
      <c r="E17" s="1">
        <f t="shared" si="3"/>
        <v>623.59460000000001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28.061757000000004</v>
      </c>
      <c r="U17" s="1">
        <v>9.3539190000000012</v>
      </c>
      <c r="V17" s="1">
        <v>9.3539190000000012</v>
      </c>
      <c r="W17" s="1">
        <v>9.3539190000000012</v>
      </c>
      <c r="X17" s="1">
        <v>9.3539190000000012</v>
      </c>
      <c r="Y17" s="1">
        <v>9.3539190000000012</v>
      </c>
      <c r="Z17" s="1">
        <v>9.3539190000000012</v>
      </c>
      <c r="AA17" s="1">
        <v>9.3539190000000012</v>
      </c>
      <c r="AB17" s="1">
        <v>9.3539190000000012</v>
      </c>
      <c r="AC17" s="1">
        <v>9.3539190000000012</v>
      </c>
      <c r="AD17" s="1">
        <v>9.3539190000000012</v>
      </c>
      <c r="AE17" s="1">
        <v>9.3539190000000012</v>
      </c>
      <c r="AF17" s="1">
        <v>9.3539190000000012</v>
      </c>
      <c r="AG17" s="1">
        <v>9.3539190000000012</v>
      </c>
      <c r="AH17" s="1">
        <v>9.3539190000000012</v>
      </c>
      <c r="AI17" s="1">
        <v>9.3539190000000012</v>
      </c>
      <c r="AJ17" s="1">
        <v>37.935338166666668</v>
      </c>
      <c r="AK17" s="1">
        <v>37.935338166666668</v>
      </c>
      <c r="AL17" s="1">
        <v>37.935338166666668</v>
      </c>
      <c r="AM17" s="1">
        <v>37.935338166666668</v>
      </c>
      <c r="AN17" s="1">
        <v>37.935338166666668</v>
      </c>
      <c r="AO17" s="1">
        <v>37.935338166666668</v>
      </c>
      <c r="AP17" s="1">
        <v>37.935338166666668</v>
      </c>
      <c r="AQ17" s="1">
        <v>37.935338166666668</v>
      </c>
      <c r="AR17" s="1">
        <v>37.935338166666668</v>
      </c>
      <c r="AS17" s="1">
        <v>37.935338166666668</v>
      </c>
      <c r="AT17" s="1">
        <v>37.935338166666668</v>
      </c>
      <c r="AU17" s="1">
        <v>37.935338166666668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</row>
    <row r="18" spans="2:63">
      <c r="B18" s="2" t="s">
        <v>220</v>
      </c>
      <c r="C18" s="1">
        <v>1239.5043999999998</v>
      </c>
      <c r="D18" s="1">
        <v>85.37</v>
      </c>
      <c r="E18" s="1">
        <f t="shared" si="3"/>
        <v>1154.1343999999999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115.41343999999999</v>
      </c>
      <c r="AJ18" s="1">
        <v>86.560079999999985</v>
      </c>
      <c r="AK18" s="1">
        <v>86.560079999999985</v>
      </c>
      <c r="AL18" s="1">
        <v>86.560079999999985</v>
      </c>
      <c r="AM18" s="1">
        <v>86.560079999999985</v>
      </c>
      <c r="AN18" s="1">
        <v>86.560079999999985</v>
      </c>
      <c r="AO18" s="1">
        <v>86.560079999999985</v>
      </c>
      <c r="AP18" s="1">
        <v>86.560079999999985</v>
      </c>
      <c r="AQ18" s="1">
        <v>86.560079999999985</v>
      </c>
      <c r="AR18" s="1">
        <v>86.560079999999985</v>
      </c>
      <c r="AS18" s="1">
        <v>86.560079999999985</v>
      </c>
      <c r="AT18" s="1">
        <v>86.560079999999985</v>
      </c>
      <c r="AU18" s="1">
        <v>86.560079999999985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</row>
    <row r="19" spans="2:63">
      <c r="B19" s="2" t="s">
        <v>219</v>
      </c>
      <c r="C19" s="1">
        <v>2296.0439999999999</v>
      </c>
      <c r="D19" s="1">
        <v>0</v>
      </c>
      <c r="E19" s="1">
        <f t="shared" si="3"/>
        <v>2296.0439999999999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229.6044</v>
      </c>
      <c r="AT19" s="1">
        <v>229.6044</v>
      </c>
      <c r="AU19" s="1">
        <v>229.6044</v>
      </c>
      <c r="AV19" s="1">
        <v>229.6044</v>
      </c>
      <c r="AW19" s="1">
        <v>229.6044</v>
      </c>
      <c r="AX19" s="1">
        <v>229.6044</v>
      </c>
      <c r="AY19" s="1">
        <v>229.6044</v>
      </c>
      <c r="AZ19" s="1">
        <v>229.6044</v>
      </c>
      <c r="BA19" s="1">
        <v>229.6044</v>
      </c>
      <c r="BB19" s="1">
        <v>229.6044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</row>
    <row r="20" spans="2:63">
      <c r="B20" s="2" t="s">
        <v>218</v>
      </c>
      <c r="C20" s="1">
        <v>600.07719999999995</v>
      </c>
      <c r="D20" s="1">
        <v>0</v>
      </c>
      <c r="E20" s="1">
        <f t="shared" si="3"/>
        <v>600.07719999999995</v>
      </c>
      <c r="G20" s="1">
        <v>10</v>
      </c>
      <c r="H20" s="1">
        <v>13.722725581395348</v>
      </c>
      <c r="I20" s="1">
        <v>13.722725581395348</v>
      </c>
      <c r="J20" s="1">
        <v>13.722725581395348</v>
      </c>
      <c r="K20" s="1">
        <v>13.722725581395348</v>
      </c>
      <c r="L20" s="1">
        <v>13.722725581395348</v>
      </c>
      <c r="M20" s="1">
        <v>13.722725581395348</v>
      </c>
      <c r="N20" s="1">
        <v>13.722725581395348</v>
      </c>
      <c r="O20" s="1">
        <v>13.722725581395348</v>
      </c>
      <c r="P20" s="1">
        <v>13.722725581395348</v>
      </c>
      <c r="Q20" s="1">
        <v>13.722725581395348</v>
      </c>
      <c r="R20" s="1">
        <v>13.722725581395348</v>
      </c>
      <c r="S20" s="1">
        <v>13.722725581395348</v>
      </c>
      <c r="T20" s="1">
        <v>13.722725581395348</v>
      </c>
      <c r="U20" s="1">
        <v>13.722725581395348</v>
      </c>
      <c r="V20" s="1">
        <v>13.722725581395348</v>
      </c>
      <c r="W20" s="1">
        <v>13.722725581395348</v>
      </c>
      <c r="X20" s="1">
        <v>13.722725581395348</v>
      </c>
      <c r="Y20" s="1">
        <v>13.722725581395348</v>
      </c>
      <c r="Z20" s="1">
        <v>13.722725581395348</v>
      </c>
      <c r="AA20" s="1">
        <v>13.722725581395348</v>
      </c>
      <c r="AB20" s="1">
        <v>13.722725581395348</v>
      </c>
      <c r="AC20" s="1">
        <v>13.722725581395348</v>
      </c>
      <c r="AD20" s="1">
        <v>13.722725581395348</v>
      </c>
      <c r="AE20" s="1">
        <v>13.722725581395348</v>
      </c>
      <c r="AF20" s="1">
        <v>13.722725581395348</v>
      </c>
      <c r="AG20" s="1">
        <v>13.722725581395348</v>
      </c>
      <c r="AH20" s="1">
        <v>13.722725581395348</v>
      </c>
      <c r="AI20" s="1">
        <v>13.722725581395348</v>
      </c>
      <c r="AJ20" s="1">
        <v>13.722725581395348</v>
      </c>
      <c r="AK20" s="1">
        <v>13.722725581395348</v>
      </c>
      <c r="AL20" s="1">
        <v>13.722725581395348</v>
      </c>
      <c r="AM20" s="1">
        <v>13.722725581395348</v>
      </c>
      <c r="AN20" s="1">
        <v>13.722725581395348</v>
      </c>
      <c r="AO20" s="1">
        <v>13.722725581395348</v>
      </c>
      <c r="AP20" s="1">
        <v>13.722725581395348</v>
      </c>
      <c r="AQ20" s="1">
        <v>13.722725581395348</v>
      </c>
      <c r="AR20" s="1">
        <v>13.722725581395348</v>
      </c>
      <c r="AS20" s="1">
        <v>13.722725581395348</v>
      </c>
      <c r="AT20" s="1">
        <v>13.722725581395348</v>
      </c>
      <c r="AU20" s="1">
        <v>13.722725581395348</v>
      </c>
      <c r="AV20" s="1">
        <v>13.722725581395348</v>
      </c>
      <c r="AW20" s="1">
        <v>13.722725581395348</v>
      </c>
      <c r="AX20" s="1">
        <v>13.722725581395348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</row>
    <row r="21" spans="2:63">
      <c r="B21" s="1" t="s">
        <v>217</v>
      </c>
      <c r="C21" s="1">
        <f>SUM(C6:C20)</f>
        <v>58109.188999999998</v>
      </c>
      <c r="D21" s="1">
        <f>SUM(D6:D20)</f>
        <v>914.4072000000001</v>
      </c>
      <c r="E21" s="1">
        <f>SUM(E6:E20)</f>
        <v>57194.781800000004</v>
      </c>
      <c r="G21" s="1">
        <f t="shared" ref="G21:BK21" si="4">SUM(G6:G20)</f>
        <v>10</v>
      </c>
      <c r="H21" s="1">
        <f t="shared" si="4"/>
        <v>13.722725581395348</v>
      </c>
      <c r="I21" s="1">
        <f t="shared" si="4"/>
        <v>1172.6369555813953</v>
      </c>
      <c r="J21" s="1">
        <f t="shared" si="4"/>
        <v>1172.6369555813953</v>
      </c>
      <c r="K21" s="1">
        <f t="shared" si="4"/>
        <v>940.85410958139551</v>
      </c>
      <c r="L21" s="1">
        <f t="shared" si="4"/>
        <v>940.85410958139551</v>
      </c>
      <c r="M21" s="1">
        <f t="shared" si="4"/>
        <v>940.85410958139551</v>
      </c>
      <c r="N21" s="1">
        <f t="shared" si="4"/>
        <v>940.85410958139551</v>
      </c>
      <c r="O21" s="1">
        <f t="shared" si="4"/>
        <v>1172.6369555813953</v>
      </c>
      <c r="P21" s="1">
        <f t="shared" si="4"/>
        <v>1172.6369555813953</v>
      </c>
      <c r="Q21" s="1">
        <f t="shared" si="4"/>
        <v>1172.6369555813953</v>
      </c>
      <c r="R21" s="1">
        <f t="shared" si="4"/>
        <v>1172.6369555813953</v>
      </c>
      <c r="S21" s="1">
        <f t="shared" si="4"/>
        <v>1172.6369555813953</v>
      </c>
      <c r="T21" s="1">
        <f t="shared" si="4"/>
        <v>1785.8001903813954</v>
      </c>
      <c r="U21" s="1">
        <f t="shared" si="4"/>
        <v>1377.0247005147287</v>
      </c>
      <c r="V21" s="1">
        <f t="shared" si="4"/>
        <v>1643.6419945147286</v>
      </c>
      <c r="W21" s="1">
        <f t="shared" si="4"/>
        <v>1145.2418545147286</v>
      </c>
      <c r="X21" s="1">
        <f t="shared" si="4"/>
        <v>1873.6416945147287</v>
      </c>
      <c r="Y21" s="1">
        <f t="shared" si="4"/>
        <v>1591.6836188625548</v>
      </c>
      <c r="Z21" s="1">
        <f t="shared" si="4"/>
        <v>2588.4838988625547</v>
      </c>
      <c r="AA21" s="1">
        <f t="shared" si="4"/>
        <v>2588.4838988625547</v>
      </c>
      <c r="AB21" s="1">
        <f t="shared" si="4"/>
        <v>2002.1307929802019</v>
      </c>
      <c r="AC21" s="1">
        <f t="shared" si="4"/>
        <v>1886.2393699802019</v>
      </c>
      <c r="AD21" s="1">
        <f t="shared" si="4"/>
        <v>1656.2396699802018</v>
      </c>
      <c r="AE21" s="1">
        <f t="shared" si="4"/>
        <v>1076.7825549802017</v>
      </c>
      <c r="AF21" s="1">
        <f t="shared" si="4"/>
        <v>1076.7825549802017</v>
      </c>
      <c r="AG21" s="1">
        <f t="shared" si="4"/>
        <v>1306.7822549802017</v>
      </c>
      <c r="AH21" s="1">
        <f t="shared" si="4"/>
        <v>1306.7822549802017</v>
      </c>
      <c r="AI21" s="1">
        <f t="shared" si="4"/>
        <v>960.41314898020175</v>
      </c>
      <c r="AJ21" s="1">
        <f t="shared" si="4"/>
        <v>1287.7940599802016</v>
      </c>
      <c r="AK21" s="1">
        <f t="shared" si="4"/>
        <v>1392.0942599802015</v>
      </c>
      <c r="AL21" s="1">
        <f t="shared" si="4"/>
        <v>1287.7940599802016</v>
      </c>
      <c r="AM21" s="1">
        <f t="shared" si="4"/>
        <v>1287.7940599802016</v>
      </c>
      <c r="AN21" s="1">
        <f t="shared" si="4"/>
        <v>1517.7937599802017</v>
      </c>
      <c r="AO21" s="1">
        <f t="shared" si="4"/>
        <v>1517.7937599802017</v>
      </c>
      <c r="AP21" s="1">
        <f t="shared" si="4"/>
        <v>2179.1955599802022</v>
      </c>
      <c r="AQ21" s="1">
        <f t="shared" si="4"/>
        <v>1405.1438799802015</v>
      </c>
      <c r="AR21" s="1">
        <f t="shared" si="4"/>
        <v>1416.9438799802015</v>
      </c>
      <c r="AS21" s="1">
        <f t="shared" si="4"/>
        <v>1236.1011058625545</v>
      </c>
      <c r="AT21" s="1">
        <f t="shared" si="4"/>
        <v>1236.1011058625545</v>
      </c>
      <c r="AU21" s="1">
        <f t="shared" si="4"/>
        <v>1340.4013058625546</v>
      </c>
      <c r="AV21" s="1">
        <f t="shared" si="4"/>
        <v>546.44198558139544</v>
      </c>
      <c r="AW21" s="1">
        <f t="shared" si="4"/>
        <v>519.89198558139537</v>
      </c>
      <c r="AX21" s="1">
        <f t="shared" si="4"/>
        <v>243.32712558139534</v>
      </c>
      <c r="AY21" s="1">
        <f t="shared" si="4"/>
        <v>229.6044</v>
      </c>
      <c r="AZ21" s="1">
        <f t="shared" si="4"/>
        <v>229.6044</v>
      </c>
      <c r="BA21" s="1">
        <f t="shared" si="4"/>
        <v>229.6044</v>
      </c>
      <c r="BB21" s="1">
        <f t="shared" si="4"/>
        <v>229.6044</v>
      </c>
      <c r="BC21" s="1">
        <f t="shared" si="4"/>
        <v>0</v>
      </c>
      <c r="BD21" s="1">
        <f t="shared" si="4"/>
        <v>0</v>
      </c>
      <c r="BE21" s="1">
        <f t="shared" si="4"/>
        <v>0</v>
      </c>
      <c r="BF21" s="1">
        <f t="shared" si="4"/>
        <v>0</v>
      </c>
      <c r="BG21" s="1">
        <f t="shared" si="4"/>
        <v>0</v>
      </c>
      <c r="BH21" s="1">
        <f t="shared" si="4"/>
        <v>0</v>
      </c>
      <c r="BI21" s="1">
        <f t="shared" si="4"/>
        <v>0</v>
      </c>
      <c r="BJ21" s="1">
        <f t="shared" si="4"/>
        <v>0</v>
      </c>
      <c r="BK21" s="1">
        <f t="shared" si="4"/>
        <v>0</v>
      </c>
    </row>
    <row r="23" spans="2:63">
      <c r="B23" s="1" t="s">
        <v>216</v>
      </c>
    </row>
    <row r="24" spans="2:63">
      <c r="B24" s="2" t="s">
        <v>215</v>
      </c>
      <c r="C24" s="1">
        <v>2707.2451775385898</v>
      </c>
      <c r="D24" s="1">
        <v>454.72400000000005</v>
      </c>
      <c r="E24" s="1">
        <f t="shared" ref="E24:E30" si="5">+C24-D24</f>
        <v>2252.5211775385897</v>
      </c>
      <c r="G24" s="1">
        <v>0</v>
      </c>
      <c r="H24" s="1">
        <v>46.72399304186046</v>
      </c>
      <c r="I24" s="1">
        <v>50.085326375193787</v>
      </c>
      <c r="J24" s="1">
        <v>62.5494134863049</v>
      </c>
      <c r="K24" s="1">
        <v>233.926010286305</v>
      </c>
      <c r="L24" s="1">
        <v>52.821957486304903</v>
      </c>
      <c r="M24" s="1">
        <v>216.95101028630501</v>
      </c>
      <c r="N24" s="1">
        <v>29.768237486304898</v>
      </c>
      <c r="O24" s="1">
        <v>235.259730286305</v>
      </c>
      <c r="P24" s="1">
        <v>41.668237486304903</v>
      </c>
      <c r="Q24" s="1">
        <v>122.16747388630495</v>
      </c>
      <c r="R24" s="1">
        <v>46.756957486304898</v>
      </c>
      <c r="S24" s="1">
        <v>129.77080721963827</v>
      </c>
      <c r="T24" s="1">
        <v>35.958570819638169</v>
      </c>
      <c r="U24" s="1">
        <v>135.43952721963828</v>
      </c>
      <c r="V24" s="1">
        <v>29.05212637519379</v>
      </c>
      <c r="W24" s="1">
        <v>121.51358499741606</v>
      </c>
      <c r="X24" s="1">
        <v>29.05212637519379</v>
      </c>
      <c r="Y24" s="1">
        <v>25.408798597416013</v>
      </c>
      <c r="Z24" s="1">
        <v>29.05212637519379</v>
      </c>
      <c r="AA24" s="1">
        <v>27.128798597416015</v>
      </c>
      <c r="AB24" s="1">
        <v>30.772126375193793</v>
      </c>
      <c r="AC24" s="1">
        <v>25.408798597416013</v>
      </c>
      <c r="AD24" s="1">
        <v>30.492967645035058</v>
      </c>
      <c r="AE24" s="1">
        <v>18.297417645035061</v>
      </c>
      <c r="AF24" s="1">
        <v>34.430745422812841</v>
      </c>
      <c r="AG24" s="1">
        <v>20.073945422812837</v>
      </c>
      <c r="AH24" s="1">
        <v>37.380745422812836</v>
      </c>
      <c r="AI24" s="1">
        <v>20.073945422812837</v>
      </c>
      <c r="AJ24" s="1">
        <v>37.047412089479508</v>
      </c>
      <c r="AK24" s="1">
        <v>26.523945422812837</v>
      </c>
      <c r="AL24" s="1">
        <v>36.347412089479505</v>
      </c>
      <c r="AM24" s="1">
        <v>12.627278756146172</v>
      </c>
      <c r="AN24" s="1">
        <v>26.922412089479508</v>
      </c>
      <c r="AO24" s="1">
        <v>12.627278756146172</v>
      </c>
      <c r="AP24" s="1">
        <v>26.337412089479507</v>
      </c>
      <c r="AQ24" s="1">
        <v>12.627278756146172</v>
      </c>
      <c r="AR24" s="1">
        <v>28.837412089479503</v>
      </c>
      <c r="AS24" s="1">
        <v>22.827278756146171</v>
      </c>
      <c r="AT24" s="1">
        <v>28.837412089479503</v>
      </c>
      <c r="AU24" s="1">
        <v>12.627278756146172</v>
      </c>
      <c r="AV24" s="1">
        <v>20.15407875614617</v>
      </c>
      <c r="AW24" s="1">
        <v>12.627278756146172</v>
      </c>
      <c r="AX24" s="1">
        <v>17.554078756146172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</row>
    <row r="25" spans="2:63">
      <c r="B25" s="2" t="s">
        <v>214</v>
      </c>
      <c r="C25" s="1">
        <v>8.0307999999999993</v>
      </c>
      <c r="D25" s="1">
        <v>5.3</v>
      </c>
      <c r="E25" s="1">
        <f t="shared" si="5"/>
        <v>2.7307999999999995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1.84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</row>
    <row r="26" spans="2:63">
      <c r="B26" s="2" t="s">
        <v>213</v>
      </c>
      <c r="C26" s="1">
        <v>199.00999999999982</v>
      </c>
      <c r="D26" s="1">
        <v>21.13</v>
      </c>
      <c r="E26" s="1">
        <f t="shared" si="5"/>
        <v>177.87999999999982</v>
      </c>
      <c r="G26" s="1">
        <v>0</v>
      </c>
      <c r="H26" s="1">
        <v>4.6007499999999997</v>
      </c>
      <c r="I26" s="1">
        <v>4.6007499999999997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12.31812499999999</v>
      </c>
      <c r="AB26" s="1">
        <v>0</v>
      </c>
      <c r="AC26" s="1">
        <v>0</v>
      </c>
      <c r="AD26" s="1">
        <v>0</v>
      </c>
      <c r="AE26" s="1">
        <v>0</v>
      </c>
      <c r="AF26" s="1">
        <v>12.31812499999999</v>
      </c>
      <c r="AG26" s="1">
        <v>0</v>
      </c>
      <c r="AH26" s="1">
        <v>0</v>
      </c>
      <c r="AI26" s="1">
        <v>0</v>
      </c>
      <c r="AJ26" s="1">
        <v>0</v>
      </c>
      <c r="AK26" s="1">
        <v>12.31812499999999</v>
      </c>
      <c r="AL26" s="1">
        <v>0</v>
      </c>
      <c r="AM26" s="1">
        <v>0</v>
      </c>
      <c r="AN26" s="1">
        <v>0</v>
      </c>
      <c r="AO26" s="1">
        <v>0</v>
      </c>
      <c r="AP26" s="1">
        <v>12.31812499999999</v>
      </c>
      <c r="AQ26" s="1">
        <v>39.801999999999978</v>
      </c>
      <c r="AR26" s="1">
        <v>0</v>
      </c>
      <c r="AS26" s="1">
        <v>39.801999999999978</v>
      </c>
      <c r="AT26" s="1">
        <v>19.900999999999957</v>
      </c>
      <c r="AU26" s="1">
        <v>0</v>
      </c>
      <c r="AV26" s="1">
        <v>19.900999999999957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</row>
    <row r="27" spans="2:63">
      <c r="B27" s="2" t="s">
        <v>212</v>
      </c>
      <c r="C27" s="1">
        <v>48.285600000000002</v>
      </c>
      <c r="D27" s="1">
        <v>0</v>
      </c>
      <c r="E27" s="1">
        <f t="shared" si="5"/>
        <v>48.285600000000002</v>
      </c>
      <c r="G27" s="1">
        <v>0</v>
      </c>
      <c r="H27" s="1">
        <v>0</v>
      </c>
      <c r="I27" s="1">
        <v>1.1496571428571429</v>
      </c>
      <c r="J27" s="1">
        <v>1.1496571428571429</v>
      </c>
      <c r="K27" s="1">
        <v>1.1496571428571429</v>
      </c>
      <c r="L27" s="1">
        <v>1.1496571428571429</v>
      </c>
      <c r="M27" s="1">
        <v>1.1496571428571429</v>
      </c>
      <c r="N27" s="1">
        <v>1.1496571428571429</v>
      </c>
      <c r="O27" s="1">
        <v>1.1496571428571429</v>
      </c>
      <c r="P27" s="1">
        <v>1.1496571428571429</v>
      </c>
      <c r="Q27" s="1">
        <v>1.1496571428571429</v>
      </c>
      <c r="R27" s="1">
        <v>1.1496571428571429</v>
      </c>
      <c r="S27" s="1">
        <v>1.1496571428571429</v>
      </c>
      <c r="T27" s="1">
        <v>1.1496571428571429</v>
      </c>
      <c r="U27" s="1">
        <v>1.1496571428571429</v>
      </c>
      <c r="V27" s="1">
        <v>1.1496571428571429</v>
      </c>
      <c r="W27" s="1">
        <v>1.1496571428571429</v>
      </c>
      <c r="X27" s="1">
        <v>1.1496571428571429</v>
      </c>
      <c r="Y27" s="1">
        <v>1.1496571428571429</v>
      </c>
      <c r="Z27" s="1">
        <v>1.1496571428571429</v>
      </c>
      <c r="AA27" s="1">
        <v>1.1496571428571429</v>
      </c>
      <c r="AB27" s="1">
        <v>1.1496571428571429</v>
      </c>
      <c r="AC27" s="1">
        <v>1.1496571428571429</v>
      </c>
      <c r="AD27" s="1">
        <v>1.1496571428571429</v>
      </c>
      <c r="AE27" s="1">
        <v>1.1496571428571429</v>
      </c>
      <c r="AF27" s="1">
        <v>1.1496571428571429</v>
      </c>
      <c r="AG27" s="1">
        <v>1.1496571428571429</v>
      </c>
      <c r="AH27" s="1">
        <v>1.1496571428571429</v>
      </c>
      <c r="AI27" s="1">
        <v>1.1496571428571429</v>
      </c>
      <c r="AJ27" s="1">
        <v>1.1496571428571429</v>
      </c>
      <c r="AK27" s="1">
        <v>1.1496571428571429</v>
      </c>
      <c r="AL27" s="1">
        <v>1.1496571428571429</v>
      </c>
      <c r="AM27" s="1">
        <v>1.1496571428571429</v>
      </c>
      <c r="AN27" s="1">
        <v>1.1496571428571429</v>
      </c>
      <c r="AO27" s="1">
        <v>1.1496571428571429</v>
      </c>
      <c r="AP27" s="1">
        <v>1.1496571428571429</v>
      </c>
      <c r="AQ27" s="1">
        <v>1.1496571428571429</v>
      </c>
      <c r="AR27" s="1">
        <v>1.1496571428571429</v>
      </c>
      <c r="AS27" s="1">
        <v>1.1496571428571429</v>
      </c>
      <c r="AT27" s="1">
        <v>1.1496571428571429</v>
      </c>
      <c r="AU27" s="1">
        <v>1.1496571428571429</v>
      </c>
      <c r="AV27" s="1">
        <v>1.1496571428571429</v>
      </c>
      <c r="AW27" s="1">
        <v>1.1496571428571429</v>
      </c>
      <c r="AX27" s="1">
        <v>1.1496571428571429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</row>
    <row r="28" spans="2:63">
      <c r="B28" s="2" t="s">
        <v>211</v>
      </c>
      <c r="C28" s="1">
        <v>3636.7260822197159</v>
      </c>
      <c r="D28" s="1">
        <v>300.33</v>
      </c>
      <c r="E28" s="1">
        <f t="shared" si="5"/>
        <v>3336.3960822197159</v>
      </c>
      <c r="G28" s="1">
        <v>1.0620000000000001</v>
      </c>
      <c r="H28" s="1">
        <v>1840.4118949589829</v>
      </c>
      <c r="I28" s="1">
        <v>22.733008966666674</v>
      </c>
      <c r="J28" s="1">
        <v>13.589142300000001</v>
      </c>
      <c r="K28" s="1">
        <v>78.190837649523829</v>
      </c>
      <c r="L28" s="1">
        <v>9.2713138400000012</v>
      </c>
      <c r="M28" s="1">
        <v>12.699980506666668</v>
      </c>
      <c r="N28" s="1">
        <v>9.2713138400000012</v>
      </c>
      <c r="O28" s="1">
        <v>12.589142299999999</v>
      </c>
      <c r="P28" s="1">
        <v>19.540089779491417</v>
      </c>
      <c r="Q28" s="1">
        <v>82.994346922348569</v>
      </c>
      <c r="R28" s="1">
        <v>18.041489779491407</v>
      </c>
      <c r="S28" s="1">
        <v>12.6511423</v>
      </c>
      <c r="T28" s="1">
        <v>17.720774648000003</v>
      </c>
      <c r="U28" s="1">
        <v>13.633019749333334</v>
      </c>
      <c r="V28" s="1">
        <v>16.299192689333335</v>
      </c>
      <c r="W28" s="1">
        <v>88.068048432190494</v>
      </c>
      <c r="X28" s="1">
        <v>25.730486889333331</v>
      </c>
      <c r="Y28" s="1">
        <v>78.367475599478269</v>
      </c>
      <c r="Z28" s="1">
        <v>46.397611732811598</v>
      </c>
      <c r="AA28" s="1">
        <v>60.810945066144924</v>
      </c>
      <c r="AB28" s="1">
        <v>64.000747340654726</v>
      </c>
      <c r="AC28" s="1">
        <v>85.644690253511897</v>
      </c>
      <c r="AD28" s="75">
        <f>36.0918361106547+3.38376281369347</f>
        <v>39.475598924348169</v>
      </c>
      <c r="AE28" s="1">
        <v>11.692598293988064</v>
      </c>
      <c r="AF28" s="1">
        <v>21.435379458535611</v>
      </c>
      <c r="AG28" s="1">
        <v>37.380595293988065</v>
      </c>
      <c r="AH28" s="1">
        <v>15.467595293988065</v>
      </c>
      <c r="AI28" s="1">
        <v>74.419761376845216</v>
      </c>
      <c r="AJ28" s="1">
        <v>12.740713343988064</v>
      </c>
      <c r="AK28" s="1">
        <v>14.845715343988063</v>
      </c>
      <c r="AL28" s="1">
        <v>12.740713343988064</v>
      </c>
      <c r="AM28" s="1">
        <v>16.036757343988061</v>
      </c>
      <c r="AN28" s="1">
        <v>15.040710343988065</v>
      </c>
      <c r="AO28" s="1">
        <v>79.993567486845222</v>
      </c>
      <c r="AP28" s="1">
        <v>23.95077234398806</v>
      </c>
      <c r="AQ28" s="1">
        <v>26.413081139934235</v>
      </c>
      <c r="AR28" s="1">
        <v>53.313237372843744</v>
      </c>
      <c r="AS28" s="1">
        <v>42.206956232909512</v>
      </c>
      <c r="AT28" s="1">
        <v>88.51</v>
      </c>
      <c r="AU28" s="1">
        <v>120.85285714285715</v>
      </c>
      <c r="AV28" s="1">
        <v>0</v>
      </c>
      <c r="AW28" s="1">
        <v>1.0620000000000001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</row>
    <row r="29" spans="2:63">
      <c r="B29" s="2" t="s">
        <v>210</v>
      </c>
      <c r="C29" s="1">
        <v>52.160000000000025</v>
      </c>
      <c r="D29" s="1">
        <v>43.39</v>
      </c>
      <c r="E29" s="1">
        <f t="shared" si="5"/>
        <v>8.7700000000000244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4.3850000000000122</v>
      </c>
      <c r="AU29" s="1">
        <v>4.3850000000000122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</row>
    <row r="30" spans="2:63">
      <c r="B30" s="2" t="s">
        <v>209</v>
      </c>
      <c r="C30" s="1">
        <v>3905.6229999999996</v>
      </c>
      <c r="D30" s="1">
        <v>335</v>
      </c>
      <c r="E30" s="1">
        <f t="shared" si="5"/>
        <v>3570.6229999999996</v>
      </c>
      <c r="G30" s="1">
        <v>81.150522727272715</v>
      </c>
      <c r="H30" s="1">
        <v>81.150522727272715</v>
      </c>
      <c r="I30" s="1">
        <v>81.150522727272715</v>
      </c>
      <c r="J30" s="1">
        <v>81.150522727272715</v>
      </c>
      <c r="K30" s="1">
        <v>81.150522727272715</v>
      </c>
      <c r="L30" s="1">
        <v>81.150522727272715</v>
      </c>
      <c r="M30" s="1">
        <v>81.150522727272715</v>
      </c>
      <c r="N30" s="1">
        <v>81.150522727272715</v>
      </c>
      <c r="O30" s="1">
        <v>81.150522727272715</v>
      </c>
      <c r="P30" s="1">
        <v>81.150522727272715</v>
      </c>
      <c r="Q30" s="1">
        <v>81.150522727272715</v>
      </c>
      <c r="R30" s="1">
        <v>81.150522727272715</v>
      </c>
      <c r="S30" s="1">
        <v>81.150522727272715</v>
      </c>
      <c r="T30" s="1">
        <v>81.150522727272715</v>
      </c>
      <c r="U30" s="1">
        <v>81.150522727272715</v>
      </c>
      <c r="V30" s="1">
        <v>81.150522727272715</v>
      </c>
      <c r="W30" s="1">
        <v>81.150522727272715</v>
      </c>
      <c r="X30" s="1">
        <v>81.150522727272715</v>
      </c>
      <c r="Y30" s="1">
        <v>81.150522727272715</v>
      </c>
      <c r="Z30" s="1">
        <v>81.150522727272715</v>
      </c>
      <c r="AA30" s="1">
        <v>81.150522727272715</v>
      </c>
      <c r="AB30" s="1">
        <v>81.150522727272715</v>
      </c>
      <c r="AC30" s="1">
        <v>81.150522727272715</v>
      </c>
      <c r="AD30" s="1">
        <v>81.150522727272715</v>
      </c>
      <c r="AE30" s="1">
        <v>81.150522727272715</v>
      </c>
      <c r="AF30" s="1">
        <v>81.150522727272715</v>
      </c>
      <c r="AG30" s="1">
        <v>81.150522727272715</v>
      </c>
      <c r="AH30" s="1">
        <v>81.150522727272715</v>
      </c>
      <c r="AI30" s="1">
        <v>81.150522727272715</v>
      </c>
      <c r="AJ30" s="1">
        <v>81.150522727272715</v>
      </c>
      <c r="AK30" s="1">
        <v>81.150522727272715</v>
      </c>
      <c r="AL30" s="1">
        <v>81.150522727272715</v>
      </c>
      <c r="AM30" s="1">
        <v>81.150522727272715</v>
      </c>
      <c r="AN30" s="1">
        <v>81.150522727272715</v>
      </c>
      <c r="AO30" s="1">
        <v>81.150522727272715</v>
      </c>
      <c r="AP30" s="1">
        <v>81.150522727272715</v>
      </c>
      <c r="AQ30" s="1">
        <v>81.150522727272715</v>
      </c>
      <c r="AR30" s="1">
        <v>81.150522727272715</v>
      </c>
      <c r="AS30" s="1">
        <v>81.150522727272715</v>
      </c>
      <c r="AT30" s="1">
        <v>81.150522727272715</v>
      </c>
      <c r="AU30" s="1">
        <v>81.150522727272715</v>
      </c>
      <c r="AV30" s="1">
        <v>81.150522727272715</v>
      </c>
      <c r="AW30" s="1">
        <v>81.150522727272715</v>
      </c>
      <c r="AX30" s="1">
        <v>81.150522727272715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</row>
    <row r="31" spans="2:63">
      <c r="B31" s="1" t="s">
        <v>208</v>
      </c>
      <c r="C31" s="1">
        <f>SUM(C24:C30)</f>
        <v>10557.080659758305</v>
      </c>
      <c r="D31" s="1">
        <f>SUM(D24:D30)</f>
        <v>1159.874</v>
      </c>
      <c r="E31" s="1">
        <f>SUM(E24:E30)</f>
        <v>9397.2066597583052</v>
      </c>
      <c r="G31" s="1">
        <f t="shared" ref="G31:BK31" si="6">SUM(G24:G30)</f>
        <v>82.212522727272713</v>
      </c>
      <c r="H31" s="1">
        <f t="shared" si="6"/>
        <v>1972.8871607281162</v>
      </c>
      <c r="I31" s="1">
        <f t="shared" si="6"/>
        <v>159.71926521199032</v>
      </c>
      <c r="J31" s="1">
        <f t="shared" si="6"/>
        <v>158.43873565643474</v>
      </c>
      <c r="K31" s="1">
        <f t="shared" si="6"/>
        <v>394.4170278059587</v>
      </c>
      <c r="L31" s="1">
        <f t="shared" si="6"/>
        <v>146.23345119643477</v>
      </c>
      <c r="M31" s="1">
        <f t="shared" si="6"/>
        <v>311.95117066310149</v>
      </c>
      <c r="N31" s="1">
        <f t="shared" si="6"/>
        <v>121.33973119643476</v>
      </c>
      <c r="O31" s="1">
        <f t="shared" si="6"/>
        <v>330.14905245643484</v>
      </c>
      <c r="P31" s="1">
        <f t="shared" si="6"/>
        <v>143.50850713592618</v>
      </c>
      <c r="Q31" s="1">
        <f t="shared" si="6"/>
        <v>287.4620006787834</v>
      </c>
      <c r="R31" s="1">
        <f t="shared" si="6"/>
        <v>147.09862713592617</v>
      </c>
      <c r="S31" s="1">
        <f t="shared" si="6"/>
        <v>224.72212938976813</v>
      </c>
      <c r="T31" s="1">
        <f t="shared" si="6"/>
        <v>135.97952533776802</v>
      </c>
      <c r="U31" s="1">
        <f t="shared" si="6"/>
        <v>231.37272683910146</v>
      </c>
      <c r="V31" s="1">
        <f t="shared" si="6"/>
        <v>127.65149893465698</v>
      </c>
      <c r="W31" s="1">
        <f t="shared" si="6"/>
        <v>291.88181329973645</v>
      </c>
      <c r="X31" s="1">
        <f t="shared" si="6"/>
        <v>137.08279313465698</v>
      </c>
      <c r="Y31" s="1">
        <f t="shared" si="6"/>
        <v>186.07645406702414</v>
      </c>
      <c r="Z31" s="1">
        <f t="shared" si="6"/>
        <v>157.74991797813524</v>
      </c>
      <c r="AA31" s="1">
        <f t="shared" si="6"/>
        <v>182.55804853369079</v>
      </c>
      <c r="AB31" s="1">
        <f t="shared" si="6"/>
        <v>177.07305358597839</v>
      </c>
      <c r="AC31" s="1">
        <f t="shared" si="6"/>
        <v>193.35366872105777</v>
      </c>
      <c r="AD31" s="1">
        <f t="shared" si="6"/>
        <v>152.26874643951308</v>
      </c>
      <c r="AE31" s="1">
        <f t="shared" si="6"/>
        <v>112.29019580915298</v>
      </c>
      <c r="AF31" s="1">
        <f t="shared" si="6"/>
        <v>150.4844297514783</v>
      </c>
      <c r="AG31" s="1">
        <f t="shared" si="6"/>
        <v>139.75472058693077</v>
      </c>
      <c r="AH31" s="1">
        <f t="shared" si="6"/>
        <v>135.14852058693077</v>
      </c>
      <c r="AI31" s="1">
        <f t="shared" si="6"/>
        <v>176.79388666978792</v>
      </c>
      <c r="AJ31" s="1">
        <f t="shared" si="6"/>
        <v>132.08830530359742</v>
      </c>
      <c r="AK31" s="1">
        <f t="shared" si="6"/>
        <v>135.98796563693074</v>
      </c>
      <c r="AL31" s="1">
        <f t="shared" si="6"/>
        <v>131.38830530359743</v>
      </c>
      <c r="AM31" s="1">
        <f t="shared" si="6"/>
        <v>110.96421597026409</v>
      </c>
      <c r="AN31" s="1">
        <f t="shared" si="6"/>
        <v>124.26330230359744</v>
      </c>
      <c r="AO31" s="1">
        <f t="shared" si="6"/>
        <v>174.92102611312126</v>
      </c>
      <c r="AP31" s="1">
        <f t="shared" si="6"/>
        <v>144.90648930359743</v>
      </c>
      <c r="AQ31" s="1">
        <f t="shared" si="6"/>
        <v>161.14253976621023</v>
      </c>
      <c r="AR31" s="1">
        <f t="shared" si="6"/>
        <v>164.45082933245311</v>
      </c>
      <c r="AS31" s="1">
        <f t="shared" si="6"/>
        <v>187.13641485918552</v>
      </c>
      <c r="AT31" s="1">
        <f t="shared" si="6"/>
        <v>223.93359195960934</v>
      </c>
      <c r="AU31" s="1">
        <f t="shared" si="6"/>
        <v>220.1653157691332</v>
      </c>
      <c r="AV31" s="1">
        <f t="shared" si="6"/>
        <v>122.355258626276</v>
      </c>
      <c r="AW31" s="1">
        <f t="shared" si="6"/>
        <v>95.989458626276033</v>
      </c>
      <c r="AX31" s="1">
        <f t="shared" si="6"/>
        <v>99.854258626276035</v>
      </c>
      <c r="AY31" s="1">
        <f t="shared" si="6"/>
        <v>0</v>
      </c>
      <c r="AZ31" s="1">
        <f t="shared" si="6"/>
        <v>0</v>
      </c>
      <c r="BA31" s="1">
        <f t="shared" si="6"/>
        <v>0</v>
      </c>
      <c r="BB31" s="1">
        <f t="shared" si="6"/>
        <v>0</v>
      </c>
      <c r="BC31" s="1">
        <f t="shared" si="6"/>
        <v>0</v>
      </c>
      <c r="BD31" s="1">
        <f t="shared" si="6"/>
        <v>0</v>
      </c>
      <c r="BE31" s="1">
        <f t="shared" si="6"/>
        <v>0</v>
      </c>
      <c r="BF31" s="1">
        <f t="shared" si="6"/>
        <v>0</v>
      </c>
      <c r="BG31" s="1">
        <f t="shared" si="6"/>
        <v>0</v>
      </c>
      <c r="BH31" s="1">
        <f t="shared" si="6"/>
        <v>0</v>
      </c>
      <c r="BI31" s="1">
        <f t="shared" si="6"/>
        <v>0</v>
      </c>
      <c r="BJ31" s="1">
        <f t="shared" si="6"/>
        <v>0</v>
      </c>
      <c r="BK31" s="1">
        <f t="shared" si="6"/>
        <v>0</v>
      </c>
    </row>
    <row r="33" spans="2:63">
      <c r="B33" s="1" t="s">
        <v>207</v>
      </c>
      <c r="C33" s="1">
        <f>+C31+C21</f>
        <v>68666.269659758298</v>
      </c>
      <c r="D33" s="1">
        <f>+D31+D21</f>
        <v>2074.2812000000004</v>
      </c>
      <c r="E33" s="1">
        <f>+E31+E21</f>
        <v>66591.988459758315</v>
      </c>
      <c r="G33" s="1">
        <f t="shared" ref="G33:BK33" si="7">+G31+G21</f>
        <v>92.212522727272713</v>
      </c>
      <c r="H33" s="1">
        <f t="shared" si="7"/>
        <v>1986.6098863095115</v>
      </c>
      <c r="I33" s="1">
        <f t="shared" si="7"/>
        <v>1332.3562207933855</v>
      </c>
      <c r="J33" s="1">
        <f t="shared" si="7"/>
        <v>1331.0756912378301</v>
      </c>
      <c r="K33" s="1">
        <f t="shared" si="7"/>
        <v>1335.2711373873542</v>
      </c>
      <c r="L33" s="1">
        <f t="shared" si="7"/>
        <v>1087.0875607778303</v>
      </c>
      <c r="M33" s="1">
        <f t="shared" si="7"/>
        <v>1252.805280244497</v>
      </c>
      <c r="N33" s="1">
        <f t="shared" si="7"/>
        <v>1062.1938407778302</v>
      </c>
      <c r="O33" s="1">
        <f t="shared" si="7"/>
        <v>1502.7860080378302</v>
      </c>
      <c r="P33" s="1">
        <f t="shared" si="7"/>
        <v>1316.1454627173216</v>
      </c>
      <c r="Q33" s="1">
        <f t="shared" si="7"/>
        <v>1460.0989562601787</v>
      </c>
      <c r="R33" s="1">
        <f t="shared" si="7"/>
        <v>1319.7355827173214</v>
      </c>
      <c r="S33" s="1">
        <f t="shared" si="7"/>
        <v>1397.3590849711634</v>
      </c>
      <c r="T33" s="1">
        <f t="shared" si="7"/>
        <v>1921.7797157191635</v>
      </c>
      <c r="U33" s="1">
        <f t="shared" si="7"/>
        <v>1608.3974273538302</v>
      </c>
      <c r="V33" s="1">
        <f t="shared" si="7"/>
        <v>1771.2934934493856</v>
      </c>
      <c r="W33" s="1">
        <f t="shared" si="7"/>
        <v>1437.1236678144651</v>
      </c>
      <c r="X33" s="1">
        <f t="shared" si="7"/>
        <v>2010.7244876493855</v>
      </c>
      <c r="Y33" s="1">
        <f t="shared" si="7"/>
        <v>1777.7600729295789</v>
      </c>
      <c r="Z33" s="1">
        <f t="shared" si="7"/>
        <v>2746.23381684069</v>
      </c>
      <c r="AA33" s="1">
        <f t="shared" si="7"/>
        <v>2771.0419473962456</v>
      </c>
      <c r="AB33" s="1">
        <f t="shared" si="7"/>
        <v>2179.2038465661803</v>
      </c>
      <c r="AC33" s="1">
        <f t="shared" si="7"/>
        <v>2079.5930387012595</v>
      </c>
      <c r="AD33" s="1">
        <f t="shared" si="7"/>
        <v>1808.5084164197149</v>
      </c>
      <c r="AE33" s="1">
        <f t="shared" si="7"/>
        <v>1189.0727507893546</v>
      </c>
      <c r="AF33" s="1">
        <f t="shared" si="7"/>
        <v>1227.2669847316799</v>
      </c>
      <c r="AG33" s="1">
        <f t="shared" si="7"/>
        <v>1446.5369755671325</v>
      </c>
      <c r="AH33" s="1">
        <f t="shared" si="7"/>
        <v>1441.9307755671325</v>
      </c>
      <c r="AI33" s="1">
        <f t="shared" si="7"/>
        <v>1137.2070356499896</v>
      </c>
      <c r="AJ33" s="1">
        <f t="shared" si="7"/>
        <v>1419.8823652837991</v>
      </c>
      <c r="AK33" s="1">
        <f t="shared" si="7"/>
        <v>1528.0822256171323</v>
      </c>
      <c r="AL33" s="1">
        <f t="shared" si="7"/>
        <v>1419.1823652837991</v>
      </c>
      <c r="AM33" s="1">
        <f t="shared" si="7"/>
        <v>1398.7582759504658</v>
      </c>
      <c r="AN33" s="1">
        <f t="shared" si="7"/>
        <v>1642.057062283799</v>
      </c>
      <c r="AO33" s="1">
        <f t="shared" si="7"/>
        <v>1692.714786093323</v>
      </c>
      <c r="AP33" s="1">
        <f t="shared" si="7"/>
        <v>2324.1020492837997</v>
      </c>
      <c r="AQ33" s="1">
        <f t="shared" si="7"/>
        <v>1566.2864197464119</v>
      </c>
      <c r="AR33" s="1">
        <f t="shared" si="7"/>
        <v>1581.3947093126546</v>
      </c>
      <c r="AS33" s="1">
        <f t="shared" si="7"/>
        <v>1423.2375207217401</v>
      </c>
      <c r="AT33" s="1">
        <f t="shared" si="7"/>
        <v>1460.0346978221639</v>
      </c>
      <c r="AU33" s="1">
        <f t="shared" si="7"/>
        <v>1560.5666216316879</v>
      </c>
      <c r="AV33" s="1">
        <f t="shared" si="7"/>
        <v>668.79724420767138</v>
      </c>
      <c r="AW33" s="1">
        <f t="shared" si="7"/>
        <v>615.88144420767139</v>
      </c>
      <c r="AX33" s="1">
        <f t="shared" si="7"/>
        <v>343.18138420767139</v>
      </c>
      <c r="AY33" s="1">
        <f t="shared" si="7"/>
        <v>229.6044</v>
      </c>
      <c r="AZ33" s="1">
        <f t="shared" si="7"/>
        <v>229.6044</v>
      </c>
      <c r="BA33" s="1">
        <f t="shared" si="7"/>
        <v>229.6044</v>
      </c>
      <c r="BB33" s="1">
        <f t="shared" si="7"/>
        <v>229.6044</v>
      </c>
      <c r="BC33" s="1">
        <f t="shared" si="7"/>
        <v>0</v>
      </c>
      <c r="BD33" s="1">
        <f t="shared" si="7"/>
        <v>0</v>
      </c>
      <c r="BE33" s="1">
        <f t="shared" si="7"/>
        <v>0</v>
      </c>
      <c r="BF33" s="1">
        <f t="shared" si="7"/>
        <v>0</v>
      </c>
      <c r="BG33" s="1">
        <f t="shared" si="7"/>
        <v>0</v>
      </c>
      <c r="BH33" s="1">
        <f t="shared" si="7"/>
        <v>0</v>
      </c>
      <c r="BI33" s="1">
        <f t="shared" si="7"/>
        <v>0</v>
      </c>
      <c r="BJ33" s="1">
        <f t="shared" si="7"/>
        <v>0</v>
      </c>
      <c r="BK33" s="1">
        <f t="shared" si="7"/>
        <v>0</v>
      </c>
    </row>
    <row r="35" spans="2:63">
      <c r="B35" s="2" t="s">
        <v>206</v>
      </c>
      <c r="C35" s="1">
        <v>3426.6700729879158</v>
      </c>
      <c r="D35" s="1">
        <v>0</v>
      </c>
      <c r="E35" s="1">
        <f t="shared" ref="E35" si="8">+C35-D35</f>
        <v>3426.6700729879158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95.185279805219878</v>
      </c>
      <c r="T35" s="1">
        <v>95.185279805219878</v>
      </c>
      <c r="U35" s="1">
        <v>95.185279805219878</v>
      </c>
      <c r="V35" s="1">
        <v>95.185279805219878</v>
      </c>
      <c r="W35" s="1">
        <v>95.185279805219878</v>
      </c>
      <c r="X35" s="1">
        <v>95.185279805219878</v>
      </c>
      <c r="Y35" s="1">
        <v>95.185279805219878</v>
      </c>
      <c r="Z35" s="1">
        <v>95.185279805219878</v>
      </c>
      <c r="AA35" s="1">
        <v>95.185279805219878</v>
      </c>
      <c r="AB35" s="1">
        <v>95.185279805219878</v>
      </c>
      <c r="AC35" s="1">
        <v>95.185279805219878</v>
      </c>
      <c r="AD35" s="1">
        <v>95.185279805219878</v>
      </c>
      <c r="AE35" s="1">
        <v>95.185279805219878</v>
      </c>
      <c r="AF35" s="1">
        <v>95.185279805219878</v>
      </c>
      <c r="AG35" s="1">
        <v>95.185279805219878</v>
      </c>
      <c r="AH35" s="1">
        <v>95.185279805219878</v>
      </c>
      <c r="AI35" s="1">
        <v>95.185279805219878</v>
      </c>
      <c r="AJ35" s="1">
        <v>95.185279805219878</v>
      </c>
      <c r="AK35" s="1">
        <v>95.185279805219878</v>
      </c>
      <c r="AL35" s="1">
        <v>95.185279805219878</v>
      </c>
      <c r="AM35" s="1">
        <v>95.185279805219878</v>
      </c>
      <c r="AN35" s="1">
        <v>95.185279805219878</v>
      </c>
      <c r="AO35" s="1">
        <v>95.185279805219878</v>
      </c>
      <c r="AP35" s="1">
        <v>95.185279805219878</v>
      </c>
      <c r="AQ35" s="1">
        <v>95.185279805219878</v>
      </c>
      <c r="AR35" s="1">
        <v>95.185279805219878</v>
      </c>
      <c r="AS35" s="1">
        <v>95.185279805219878</v>
      </c>
      <c r="AT35" s="1">
        <v>95.185279805219878</v>
      </c>
      <c r="AU35" s="1">
        <v>95.185279805219878</v>
      </c>
      <c r="AV35" s="1">
        <v>95.185279805219878</v>
      </c>
      <c r="AW35" s="1">
        <v>95.185279805219878</v>
      </c>
      <c r="AX35" s="1">
        <v>95.185279805219878</v>
      </c>
      <c r="AY35" s="1">
        <v>95.185279805219878</v>
      </c>
      <c r="AZ35" s="1">
        <v>95.185279805219878</v>
      </c>
      <c r="BA35" s="1">
        <v>95.185279805219878</v>
      </c>
      <c r="BB35" s="1">
        <v>95.185279805219878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</row>
    <row r="37" spans="2:63">
      <c r="B37" s="1" t="s">
        <v>205</v>
      </c>
      <c r="C37" s="1">
        <f>+C33+C35</f>
        <v>72092.939732746221</v>
      </c>
      <c r="D37" s="1">
        <f>+D33+D35</f>
        <v>2074.2812000000004</v>
      </c>
      <c r="E37" s="1">
        <f>+E33+E35</f>
        <v>70018.658532746223</v>
      </c>
      <c r="G37" s="1">
        <f t="shared" ref="G37:AL37" si="9">+G33+G35</f>
        <v>92.212522727272713</v>
      </c>
      <c r="H37" s="1">
        <f t="shared" si="9"/>
        <v>1986.6098863095115</v>
      </c>
      <c r="I37" s="1">
        <f t="shared" si="9"/>
        <v>1332.3562207933855</v>
      </c>
      <c r="J37" s="1">
        <f t="shared" si="9"/>
        <v>1331.0756912378301</v>
      </c>
      <c r="K37" s="1">
        <f t="shared" si="9"/>
        <v>1335.2711373873542</v>
      </c>
      <c r="L37" s="1">
        <f t="shared" si="9"/>
        <v>1087.0875607778303</v>
      </c>
      <c r="M37" s="1">
        <f t="shared" si="9"/>
        <v>1252.805280244497</v>
      </c>
      <c r="N37" s="1">
        <f t="shared" si="9"/>
        <v>1062.1938407778302</v>
      </c>
      <c r="O37" s="1">
        <f t="shared" si="9"/>
        <v>1502.7860080378302</v>
      </c>
      <c r="P37" s="1">
        <f t="shared" si="9"/>
        <v>1316.1454627173216</v>
      </c>
      <c r="Q37" s="1">
        <f t="shared" si="9"/>
        <v>1460.0989562601787</v>
      </c>
      <c r="R37" s="1">
        <f t="shared" si="9"/>
        <v>1319.7355827173214</v>
      </c>
      <c r="S37" s="1">
        <f t="shared" si="9"/>
        <v>1492.5443647763832</v>
      </c>
      <c r="T37" s="1">
        <f t="shared" si="9"/>
        <v>2016.9649955243833</v>
      </c>
      <c r="U37" s="1">
        <f t="shared" si="9"/>
        <v>1703.58270715905</v>
      </c>
      <c r="V37" s="1">
        <f t="shared" si="9"/>
        <v>1866.4787732546054</v>
      </c>
      <c r="W37" s="1">
        <f t="shared" si="9"/>
        <v>1532.3089476196849</v>
      </c>
      <c r="X37" s="1">
        <f t="shared" si="9"/>
        <v>2105.9097674546056</v>
      </c>
      <c r="Y37" s="1">
        <f t="shared" si="9"/>
        <v>1872.9453527347987</v>
      </c>
      <c r="Z37" s="1">
        <f t="shared" si="9"/>
        <v>2841.41909664591</v>
      </c>
      <c r="AA37" s="1">
        <f t="shared" si="9"/>
        <v>2866.2272272014657</v>
      </c>
      <c r="AB37" s="1">
        <f t="shared" si="9"/>
        <v>2274.3891263714004</v>
      </c>
      <c r="AC37" s="1">
        <f t="shared" si="9"/>
        <v>2174.7783185064795</v>
      </c>
      <c r="AD37" s="1">
        <f t="shared" si="9"/>
        <v>1903.6936962249347</v>
      </c>
      <c r="AE37" s="1">
        <f t="shared" si="9"/>
        <v>1284.2580305945744</v>
      </c>
      <c r="AF37" s="1">
        <f t="shared" si="9"/>
        <v>1322.4522645368997</v>
      </c>
      <c r="AG37" s="1">
        <f t="shared" si="9"/>
        <v>1541.7222553723523</v>
      </c>
      <c r="AH37" s="1">
        <f t="shared" si="9"/>
        <v>1537.1160553723523</v>
      </c>
      <c r="AI37" s="1">
        <f t="shared" si="9"/>
        <v>1232.3923154552094</v>
      </c>
      <c r="AJ37" s="1">
        <f t="shared" si="9"/>
        <v>1515.0676450890189</v>
      </c>
      <c r="AK37" s="1">
        <f t="shared" si="9"/>
        <v>1623.2675054223521</v>
      </c>
      <c r="AL37" s="1">
        <f t="shared" si="9"/>
        <v>1514.3676450890189</v>
      </c>
      <c r="AM37" s="1">
        <f t="shared" ref="AM37:BK37" si="10">+AM33+AM35</f>
        <v>1493.9435557556856</v>
      </c>
      <c r="AN37" s="1">
        <f t="shared" si="10"/>
        <v>1737.2423420890188</v>
      </c>
      <c r="AO37" s="1">
        <f t="shared" si="10"/>
        <v>1787.9000658985428</v>
      </c>
      <c r="AP37" s="1">
        <f t="shared" si="10"/>
        <v>2419.2873290890197</v>
      </c>
      <c r="AQ37" s="1">
        <f t="shared" si="10"/>
        <v>1661.4716995516317</v>
      </c>
      <c r="AR37" s="1">
        <f t="shared" si="10"/>
        <v>1676.5799891178744</v>
      </c>
      <c r="AS37" s="1">
        <f t="shared" si="10"/>
        <v>1518.4228005269599</v>
      </c>
      <c r="AT37" s="1">
        <f t="shared" si="10"/>
        <v>1555.2199776273837</v>
      </c>
      <c r="AU37" s="1">
        <f t="shared" si="10"/>
        <v>1655.7519014369077</v>
      </c>
      <c r="AV37" s="1">
        <f t="shared" si="10"/>
        <v>763.9825240128913</v>
      </c>
      <c r="AW37" s="1">
        <f t="shared" si="10"/>
        <v>711.06672401289131</v>
      </c>
      <c r="AX37" s="1">
        <f t="shared" si="10"/>
        <v>438.36666401289125</v>
      </c>
      <c r="AY37" s="1">
        <f t="shared" si="10"/>
        <v>324.78967980521986</v>
      </c>
      <c r="AZ37" s="1">
        <f t="shared" si="10"/>
        <v>324.78967980521986</v>
      </c>
      <c r="BA37" s="1">
        <f t="shared" si="10"/>
        <v>324.78967980521986</v>
      </c>
      <c r="BB37" s="1">
        <f t="shared" si="10"/>
        <v>324.78967980521986</v>
      </c>
      <c r="BC37" s="1">
        <f t="shared" si="10"/>
        <v>0</v>
      </c>
      <c r="BD37" s="1">
        <f t="shared" si="10"/>
        <v>0</v>
      </c>
      <c r="BE37" s="1">
        <f t="shared" si="10"/>
        <v>0</v>
      </c>
      <c r="BF37" s="1">
        <f t="shared" si="10"/>
        <v>0</v>
      </c>
      <c r="BG37" s="1">
        <f t="shared" si="10"/>
        <v>0</v>
      </c>
      <c r="BH37" s="1">
        <f t="shared" si="10"/>
        <v>0</v>
      </c>
      <c r="BI37" s="1">
        <f t="shared" si="10"/>
        <v>0</v>
      </c>
      <c r="BJ37" s="1">
        <f t="shared" si="10"/>
        <v>0</v>
      </c>
      <c r="BK37" s="1">
        <f t="shared" si="10"/>
        <v>0</v>
      </c>
    </row>
    <row r="39" spans="2:63">
      <c r="B39" s="2" t="s">
        <v>204</v>
      </c>
      <c r="C39" s="1">
        <v>1900.9056</v>
      </c>
      <c r="D39" s="1">
        <v>434.56</v>
      </c>
      <c r="E39" s="1">
        <v>1466.3456000000001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24.998299999999997</v>
      </c>
      <c r="M39" s="1">
        <v>1441.3473000000001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</row>
    <row r="41" spans="2:63">
      <c r="B41" s="1" t="s">
        <v>203</v>
      </c>
      <c r="C41" s="1">
        <f>+C37+C39</f>
        <v>73993.845332746219</v>
      </c>
      <c r="D41" s="1">
        <f>+D37+D39</f>
        <v>2508.8412000000003</v>
      </c>
      <c r="E41" s="1">
        <f>+E37+E39</f>
        <v>71485.004132746224</v>
      </c>
      <c r="G41" s="1">
        <f t="shared" ref="G41:AL41" si="11">+G37+G39</f>
        <v>92.212522727272713</v>
      </c>
      <c r="H41" s="1">
        <f t="shared" si="11"/>
        <v>1986.6098863095115</v>
      </c>
      <c r="I41" s="1">
        <f t="shared" si="11"/>
        <v>1332.3562207933855</v>
      </c>
      <c r="J41" s="1">
        <f t="shared" si="11"/>
        <v>1331.0756912378301</v>
      </c>
      <c r="K41" s="1">
        <f t="shared" si="11"/>
        <v>1335.2711373873542</v>
      </c>
      <c r="L41" s="1">
        <f t="shared" si="11"/>
        <v>1112.0858607778302</v>
      </c>
      <c r="M41" s="1">
        <f t="shared" si="11"/>
        <v>2694.1525802444971</v>
      </c>
      <c r="N41" s="1">
        <f t="shared" si="11"/>
        <v>1062.1938407778302</v>
      </c>
      <c r="O41" s="1">
        <f t="shared" si="11"/>
        <v>1502.7860080378302</v>
      </c>
      <c r="P41" s="1">
        <f t="shared" si="11"/>
        <v>1316.1454627173216</v>
      </c>
      <c r="Q41" s="1">
        <f t="shared" si="11"/>
        <v>1460.0989562601787</v>
      </c>
      <c r="R41" s="1">
        <f t="shared" si="11"/>
        <v>1319.7355827173214</v>
      </c>
      <c r="S41" s="1">
        <f t="shared" si="11"/>
        <v>1492.5443647763832</v>
      </c>
      <c r="T41" s="1">
        <f t="shared" si="11"/>
        <v>2016.9649955243833</v>
      </c>
      <c r="U41" s="1">
        <f t="shared" si="11"/>
        <v>1703.58270715905</v>
      </c>
      <c r="V41" s="1">
        <f t="shared" si="11"/>
        <v>1866.4787732546054</v>
      </c>
      <c r="W41" s="1">
        <f t="shared" si="11"/>
        <v>1532.3089476196849</v>
      </c>
      <c r="X41" s="1">
        <f t="shared" si="11"/>
        <v>2105.9097674546056</v>
      </c>
      <c r="Y41" s="1">
        <f t="shared" si="11"/>
        <v>1872.9453527347987</v>
      </c>
      <c r="Z41" s="1">
        <f t="shared" si="11"/>
        <v>2841.41909664591</v>
      </c>
      <c r="AA41" s="1">
        <f t="shared" si="11"/>
        <v>2866.2272272014657</v>
      </c>
      <c r="AB41" s="1">
        <f t="shared" si="11"/>
        <v>2274.3891263714004</v>
      </c>
      <c r="AC41" s="1">
        <f t="shared" si="11"/>
        <v>2174.7783185064795</v>
      </c>
      <c r="AD41" s="1">
        <f t="shared" si="11"/>
        <v>1903.6936962249347</v>
      </c>
      <c r="AE41" s="1">
        <f t="shared" si="11"/>
        <v>1284.2580305945744</v>
      </c>
      <c r="AF41" s="1">
        <f t="shared" si="11"/>
        <v>1322.4522645368997</v>
      </c>
      <c r="AG41" s="1">
        <f t="shared" si="11"/>
        <v>1541.7222553723523</v>
      </c>
      <c r="AH41" s="1">
        <f t="shared" si="11"/>
        <v>1537.1160553723523</v>
      </c>
      <c r="AI41" s="1">
        <f t="shared" si="11"/>
        <v>1232.3923154552094</v>
      </c>
      <c r="AJ41" s="1">
        <f t="shared" si="11"/>
        <v>1515.0676450890189</v>
      </c>
      <c r="AK41" s="1">
        <f t="shared" si="11"/>
        <v>1623.2675054223521</v>
      </c>
      <c r="AL41" s="1">
        <f t="shared" si="11"/>
        <v>1514.3676450890189</v>
      </c>
      <c r="AM41" s="1">
        <f t="shared" ref="AM41:BK41" si="12">+AM37+AM39</f>
        <v>1493.9435557556856</v>
      </c>
      <c r="AN41" s="1">
        <f t="shared" si="12"/>
        <v>1737.2423420890188</v>
      </c>
      <c r="AO41" s="1">
        <f t="shared" si="12"/>
        <v>1787.9000658985428</v>
      </c>
      <c r="AP41" s="1">
        <f t="shared" si="12"/>
        <v>2419.2873290890197</v>
      </c>
      <c r="AQ41" s="1">
        <f t="shared" si="12"/>
        <v>1661.4716995516317</v>
      </c>
      <c r="AR41" s="1">
        <f t="shared" si="12"/>
        <v>1676.5799891178744</v>
      </c>
      <c r="AS41" s="1">
        <f t="shared" si="12"/>
        <v>1518.4228005269599</v>
      </c>
      <c r="AT41" s="1">
        <f t="shared" si="12"/>
        <v>1555.2199776273837</v>
      </c>
      <c r="AU41" s="1">
        <f t="shared" si="12"/>
        <v>1655.7519014369077</v>
      </c>
      <c r="AV41" s="1">
        <f t="shared" si="12"/>
        <v>763.9825240128913</v>
      </c>
      <c r="AW41" s="1">
        <f t="shared" si="12"/>
        <v>711.06672401289131</v>
      </c>
      <c r="AX41" s="1">
        <f t="shared" si="12"/>
        <v>438.36666401289125</v>
      </c>
      <c r="AY41" s="1">
        <f t="shared" si="12"/>
        <v>324.78967980521986</v>
      </c>
      <c r="AZ41" s="1">
        <f t="shared" si="12"/>
        <v>324.78967980521986</v>
      </c>
      <c r="BA41" s="1">
        <f t="shared" si="12"/>
        <v>324.78967980521986</v>
      </c>
      <c r="BB41" s="1">
        <f t="shared" si="12"/>
        <v>324.78967980521986</v>
      </c>
      <c r="BC41" s="1">
        <f t="shared" si="12"/>
        <v>0</v>
      </c>
      <c r="BD41" s="1">
        <f t="shared" si="12"/>
        <v>0</v>
      </c>
      <c r="BE41" s="1">
        <f t="shared" si="12"/>
        <v>0</v>
      </c>
      <c r="BF41" s="1">
        <f t="shared" si="12"/>
        <v>0</v>
      </c>
      <c r="BG41" s="1">
        <f t="shared" si="12"/>
        <v>0</v>
      </c>
      <c r="BH41" s="1">
        <f t="shared" si="12"/>
        <v>0</v>
      </c>
      <c r="BI41" s="1">
        <f t="shared" si="12"/>
        <v>0</v>
      </c>
      <c r="BJ41" s="1">
        <f t="shared" si="12"/>
        <v>0</v>
      </c>
      <c r="BK41" s="1">
        <f t="shared" si="12"/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4"/>
  <sheetViews>
    <sheetView showGridLines="0" topLeftCell="A65" zoomScale="85" zoomScaleNormal="85" zoomScaleSheetLayoutView="100" workbookViewId="0">
      <selection activeCell="F81" sqref="F81"/>
    </sheetView>
  </sheetViews>
  <sheetFormatPr defaultColWidth="9" defaultRowHeight="12.75"/>
  <cols>
    <col min="1" max="1" width="4" style="87" customWidth="1"/>
    <col min="2" max="2" width="4" style="90" customWidth="1"/>
    <col min="3" max="3" width="40.42578125" style="87" customWidth="1"/>
    <col min="4" max="4" width="15.85546875" style="89" customWidth="1"/>
    <col min="5" max="5" width="2.28515625" style="88" customWidth="1"/>
    <col min="6" max="6" width="15.85546875" style="88" customWidth="1"/>
    <col min="7" max="7" width="2.28515625" style="88" customWidth="1"/>
    <col min="8" max="8" width="9" style="88"/>
    <col min="9" max="16384" width="9" style="87"/>
  </cols>
  <sheetData>
    <row r="2" spans="2:8">
      <c r="C2" s="120" t="s">
        <v>323</v>
      </c>
    </row>
    <row r="3" spans="2:8">
      <c r="D3" s="119"/>
    </row>
    <row r="4" spans="2:8">
      <c r="D4" s="117" t="s">
        <v>322</v>
      </c>
      <c r="E4" s="118"/>
      <c r="F4" s="117" t="s">
        <v>322</v>
      </c>
    </row>
    <row r="5" spans="2:8" s="112" customFormat="1">
      <c r="B5" s="116"/>
      <c r="D5" s="115"/>
      <c r="E5" s="113"/>
      <c r="F5" s="114" t="s">
        <v>321</v>
      </c>
      <c r="G5" s="113"/>
      <c r="H5" s="113"/>
    </row>
    <row r="6" spans="2:8" ht="38.25">
      <c r="D6" s="111" t="s">
        <v>320</v>
      </c>
      <c r="E6" s="110"/>
      <c r="F6" s="109" t="s">
        <v>319</v>
      </c>
      <c r="G6" s="108" t="s">
        <v>318</v>
      </c>
    </row>
    <row r="7" spans="2:8">
      <c r="D7" s="96"/>
      <c r="E7" s="92"/>
      <c r="F7" s="94"/>
    </row>
    <row r="8" spans="2:8">
      <c r="B8" s="90">
        <v>1</v>
      </c>
      <c r="C8" s="107" t="s">
        <v>317</v>
      </c>
      <c r="D8" s="96">
        <v>2.2249446000000002</v>
      </c>
      <c r="E8" s="92"/>
      <c r="F8" s="94">
        <f>D8</f>
        <v>2.2249446000000002</v>
      </c>
    </row>
    <row r="9" spans="2:8">
      <c r="C9" s="107"/>
      <c r="D9" s="95"/>
      <c r="E9" s="92"/>
      <c r="F9" s="94"/>
    </row>
    <row r="10" spans="2:8">
      <c r="B10" s="90">
        <v>2</v>
      </c>
      <c r="C10" s="106" t="s">
        <v>316</v>
      </c>
      <c r="D10" s="101">
        <f>SUM(D11:D21)</f>
        <v>101.31487790000001</v>
      </c>
      <c r="E10" s="92"/>
      <c r="F10" s="100">
        <f>D10</f>
        <v>101.31487790000001</v>
      </c>
    </row>
    <row r="11" spans="2:8">
      <c r="C11" s="105" t="s">
        <v>315</v>
      </c>
      <c r="D11" s="95">
        <v>21.2617938</v>
      </c>
      <c r="E11" s="92"/>
      <c r="F11" s="94"/>
    </row>
    <row r="12" spans="2:8">
      <c r="C12" s="99" t="s">
        <v>314</v>
      </c>
      <c r="D12" s="95">
        <v>2.5</v>
      </c>
      <c r="E12" s="92"/>
      <c r="F12" s="94"/>
    </row>
    <row r="13" spans="2:8">
      <c r="C13" s="99" t="s">
        <v>313</v>
      </c>
      <c r="D13" s="95">
        <v>0.13795669999999999</v>
      </c>
      <c r="E13" s="92"/>
      <c r="F13" s="94"/>
    </row>
    <row r="14" spans="2:8">
      <c r="C14" s="99" t="s">
        <v>312</v>
      </c>
      <c r="D14" s="95">
        <v>6.8236062000000004</v>
      </c>
      <c r="E14" s="92"/>
      <c r="F14" s="94"/>
    </row>
    <row r="15" spans="2:8">
      <c r="C15" s="99" t="s">
        <v>311</v>
      </c>
      <c r="D15" s="95">
        <v>4.4411839999999998</v>
      </c>
      <c r="E15" s="92"/>
      <c r="F15" s="94"/>
    </row>
    <row r="16" spans="2:8">
      <c r="C16" s="99" t="s">
        <v>310</v>
      </c>
      <c r="D16" s="95">
        <v>27.696881000000001</v>
      </c>
      <c r="E16" s="92"/>
      <c r="F16" s="94"/>
    </row>
    <row r="17" spans="2:6" s="88" customFormat="1">
      <c r="B17" s="90"/>
      <c r="C17" s="102" t="s">
        <v>309</v>
      </c>
      <c r="D17" s="95">
        <v>36.949033700000001</v>
      </c>
      <c r="E17" s="92"/>
      <c r="F17" s="94"/>
    </row>
    <row r="18" spans="2:6" s="88" customFormat="1">
      <c r="B18" s="90"/>
      <c r="C18" s="102" t="s">
        <v>308</v>
      </c>
      <c r="D18" s="95">
        <v>0.48912</v>
      </c>
      <c r="E18" s="92"/>
      <c r="F18" s="94"/>
    </row>
    <row r="19" spans="2:6" s="88" customFormat="1">
      <c r="B19" s="90"/>
      <c r="C19" s="102" t="s">
        <v>307</v>
      </c>
      <c r="D19" s="95">
        <v>0.2306291</v>
      </c>
      <c r="E19" s="92"/>
      <c r="F19" s="94"/>
    </row>
    <row r="20" spans="2:6" s="88" customFormat="1">
      <c r="B20" s="90"/>
      <c r="C20" s="102" t="s">
        <v>306</v>
      </c>
      <c r="D20" s="95">
        <v>0.66557279999999996</v>
      </c>
      <c r="E20" s="92"/>
      <c r="F20" s="94"/>
    </row>
    <row r="21" spans="2:6" s="88" customFormat="1">
      <c r="B21" s="90"/>
      <c r="C21" s="99" t="s">
        <v>305</v>
      </c>
      <c r="D21" s="95">
        <v>0.1191006</v>
      </c>
      <c r="E21" s="92"/>
      <c r="F21" s="94"/>
    </row>
    <row r="22" spans="2:6" s="88" customFormat="1">
      <c r="B22" s="90"/>
      <c r="C22" s="102"/>
      <c r="D22" s="95"/>
      <c r="E22" s="92"/>
      <c r="F22" s="94"/>
    </row>
    <row r="23" spans="2:6" s="88" customFormat="1">
      <c r="B23" s="90">
        <v>3</v>
      </c>
      <c r="C23" s="106" t="s">
        <v>304</v>
      </c>
      <c r="D23" s="101">
        <f>SUM(D24:D25)</f>
        <v>9.076255827999999</v>
      </c>
      <c r="E23" s="92"/>
      <c r="F23" s="100">
        <f>D23</f>
        <v>9.076255827999999</v>
      </c>
    </row>
    <row r="24" spans="2:6" s="88" customFormat="1">
      <c r="B24" s="90"/>
      <c r="C24" s="99" t="s">
        <v>303</v>
      </c>
      <c r="D24" s="95">
        <v>7.3062414059999998</v>
      </c>
      <c r="E24" s="92"/>
      <c r="F24" s="94"/>
    </row>
    <row r="25" spans="2:6" s="88" customFormat="1">
      <c r="B25" s="90"/>
      <c r="C25" s="102" t="s">
        <v>302</v>
      </c>
      <c r="D25" s="95">
        <v>1.7700144219999998</v>
      </c>
      <c r="E25" s="92"/>
      <c r="F25" s="94"/>
    </row>
    <row r="26" spans="2:6" s="88" customFormat="1">
      <c r="B26" s="90"/>
      <c r="C26" s="107"/>
      <c r="D26" s="95"/>
      <c r="E26" s="92"/>
      <c r="F26" s="94"/>
    </row>
    <row r="27" spans="2:6" s="88" customFormat="1">
      <c r="B27" s="90">
        <v>4</v>
      </c>
      <c r="C27" s="106" t="s">
        <v>301</v>
      </c>
      <c r="D27" s="101">
        <f>SUM(D28:D38)</f>
        <v>43.995787793000005</v>
      </c>
      <c r="E27" s="92"/>
      <c r="F27" s="100">
        <f>D27-D32-D31</f>
        <v>13.669073593000004</v>
      </c>
    </row>
    <row r="28" spans="2:6" s="88" customFormat="1">
      <c r="B28" s="90"/>
      <c r="C28" s="99" t="s">
        <v>300</v>
      </c>
      <c r="D28" s="95">
        <v>0.85441345000000002</v>
      </c>
      <c r="E28" s="92"/>
      <c r="F28" s="94"/>
    </row>
    <row r="29" spans="2:6" s="88" customFormat="1">
      <c r="B29" s="90"/>
      <c r="C29" s="99" t="s">
        <v>299</v>
      </c>
      <c r="D29" s="95">
        <v>8.3995782139999999</v>
      </c>
      <c r="E29" s="92"/>
      <c r="F29" s="94"/>
    </row>
    <row r="30" spans="2:6" s="88" customFormat="1">
      <c r="B30" s="90"/>
      <c r="C30" s="99" t="s">
        <v>298</v>
      </c>
      <c r="D30" s="95">
        <v>2.3595600000000001E-2</v>
      </c>
      <c r="E30" s="92"/>
      <c r="F30" s="94"/>
    </row>
    <row r="31" spans="2:6" s="88" customFormat="1">
      <c r="B31" s="90"/>
      <c r="C31" s="99" t="s">
        <v>297</v>
      </c>
      <c r="D31" s="95">
        <v>5.38605</v>
      </c>
      <c r="E31" s="92"/>
      <c r="F31" s="94"/>
    </row>
    <row r="32" spans="2:6" s="88" customFormat="1">
      <c r="B32" s="90"/>
      <c r="C32" s="99" t="s">
        <v>296</v>
      </c>
      <c r="D32" s="95">
        <v>24.940664200000001</v>
      </c>
      <c r="E32" s="92"/>
      <c r="F32" s="94"/>
    </row>
    <row r="33" spans="2:6" s="88" customFormat="1">
      <c r="B33" s="90"/>
      <c r="C33" s="99" t="s">
        <v>295</v>
      </c>
      <c r="D33" s="95">
        <v>0.5254046</v>
      </c>
      <c r="E33" s="92"/>
      <c r="F33" s="94"/>
    </row>
    <row r="34" spans="2:6" s="88" customFormat="1">
      <c r="B34" s="90"/>
      <c r="C34" s="99" t="s">
        <v>294</v>
      </c>
      <c r="D34" s="95">
        <v>2.393E-2</v>
      </c>
      <c r="E34" s="92"/>
      <c r="F34" s="94"/>
    </row>
    <row r="35" spans="2:6" s="88" customFormat="1">
      <c r="B35" s="90"/>
      <c r="C35" s="99" t="s">
        <v>293</v>
      </c>
      <c r="D35" s="95">
        <v>0.11508119999999999</v>
      </c>
      <c r="E35" s="92"/>
      <c r="F35" s="94"/>
    </row>
    <row r="36" spans="2:6" s="88" customFormat="1">
      <c r="B36" s="90"/>
      <c r="C36" s="99" t="s">
        <v>292</v>
      </c>
      <c r="D36" s="95">
        <v>1.4994282999999999</v>
      </c>
      <c r="E36" s="92"/>
      <c r="F36" s="94"/>
    </row>
    <row r="37" spans="2:6" s="88" customFormat="1">
      <c r="B37" s="90"/>
      <c r="C37" s="99" t="s">
        <v>291</v>
      </c>
      <c r="D37" s="95">
        <v>2.1759827030000003</v>
      </c>
      <c r="E37" s="92"/>
      <c r="F37" s="94"/>
    </row>
    <row r="38" spans="2:6" s="88" customFormat="1">
      <c r="B38" s="90"/>
      <c r="C38" s="99" t="s">
        <v>290</v>
      </c>
      <c r="D38" s="95">
        <f>0.004641426+0.0470181</f>
        <v>5.1659525999999997E-2</v>
      </c>
      <c r="E38" s="92"/>
      <c r="F38" s="94"/>
    </row>
    <row r="39" spans="2:6" s="88" customFormat="1">
      <c r="B39" s="90"/>
      <c r="C39" s="102"/>
      <c r="D39" s="95"/>
      <c r="E39" s="92"/>
      <c r="F39" s="94"/>
    </row>
    <row r="40" spans="2:6" s="88" customFormat="1">
      <c r="B40" s="90">
        <v>5</v>
      </c>
      <c r="C40" s="106" t="s">
        <v>289</v>
      </c>
      <c r="D40" s="101">
        <f>SUM(D41:D52)</f>
        <v>299.92889472500002</v>
      </c>
      <c r="E40" s="92"/>
      <c r="F40" s="94">
        <f>D42</f>
        <v>19.630691899999999</v>
      </c>
    </row>
    <row r="41" spans="2:6" s="88" customFormat="1">
      <c r="B41" s="90"/>
      <c r="C41" s="99" t="s">
        <v>288</v>
      </c>
      <c r="D41" s="95">
        <v>23.711942499999999</v>
      </c>
      <c r="E41" s="92"/>
      <c r="F41" s="94"/>
    </row>
    <row r="42" spans="2:6" s="88" customFormat="1">
      <c r="B42" s="90"/>
      <c r="C42" s="99" t="s">
        <v>287</v>
      </c>
      <c r="D42" s="95">
        <v>19.630691899999999</v>
      </c>
      <c r="E42" s="92"/>
      <c r="F42" s="94"/>
    </row>
    <row r="43" spans="2:6" s="88" customFormat="1">
      <c r="B43" s="90"/>
      <c r="C43" s="99" t="s">
        <v>286</v>
      </c>
      <c r="D43" s="95">
        <v>246.1422723</v>
      </c>
      <c r="E43" s="92"/>
      <c r="F43" s="94"/>
    </row>
    <row r="44" spans="2:6" s="88" customFormat="1">
      <c r="B44" s="90"/>
      <c r="C44" s="99" t="s">
        <v>285</v>
      </c>
      <c r="D44" s="95">
        <v>9.0677900000000006E-2</v>
      </c>
      <c r="E44" s="92"/>
      <c r="F44" s="94"/>
    </row>
    <row r="45" spans="2:6" s="88" customFormat="1">
      <c r="B45" s="90"/>
      <c r="C45" s="99" t="s">
        <v>284</v>
      </c>
      <c r="D45" s="95">
        <v>-3.877486904</v>
      </c>
      <c r="E45" s="92"/>
      <c r="F45" s="94"/>
    </row>
    <row r="46" spans="2:6" s="88" customFormat="1">
      <c r="B46" s="90"/>
      <c r="C46" s="99" t="s">
        <v>283</v>
      </c>
      <c r="D46" s="95">
        <v>1.3591233</v>
      </c>
      <c r="E46" s="92"/>
      <c r="F46" s="94"/>
    </row>
    <row r="47" spans="2:6" s="88" customFormat="1">
      <c r="B47" s="90"/>
      <c r="C47" s="105" t="s">
        <v>282</v>
      </c>
      <c r="D47" s="95">
        <v>1.9926200000000002E-2</v>
      </c>
      <c r="E47" s="92"/>
      <c r="F47" s="94"/>
    </row>
    <row r="48" spans="2:6" s="88" customFormat="1">
      <c r="B48" s="90"/>
      <c r="C48" s="99" t="s">
        <v>281</v>
      </c>
      <c r="D48" s="95">
        <v>10.771448915000001</v>
      </c>
      <c r="E48" s="92"/>
      <c r="F48" s="94"/>
    </row>
    <row r="49" spans="2:6" s="88" customFormat="1">
      <c r="B49" s="90"/>
      <c r="C49" s="99" t="s">
        <v>280</v>
      </c>
      <c r="D49" s="95">
        <v>1.0270206</v>
      </c>
      <c r="E49" s="92"/>
      <c r="F49" s="94"/>
    </row>
    <row r="50" spans="2:6" s="88" customFormat="1">
      <c r="B50" s="90"/>
      <c r="C50" s="99" t="s">
        <v>279</v>
      </c>
      <c r="D50" s="95">
        <v>0.65110000000000001</v>
      </c>
      <c r="E50" s="92"/>
      <c r="F50" s="94"/>
    </row>
    <row r="51" spans="2:6" s="88" customFormat="1">
      <c r="B51" s="90"/>
      <c r="C51" s="99" t="s">
        <v>278</v>
      </c>
      <c r="D51" s="95">
        <f>0.059246+0.020677414</f>
        <v>7.9923413999999998E-2</v>
      </c>
      <c r="E51" s="92"/>
      <c r="F51" s="94"/>
    </row>
    <row r="52" spans="2:6" s="88" customFormat="1">
      <c r="B52" s="90"/>
      <c r="C52" s="102" t="s">
        <v>277</v>
      </c>
      <c r="D52" s="95">
        <v>0.3222546</v>
      </c>
      <c r="E52" s="92"/>
      <c r="F52" s="94"/>
    </row>
    <row r="53" spans="2:6" s="88" customFormat="1">
      <c r="B53" s="90"/>
      <c r="C53" s="102"/>
      <c r="D53" s="95"/>
      <c r="E53" s="92"/>
      <c r="F53" s="94"/>
    </row>
    <row r="54" spans="2:6" s="88" customFormat="1">
      <c r="B54" s="90">
        <v>6</v>
      </c>
      <c r="C54" s="104" t="s">
        <v>276</v>
      </c>
      <c r="D54" s="101">
        <f>SUM(D55:D64)</f>
        <v>8.5541295860000002</v>
      </c>
      <c r="E54" s="92"/>
      <c r="F54" s="100">
        <f>D54</f>
        <v>8.5541295860000002</v>
      </c>
    </row>
    <row r="55" spans="2:6" s="88" customFormat="1">
      <c r="B55" s="90"/>
      <c r="C55" s="99" t="s">
        <v>275</v>
      </c>
      <c r="D55" s="95">
        <v>0.30266510000000002</v>
      </c>
      <c r="E55" s="92"/>
      <c r="F55" s="94"/>
    </row>
    <row r="56" spans="2:6" s="88" customFormat="1">
      <c r="B56" s="90"/>
      <c r="C56" s="99" t="s">
        <v>274</v>
      </c>
      <c r="D56" s="95">
        <v>1.41259015</v>
      </c>
      <c r="E56" s="92"/>
      <c r="F56" s="94"/>
    </row>
    <row r="57" spans="2:6" s="88" customFormat="1">
      <c r="B57" s="90"/>
      <c r="C57" s="99" t="s">
        <v>273</v>
      </c>
      <c r="D57" s="95">
        <v>3.9933705600000002</v>
      </c>
      <c r="E57" s="92"/>
      <c r="F57" s="94"/>
    </row>
    <row r="58" spans="2:6" s="88" customFormat="1">
      <c r="B58" s="90"/>
      <c r="C58" s="99" t="s">
        <v>272</v>
      </c>
      <c r="D58" s="95">
        <v>0.34056120000000001</v>
      </c>
      <c r="E58" s="92"/>
      <c r="F58" s="94"/>
    </row>
    <row r="59" spans="2:6" s="88" customFormat="1">
      <c r="B59" s="90"/>
      <c r="C59" s="99" t="s">
        <v>271</v>
      </c>
      <c r="D59" s="95">
        <v>0.46055279999999998</v>
      </c>
      <c r="E59" s="92"/>
      <c r="F59" s="94"/>
    </row>
    <row r="60" spans="2:6" s="88" customFormat="1">
      <c r="B60" s="90"/>
      <c r="C60" s="99" t="s">
        <v>270</v>
      </c>
      <c r="D60" s="95">
        <v>6.9190883999999994E-2</v>
      </c>
      <c r="E60" s="92"/>
      <c r="F60" s="94"/>
    </row>
    <row r="61" spans="2:6" s="88" customFormat="1">
      <c r="B61" s="90"/>
      <c r="C61" s="99" t="s">
        <v>269</v>
      </c>
      <c r="D61" s="95">
        <v>3.7499999999999999E-2</v>
      </c>
      <c r="E61" s="92"/>
      <c r="F61" s="94"/>
    </row>
    <row r="62" spans="2:6" s="88" customFormat="1">
      <c r="B62" s="90"/>
      <c r="C62" s="99" t="s">
        <v>268</v>
      </c>
      <c r="D62" s="95">
        <v>0.4802071</v>
      </c>
      <c r="E62" s="92"/>
      <c r="F62" s="94"/>
    </row>
    <row r="63" spans="2:6" s="88" customFormat="1">
      <c r="B63" s="90"/>
      <c r="C63" s="99" t="s">
        <v>267</v>
      </c>
      <c r="D63" s="95">
        <f>0.2816685+0.1472007+0.00339</f>
        <v>0.43225919999999995</v>
      </c>
      <c r="E63" s="92"/>
      <c r="F63" s="94"/>
    </row>
    <row r="64" spans="2:6" s="88" customFormat="1">
      <c r="B64" s="90"/>
      <c r="C64" s="103" t="s">
        <v>266</v>
      </c>
      <c r="D64" s="95">
        <f>1.020232592+0.005</f>
        <v>1.0252325919999998</v>
      </c>
      <c r="E64" s="92"/>
      <c r="F64" s="94"/>
    </row>
    <row r="65" spans="2:6" s="88" customFormat="1">
      <c r="B65" s="90"/>
      <c r="C65" s="102"/>
      <c r="D65" s="95"/>
      <c r="E65" s="92"/>
      <c r="F65" s="94"/>
    </row>
    <row r="66" spans="2:6" s="88" customFormat="1">
      <c r="B66" s="90">
        <v>7</v>
      </c>
      <c r="C66" s="97" t="s">
        <v>265</v>
      </c>
      <c r="D66" s="101">
        <f>SUM(D67:D70)</f>
        <v>8.9335622929999996</v>
      </c>
      <c r="E66" s="92"/>
      <c r="F66" s="100">
        <f>+D69+D70</f>
        <v>5.2568639739999998</v>
      </c>
    </row>
    <row r="67" spans="2:6" s="88" customFormat="1">
      <c r="B67" s="90"/>
      <c r="C67" s="99" t="s">
        <v>264</v>
      </c>
      <c r="D67" s="95">
        <v>0.99188629399999995</v>
      </c>
      <c r="E67" s="92"/>
      <c r="F67" s="94"/>
    </row>
    <row r="68" spans="2:6" s="88" customFormat="1">
      <c r="B68" s="90"/>
      <c r="C68" s="99" t="s">
        <v>263</v>
      </c>
      <c r="D68" s="95">
        <v>2.6848120250000003</v>
      </c>
      <c r="E68" s="92"/>
      <c r="F68" s="94"/>
    </row>
    <row r="69" spans="2:6" s="88" customFormat="1">
      <c r="B69" s="90"/>
      <c r="C69" s="99" t="s">
        <v>262</v>
      </c>
      <c r="D69" s="95">
        <v>4.573806759</v>
      </c>
      <c r="E69" s="92"/>
      <c r="F69" s="94"/>
    </row>
    <row r="70" spans="2:6" s="88" customFormat="1">
      <c r="B70" s="90"/>
      <c r="C70" s="99" t="s">
        <v>261</v>
      </c>
      <c r="D70" s="95">
        <v>0.68305721499999983</v>
      </c>
      <c r="E70" s="92"/>
      <c r="F70" s="94"/>
    </row>
    <row r="71" spans="2:6" s="88" customFormat="1">
      <c r="B71" s="90"/>
      <c r="C71" s="98"/>
      <c r="D71" s="95"/>
      <c r="E71" s="92"/>
      <c r="F71" s="94"/>
    </row>
    <row r="72" spans="2:6" s="88" customFormat="1">
      <c r="B72" s="90">
        <v>10</v>
      </c>
      <c r="C72" s="97" t="s">
        <v>260</v>
      </c>
      <c r="D72" s="96">
        <v>7.25</v>
      </c>
      <c r="E72" s="92"/>
      <c r="F72" s="94">
        <f>D72</f>
        <v>7.25</v>
      </c>
    </row>
    <row r="73" spans="2:6" s="88" customFormat="1">
      <c r="B73" s="90"/>
      <c r="C73" s="97"/>
      <c r="D73" s="95"/>
      <c r="E73" s="92"/>
      <c r="F73" s="94"/>
    </row>
    <row r="74" spans="2:6" s="88" customFormat="1">
      <c r="B74" s="90">
        <v>11</v>
      </c>
      <c r="C74" s="97" t="s">
        <v>259</v>
      </c>
      <c r="D74" s="96">
        <v>147.67999990000001</v>
      </c>
      <c r="E74" s="92"/>
      <c r="F74" s="94">
        <f>D74</f>
        <v>147.67999990000001</v>
      </c>
    </row>
    <row r="75" spans="2:6" s="88" customFormat="1">
      <c r="B75" s="90"/>
      <c r="C75" s="87"/>
      <c r="D75" s="95"/>
      <c r="E75" s="92"/>
      <c r="F75" s="94"/>
    </row>
    <row r="76" spans="2:6" s="88" customFormat="1" ht="13.5" thickBot="1">
      <c r="B76" s="90"/>
      <c r="C76" s="90" t="s">
        <v>258</v>
      </c>
      <c r="D76" s="93">
        <f>D74+D72+D66+D54+D40+D27+D10+D23+D8</f>
        <v>628.95845262499995</v>
      </c>
      <c r="E76" s="92"/>
      <c r="F76" s="91">
        <f>F74+F72+F66+F54+F40+F27+F10+F23+F8</f>
        <v>314.65683728100004</v>
      </c>
    </row>
    <row r="77" spans="2:6" s="88" customFormat="1" ht="13.5" thickTop="1">
      <c r="B77" s="90"/>
      <c r="C77" s="87"/>
      <c r="D77" s="96"/>
      <c r="E77" s="92"/>
      <c r="F77" s="94"/>
    </row>
    <row r="78" spans="2:6" s="88" customFormat="1">
      <c r="B78" s="90"/>
      <c r="C78" s="87" t="s">
        <v>257</v>
      </c>
      <c r="D78" s="95">
        <f>(21056909+20651811+20146824+16535775)/10^7</f>
        <v>7.8391318999999999</v>
      </c>
      <c r="E78" s="92"/>
      <c r="F78" s="94">
        <f>D78</f>
        <v>7.8391318999999999</v>
      </c>
    </row>
    <row r="79" spans="2:6" s="88" customFormat="1">
      <c r="B79" s="90"/>
      <c r="C79" s="87" t="s">
        <v>256</v>
      </c>
      <c r="D79" s="95"/>
      <c r="E79" s="92"/>
      <c r="F79" s="94"/>
    </row>
    <row r="80" spans="2:6" s="88" customFormat="1">
      <c r="B80" s="90"/>
      <c r="C80" s="87"/>
      <c r="D80" s="95"/>
      <c r="E80" s="92"/>
      <c r="F80" s="94"/>
    </row>
    <row r="81" spans="2:6" s="88" customFormat="1" ht="13.5" thickBot="1">
      <c r="B81" s="90"/>
      <c r="C81" s="90" t="s">
        <v>255</v>
      </c>
      <c r="D81" s="93">
        <f>SUM(D76:D80)</f>
        <v>636.79758452499993</v>
      </c>
      <c r="E81" s="92"/>
      <c r="F81" s="91">
        <f>SUM(F76:F80)</f>
        <v>322.49596918100002</v>
      </c>
    </row>
    <row r="82" spans="2:6" s="88" customFormat="1" ht="13.5" thickTop="1">
      <c r="B82" s="90"/>
      <c r="C82" s="87"/>
      <c r="D82" s="89"/>
      <c r="E82" s="89"/>
      <c r="F82" s="89"/>
    </row>
    <row r="83" spans="2:6" s="88" customFormat="1">
      <c r="B83" s="90"/>
      <c r="C83" s="87"/>
      <c r="D83" s="89"/>
      <c r="E83" s="89"/>
      <c r="F83" s="89"/>
    </row>
    <row r="84" spans="2:6" s="88" customFormat="1">
      <c r="B84" s="90"/>
      <c r="C84" s="87" t="s">
        <v>254</v>
      </c>
      <c r="D84" s="89"/>
    </row>
  </sheetData>
  <pageMargins left="0.70866141732283472" right="0.70866141732283472" top="0.74803149606299213" bottom="0.74803149606299213" header="0.31496062992125984" footer="0.31496062992125984"/>
  <pageSetup paperSize="8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opLeftCell="A17" zoomScale="85" zoomScaleNormal="85" workbookViewId="0">
      <selection activeCell="B21" sqref="B21"/>
    </sheetView>
  </sheetViews>
  <sheetFormatPr defaultColWidth="9.42578125" defaultRowHeight="15.75"/>
  <cols>
    <col min="1" max="4" width="9.42578125" style="121"/>
    <col min="5" max="7" width="10.5703125" style="122" customWidth="1"/>
    <col min="8" max="16384" width="9.42578125" style="121"/>
  </cols>
  <sheetData>
    <row r="2" spans="2:9">
      <c r="B2" s="125" t="s">
        <v>6</v>
      </c>
      <c r="C2" s="123"/>
      <c r="D2" s="123"/>
      <c r="E2" s="124" t="s">
        <v>336</v>
      </c>
      <c r="F2" s="124" t="s">
        <v>335</v>
      </c>
      <c r="G2" s="124" t="s">
        <v>0</v>
      </c>
    </row>
    <row r="4" spans="2:9">
      <c r="B4" s="122" t="s">
        <v>334</v>
      </c>
      <c r="E4" s="122">
        <f>+'True Land Cost'!F8+'True Land Cost'!F78+'True Land Cost'!F72+'True Land Cost'!F74</f>
        <v>164.99407640000001</v>
      </c>
      <c r="F4" s="122">
        <v>0</v>
      </c>
      <c r="G4" s="122">
        <f>+E4+F4</f>
        <v>164.99407640000001</v>
      </c>
    </row>
    <row r="5" spans="2:9">
      <c r="B5" s="122" t="s">
        <v>333</v>
      </c>
      <c r="E5" s="122">
        <f>+'True Land Cost'!D16</f>
        <v>27.696881000000001</v>
      </c>
      <c r="F5" s="122">
        <v>0</v>
      </c>
      <c r="G5" s="122">
        <f>+E5+F5</f>
        <v>27.696881000000001</v>
      </c>
    </row>
    <row r="6" spans="2:9">
      <c r="B6" s="123" t="s">
        <v>317</v>
      </c>
      <c r="C6" s="123"/>
      <c r="D6" s="123"/>
      <c r="E6" s="126">
        <f>SUM(E4:E5)</f>
        <v>192.6909574</v>
      </c>
      <c r="F6" s="126">
        <f>SUM(F4:F5)</f>
        <v>0</v>
      </c>
      <c r="G6" s="126">
        <f>SUM(G4:G5)</f>
        <v>192.6909574</v>
      </c>
    </row>
    <row r="8" spans="2:9">
      <c r="B8" s="121" t="s">
        <v>216</v>
      </c>
    </row>
    <row r="9" spans="2:9">
      <c r="B9" s="122" t="s">
        <v>215</v>
      </c>
      <c r="E9" s="122">
        <v>4.5472400000000004</v>
      </c>
      <c r="F9" s="122">
        <v>22.525211775385898</v>
      </c>
      <c r="G9" s="122">
        <f t="shared" ref="G9:G17" si="0">+E9+F9</f>
        <v>27.0724517753859</v>
      </c>
    </row>
    <row r="10" spans="2:9">
      <c r="B10" s="122" t="s">
        <v>214</v>
      </c>
      <c r="E10" s="122">
        <v>5.2999999999999999E-2</v>
      </c>
      <c r="F10" s="122">
        <v>2.7307999999999999E-2</v>
      </c>
      <c r="G10" s="122">
        <f t="shared" si="0"/>
        <v>8.0307999999999991E-2</v>
      </c>
    </row>
    <row r="11" spans="2:9">
      <c r="B11" s="122" t="s">
        <v>213</v>
      </c>
      <c r="E11" s="122">
        <v>0.21129999999999999</v>
      </c>
      <c r="F11" s="122">
        <v>1.7787999999999982</v>
      </c>
      <c r="G11" s="122">
        <f t="shared" si="0"/>
        <v>1.9900999999999982</v>
      </c>
    </row>
    <row r="12" spans="2:9">
      <c r="B12" s="122" t="s">
        <v>212</v>
      </c>
      <c r="E12" s="122">
        <v>0</v>
      </c>
      <c r="F12" s="122">
        <v>0.48285600000000001</v>
      </c>
      <c r="G12" s="122">
        <f t="shared" si="0"/>
        <v>0.48285600000000001</v>
      </c>
    </row>
    <row r="13" spans="2:9">
      <c r="B13" s="122" t="s">
        <v>211</v>
      </c>
      <c r="E13" s="122">
        <v>36.949033700000001</v>
      </c>
      <c r="F13" s="122">
        <v>48.002716822197172</v>
      </c>
      <c r="G13" s="122">
        <f t="shared" si="0"/>
        <v>84.951750522197173</v>
      </c>
      <c r="I13" s="121" t="s">
        <v>337</v>
      </c>
    </row>
    <row r="14" spans="2:9">
      <c r="B14" s="122" t="s">
        <v>210</v>
      </c>
      <c r="E14" s="122">
        <v>0.43390000000000001</v>
      </c>
      <c r="F14" s="122">
        <v>8.770000000000025E-2</v>
      </c>
      <c r="G14" s="122">
        <f t="shared" si="0"/>
        <v>0.52160000000000029</v>
      </c>
    </row>
    <row r="15" spans="2:9">
      <c r="B15" s="122" t="s">
        <v>332</v>
      </c>
      <c r="E15" s="122">
        <v>0</v>
      </c>
      <c r="F15" s="122">
        <v>35.706229999999998</v>
      </c>
      <c r="G15" s="122">
        <f t="shared" si="0"/>
        <v>35.706229999999998</v>
      </c>
    </row>
    <row r="16" spans="2:9">
      <c r="B16" s="122" t="s">
        <v>331</v>
      </c>
      <c r="E16" s="122">
        <v>23.454953394999997</v>
      </c>
      <c r="F16" s="122">
        <v>0</v>
      </c>
      <c r="G16" s="122">
        <f t="shared" si="0"/>
        <v>23.454953394999997</v>
      </c>
    </row>
    <row r="17" spans="2:7">
      <c r="B17" s="122" t="s">
        <v>330</v>
      </c>
      <c r="E17" s="122">
        <f>+SUM('True Land Cost'!D11:D15,'True Land Cost'!D18:D21)</f>
        <v>36.668963200000007</v>
      </c>
      <c r="F17" s="122">
        <v>0</v>
      </c>
      <c r="G17" s="122">
        <f t="shared" si="0"/>
        <v>36.668963200000007</v>
      </c>
    </row>
    <row r="18" spans="2:7">
      <c r="B18" s="123" t="s">
        <v>329</v>
      </c>
      <c r="C18" s="123"/>
      <c r="D18" s="123"/>
      <c r="E18" s="126">
        <f>+SUM(E9:E17)</f>
        <v>102.318390295</v>
      </c>
      <c r="F18" s="126">
        <f>+SUM(F9:F17)</f>
        <v>108.61082259758305</v>
      </c>
      <c r="G18" s="126">
        <f>+SUM(G9:G17)</f>
        <v>210.92921289258308</v>
      </c>
    </row>
    <row r="20" spans="2:7">
      <c r="B20" s="121" t="s">
        <v>328</v>
      </c>
    </row>
    <row r="21" spans="2:7">
      <c r="B21" s="122" t="s">
        <v>224</v>
      </c>
      <c r="E21" s="122">
        <f>'Cost Schedule'!$D6/100*0</f>
        <v>0</v>
      </c>
      <c r="F21" s="122">
        <f>'Cost Schedule'!$E6/100</f>
        <v>231.78284600000003</v>
      </c>
      <c r="G21" s="122">
        <f t="shared" ref="G21:G37" si="1">+E21+F21</f>
        <v>231.78284600000003</v>
      </c>
    </row>
    <row r="22" spans="2:7">
      <c r="B22" s="122" t="s">
        <v>223</v>
      </c>
      <c r="E22" s="122">
        <f>'Cost Schedule'!$D7/100</f>
        <v>0</v>
      </c>
      <c r="F22" s="122">
        <f>'Cost Schedule'!$E7/100</f>
        <v>99.680027999999979</v>
      </c>
      <c r="G22" s="122">
        <f t="shared" si="1"/>
        <v>99.680027999999979</v>
      </c>
    </row>
    <row r="23" spans="2:7">
      <c r="B23" s="122" t="s">
        <v>222</v>
      </c>
      <c r="E23" s="122">
        <f>'Cost Schedule'!$D8/100</f>
        <v>0</v>
      </c>
      <c r="F23" s="122">
        <f>'Cost Schedule'!$E8/100</f>
        <v>22.999970000000005</v>
      </c>
      <c r="G23" s="122">
        <f t="shared" si="1"/>
        <v>22.999970000000005</v>
      </c>
    </row>
    <row r="24" spans="2:7">
      <c r="B24" s="122" t="s">
        <v>221</v>
      </c>
      <c r="E24" s="122">
        <f>'Cost Schedule'!$D9/100</f>
        <v>0</v>
      </c>
      <c r="F24" s="122">
        <f>'Cost Schedule'!$E9/100</f>
        <v>55.312972000000002</v>
      </c>
      <c r="G24" s="122">
        <f t="shared" si="1"/>
        <v>55.312972000000002</v>
      </c>
    </row>
    <row r="25" spans="2:7">
      <c r="B25" s="122" t="s">
        <v>244</v>
      </c>
      <c r="E25" s="122">
        <f>'Cost Schedule'!$D10/100</f>
        <v>0</v>
      </c>
      <c r="F25" s="122">
        <f>'Cost Schedule'!$E10/100</f>
        <v>16.4374</v>
      </c>
      <c r="G25" s="122">
        <f t="shared" si="1"/>
        <v>16.4374</v>
      </c>
    </row>
    <row r="26" spans="2:7">
      <c r="B26" s="122" t="s">
        <v>245</v>
      </c>
      <c r="E26" s="122">
        <f>'Cost Schedule'!$D11/100</f>
        <v>0</v>
      </c>
      <c r="F26" s="122">
        <f>'Cost Schedule'!$E11/100</f>
        <v>11.092000000000001</v>
      </c>
      <c r="G26" s="122">
        <f t="shared" si="1"/>
        <v>11.092000000000001</v>
      </c>
    </row>
    <row r="27" spans="2:7">
      <c r="B27" s="122" t="s">
        <v>246</v>
      </c>
      <c r="E27" s="122">
        <f>'Cost Schedule'!$D12/100</f>
        <v>0</v>
      </c>
      <c r="F27" s="122">
        <f>'Cost Schedule'!$E12/100</f>
        <v>35.979143999999998</v>
      </c>
      <c r="G27" s="122">
        <f t="shared" si="1"/>
        <v>35.979143999999998</v>
      </c>
    </row>
    <row r="28" spans="2:7">
      <c r="B28" s="122" t="s">
        <v>247</v>
      </c>
      <c r="E28" s="122">
        <f>'Cost Schedule'!$D13/100</f>
        <v>0</v>
      </c>
      <c r="F28" s="122">
        <f>'Cost Schedule'!$E13/100</f>
        <v>10.430019999999999</v>
      </c>
      <c r="G28" s="122">
        <f t="shared" si="1"/>
        <v>10.430019999999999</v>
      </c>
    </row>
    <row r="29" spans="2:7">
      <c r="B29" s="122" t="s">
        <v>248</v>
      </c>
      <c r="E29" s="122">
        <f>'Cost Schedule'!$D14/100</f>
        <v>0</v>
      </c>
      <c r="F29" s="122">
        <f>'Cost Schedule'!$E14/100</f>
        <v>34.319946000000002</v>
      </c>
      <c r="G29" s="122">
        <f t="shared" si="1"/>
        <v>34.319946000000002</v>
      </c>
    </row>
    <row r="30" spans="2:7">
      <c r="B30" s="122" t="s">
        <v>249</v>
      </c>
      <c r="E30" s="122">
        <f>'Cost Schedule'!$D15/100</f>
        <v>0</v>
      </c>
      <c r="F30" s="122">
        <f>'Cost Schedule'!$E15/100</f>
        <v>5.6999900000000006</v>
      </c>
      <c r="G30" s="122">
        <f t="shared" si="1"/>
        <v>5.6999900000000006</v>
      </c>
    </row>
    <row r="31" spans="2:7">
      <c r="B31" s="122" t="s">
        <v>250</v>
      </c>
      <c r="E31" s="122">
        <f>'Cost Schedule'!$D16/100</f>
        <v>0</v>
      </c>
      <c r="F31" s="122">
        <f>'Cost Schedule'!$E16/100</f>
        <v>1.4750000000000001</v>
      </c>
      <c r="G31" s="122">
        <f t="shared" si="1"/>
        <v>1.4750000000000001</v>
      </c>
    </row>
    <row r="32" spans="2:7">
      <c r="B32" s="122" t="s">
        <v>251</v>
      </c>
      <c r="E32" s="122">
        <f>'Cost Schedule'!$D17/100</f>
        <v>0</v>
      </c>
      <c r="F32" s="122">
        <f>'Cost Schedule'!$E17/100</f>
        <v>6.2359460000000002</v>
      </c>
      <c r="G32" s="122">
        <f t="shared" si="1"/>
        <v>6.2359460000000002</v>
      </c>
    </row>
    <row r="33" spans="2:7">
      <c r="B33" s="122" t="s">
        <v>220</v>
      </c>
      <c r="E33" s="122">
        <f>'Cost Schedule'!$D18/100*0</f>
        <v>0</v>
      </c>
      <c r="F33" s="122">
        <f>'Cost Schedule'!$E18/100</f>
        <v>11.541343999999999</v>
      </c>
      <c r="G33" s="122">
        <f t="shared" si="1"/>
        <v>11.541343999999999</v>
      </c>
    </row>
    <row r="34" spans="2:7">
      <c r="B34" s="122" t="s">
        <v>219</v>
      </c>
      <c r="E34" s="122">
        <f>'Cost Schedule'!$D19/100</f>
        <v>0</v>
      </c>
      <c r="F34" s="122">
        <f>'Cost Schedule'!$E19/100</f>
        <v>22.960439999999998</v>
      </c>
      <c r="G34" s="122">
        <f t="shared" si="1"/>
        <v>22.960439999999998</v>
      </c>
    </row>
    <row r="35" spans="2:7">
      <c r="B35" s="122" t="s">
        <v>218</v>
      </c>
      <c r="E35" s="122">
        <f>'Cost Schedule'!$D20/100</f>
        <v>0</v>
      </c>
      <c r="F35" s="122">
        <f>'Cost Schedule'!$E20/100</f>
        <v>6.0007719999999996</v>
      </c>
      <c r="G35" s="122">
        <f t="shared" si="1"/>
        <v>6.0007719999999996</v>
      </c>
    </row>
    <row r="36" spans="2:7">
      <c r="B36" s="122" t="s">
        <v>206</v>
      </c>
      <c r="E36" s="122">
        <f>'Cost Schedule'!$D35/100</f>
        <v>0</v>
      </c>
      <c r="F36" s="122">
        <f>'Cost Schedule'!$E35/100</f>
        <v>34.266700729879155</v>
      </c>
      <c r="G36" s="122">
        <f t="shared" si="1"/>
        <v>34.266700729879155</v>
      </c>
    </row>
    <row r="37" spans="2:7">
      <c r="B37" s="122" t="s">
        <v>327</v>
      </c>
      <c r="E37" s="122">
        <f>+'True Land Cost'!F54</f>
        <v>8.5541295860000002</v>
      </c>
      <c r="F37" s="122">
        <v>0</v>
      </c>
      <c r="G37" s="122">
        <f t="shared" si="1"/>
        <v>8.5541295860000002</v>
      </c>
    </row>
    <row r="38" spans="2:7">
      <c r="B38" s="123" t="s">
        <v>326</v>
      </c>
      <c r="C38" s="123"/>
      <c r="D38" s="123"/>
      <c r="E38" s="126">
        <f>+SUM(E21:E37)</f>
        <v>8.5541295860000002</v>
      </c>
      <c r="F38" s="126">
        <f>+SUM(F21:F37)</f>
        <v>606.21451872987916</v>
      </c>
      <c r="G38" s="126">
        <f>+SUM(G21:G37)</f>
        <v>614.7686483158792</v>
      </c>
    </row>
    <row r="40" spans="2:7">
      <c r="B40" s="123" t="s">
        <v>325</v>
      </c>
      <c r="C40" s="123"/>
      <c r="D40" s="123"/>
      <c r="E40" s="126">
        <f>'True Land Cost'!F40</f>
        <v>19.630691899999999</v>
      </c>
      <c r="F40" s="126">
        <f ca="1">+'Main_O+R_WTC'!$Q$10</f>
        <v>149.38069172845101</v>
      </c>
      <c r="G40" s="126">
        <f ca="1">+E40+F40</f>
        <v>169.011383628451</v>
      </c>
    </row>
    <row r="42" spans="2:7">
      <c r="B42" s="123" t="s">
        <v>324</v>
      </c>
      <c r="C42" s="123"/>
      <c r="D42" s="123"/>
      <c r="E42" s="126">
        <f>+E40+E38+E18+E6</f>
        <v>323.19416918100001</v>
      </c>
      <c r="F42" s="126">
        <f ca="1">+F40+F38+F18+F6</f>
        <v>864.20603305591317</v>
      </c>
      <c r="G42" s="126">
        <f ca="1">+G40+G38+G18+G6</f>
        <v>1187.4002022369132</v>
      </c>
    </row>
  </sheetData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N18"/>
  <sheetViews>
    <sheetView workbookViewId="0">
      <selection activeCell="H8" sqref="H8"/>
    </sheetView>
  </sheetViews>
  <sheetFormatPr defaultRowHeight="15"/>
  <sheetData>
    <row r="4" spans="5:14">
      <c r="J4" t="s">
        <v>340</v>
      </c>
      <c r="K4" t="s">
        <v>341</v>
      </c>
      <c r="L4" t="s">
        <v>342</v>
      </c>
      <c r="M4" t="s">
        <v>343</v>
      </c>
      <c r="N4" t="s">
        <v>344</v>
      </c>
    </row>
    <row r="5" spans="5:14">
      <c r="G5" t="s">
        <v>338</v>
      </c>
      <c r="H5">
        <v>100</v>
      </c>
      <c r="I5">
        <v>110</v>
      </c>
      <c r="J5" s="161">
        <f>AVERAGE(H5:I5)</f>
        <v>105</v>
      </c>
      <c r="K5" s="161">
        <f>J5*1.05</f>
        <v>110.25</v>
      </c>
      <c r="L5" s="161">
        <f t="shared" ref="L5:N7" si="0">K5*1.05</f>
        <v>115.7625</v>
      </c>
      <c r="M5" s="161">
        <f t="shared" si="0"/>
        <v>121.55062500000001</v>
      </c>
      <c r="N5" s="161">
        <f t="shared" si="0"/>
        <v>127.62815625000002</v>
      </c>
    </row>
    <row r="6" spans="5:14">
      <c r="G6" t="s">
        <v>339</v>
      </c>
      <c r="H6">
        <f>H5*1.25</f>
        <v>125</v>
      </c>
      <c r="I6">
        <f>I5*1.25</f>
        <v>137.5</v>
      </c>
      <c r="J6" s="161">
        <f>AVERAGE(H6:I6)</f>
        <v>131.25</v>
      </c>
      <c r="K6" s="161">
        <f>J6*1.05</f>
        <v>137.8125</v>
      </c>
      <c r="L6" s="161">
        <f t="shared" si="0"/>
        <v>144.703125</v>
      </c>
      <c r="M6" s="161">
        <f t="shared" si="0"/>
        <v>151.93828125000002</v>
      </c>
      <c r="N6" s="161">
        <f t="shared" si="0"/>
        <v>159.53519531250004</v>
      </c>
    </row>
    <row r="7" spans="5:14">
      <c r="G7" t="s">
        <v>397</v>
      </c>
      <c r="J7">
        <v>5000</v>
      </c>
      <c r="K7" s="161">
        <f>J7*1.05</f>
        <v>5250</v>
      </c>
      <c r="L7" s="161">
        <f t="shared" si="0"/>
        <v>5512.5</v>
      </c>
      <c r="M7" s="161">
        <f t="shared" si="0"/>
        <v>5788.125</v>
      </c>
      <c r="N7" s="161">
        <f t="shared" si="0"/>
        <v>6077.53125</v>
      </c>
    </row>
    <row r="10" spans="5:14">
      <c r="E10" t="s">
        <v>395</v>
      </c>
      <c r="F10">
        <v>1603</v>
      </c>
    </row>
    <row r="16" spans="5:14">
      <c r="H16">
        <v>1000000</v>
      </c>
    </row>
    <row r="17" spans="8:8">
      <c r="H17">
        <v>18000</v>
      </c>
    </row>
    <row r="18" spans="8:8">
      <c r="H18">
        <f>H16/H17</f>
        <v>55.555555555555557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A2" zoomScale="85" zoomScaleNormal="85" workbookViewId="0">
      <selection activeCell="D30" sqref="D30"/>
    </sheetView>
  </sheetViews>
  <sheetFormatPr defaultRowHeight="15"/>
  <cols>
    <col min="1" max="1" width="9.140625" customWidth="1"/>
    <col min="2" max="2" width="10.42578125" bestFit="1" customWidth="1"/>
    <col min="3" max="3" width="31.28515625" customWidth="1"/>
    <col min="4" max="4" width="10.42578125" customWidth="1"/>
    <col min="5" max="5" width="17" customWidth="1"/>
    <col min="6" max="19" width="10.42578125" customWidth="1"/>
    <col min="20" max="20" width="15.42578125" bestFit="1" customWidth="1"/>
    <col min="21" max="21" width="10.42578125" style="128" customWidth="1"/>
    <col min="22" max="42" width="10.42578125" customWidth="1"/>
    <col min="43" max="49" width="10.42578125" bestFit="1" customWidth="1"/>
  </cols>
  <sheetData>
    <row r="1" spans="1:20">
      <c r="C1" t="s">
        <v>345</v>
      </c>
      <c r="E1">
        <v>366</v>
      </c>
      <c r="F1">
        <f>F9-E9</f>
        <v>365</v>
      </c>
      <c r="G1">
        <f>G9-F9</f>
        <v>365</v>
      </c>
      <c r="H1">
        <f>H9-G9</f>
        <v>365</v>
      </c>
      <c r="I1">
        <f>I9-H9</f>
        <v>366</v>
      </c>
      <c r="J1">
        <f>J9-I9</f>
        <v>365</v>
      </c>
      <c r="K1">
        <f>K9-J9</f>
        <v>365</v>
      </c>
      <c r="L1">
        <f>L9-K9</f>
        <v>365</v>
      </c>
      <c r="M1">
        <f>M9-L9</f>
        <v>366</v>
      </c>
    </row>
    <row r="2" spans="1:20">
      <c r="A2" t="s">
        <v>346</v>
      </c>
      <c r="B2" s="129">
        <v>48393</v>
      </c>
      <c r="C2" t="s">
        <v>347</v>
      </c>
      <c r="E2">
        <f>IF(E9&lt;=$B$2,(E9-B4),($B$2-D9))</f>
        <v>222</v>
      </c>
      <c r="F2">
        <f>IF(F9&lt;=$B$2,(F9-E9),($B$2-E9))</f>
        <v>365</v>
      </c>
      <c r="G2">
        <f>IF(G9&lt;=$B$2,(G9-F9),($B$2-F9))</f>
        <v>365</v>
      </c>
      <c r="H2">
        <f>IF(H9&lt;=$B$2,(H9-G9),($B$2-G9))</f>
        <v>365</v>
      </c>
      <c r="I2">
        <f>IF(I9&lt;=$B$2,(I9-H9),($B$2-H9))</f>
        <v>366</v>
      </c>
      <c r="J2">
        <f>IF(J9&lt;=$B$2,(J9-I9),($B$2-I9))</f>
        <v>365</v>
      </c>
      <c r="K2">
        <f>IF(K9&lt;=$B$2,(K9-J9),($B$2-J9))</f>
        <v>365</v>
      </c>
      <c r="L2">
        <f>IF(L9&lt;=$B$2,(L9-K9),($B$2-K9))</f>
        <v>365</v>
      </c>
      <c r="M2">
        <f>IF(M9&lt;=$B$2,(M9-L9),($B$2-L9))</f>
        <v>366</v>
      </c>
    </row>
    <row r="3" spans="1:20">
      <c r="B3" s="129"/>
      <c r="C3" t="s">
        <v>348</v>
      </c>
    </row>
    <row r="4" spans="1:20">
      <c r="A4" t="s">
        <v>349</v>
      </c>
      <c r="B4" s="129">
        <v>45160</v>
      </c>
    </row>
    <row r="5" spans="1:20" ht="18" thickBot="1">
      <c r="B5" s="129"/>
      <c r="C5" t="s">
        <v>379</v>
      </c>
      <c r="I5" s="158">
        <v>0.6</v>
      </c>
      <c r="J5" s="158">
        <v>0.7</v>
      </c>
      <c r="K5" s="158">
        <v>0.8</v>
      </c>
      <c r="L5" s="158">
        <v>0.9</v>
      </c>
      <c r="M5" s="158">
        <v>0.95</v>
      </c>
      <c r="N5" s="158">
        <v>0.95</v>
      </c>
      <c r="Q5" t="s">
        <v>381</v>
      </c>
      <c r="R5" s="159">
        <v>940761.10639741505</v>
      </c>
      <c r="S5">
        <f>Sheet2!N5</f>
        <v>127.62815625000002</v>
      </c>
      <c r="T5" s="137">
        <f>S5*R5</f>
        <v>120067605.48121218</v>
      </c>
    </row>
    <row r="6" spans="1:20" ht="18" thickBot="1">
      <c r="B6" s="129"/>
      <c r="C6" t="s">
        <v>380</v>
      </c>
      <c r="J6" s="158">
        <v>0.05</v>
      </c>
      <c r="K6" s="158">
        <f>J6</f>
        <v>0.05</v>
      </c>
      <c r="L6" s="158">
        <v>0.05</v>
      </c>
      <c r="M6" s="158">
        <f t="shared" ref="M6:N6" si="0">L6</f>
        <v>0.05</v>
      </c>
      <c r="N6" s="158">
        <f t="shared" si="0"/>
        <v>0.05</v>
      </c>
      <c r="Q6" t="s">
        <v>339</v>
      </c>
      <c r="R6" s="162">
        <v>72407.251583169986</v>
      </c>
      <c r="S6">
        <f>Sheet2!N6</f>
        <v>159.53519531250004</v>
      </c>
      <c r="T6" s="137">
        <f>S6*R6</f>
        <v>11551505.023362352</v>
      </c>
    </row>
    <row r="7" spans="1:20">
      <c r="B7" s="129"/>
      <c r="T7" s="137">
        <f>SUM(T5:T6)</f>
        <v>131619110.50457454</v>
      </c>
    </row>
    <row r="8" spans="1:20">
      <c r="H8" s="130"/>
      <c r="I8" s="130"/>
      <c r="J8" s="130"/>
      <c r="K8" s="130"/>
      <c r="L8" s="130"/>
      <c r="M8" s="130"/>
      <c r="T8" s="137">
        <f>T7*12</f>
        <v>1579429326.0548944</v>
      </c>
    </row>
    <row r="9" spans="1:20">
      <c r="C9" s="131" t="s">
        <v>350</v>
      </c>
      <c r="D9" s="132"/>
      <c r="E9" s="132">
        <v>45382</v>
      </c>
      <c r="F9" s="132">
        <f t="shared" ref="F9:N9" si="1">EDATE(E9,12)</f>
        <v>45747</v>
      </c>
      <c r="G9" s="132">
        <f t="shared" si="1"/>
        <v>46112</v>
      </c>
      <c r="H9" s="132">
        <f t="shared" si="1"/>
        <v>46477</v>
      </c>
      <c r="I9" s="132">
        <f t="shared" si="1"/>
        <v>46843</v>
      </c>
      <c r="J9" s="132">
        <f t="shared" si="1"/>
        <v>47208</v>
      </c>
      <c r="K9" s="132">
        <f t="shared" si="1"/>
        <v>47573</v>
      </c>
      <c r="L9" s="132">
        <f t="shared" si="1"/>
        <v>47938</v>
      </c>
      <c r="M9" s="132">
        <f t="shared" si="1"/>
        <v>48304</v>
      </c>
      <c r="N9" s="132">
        <f t="shared" si="1"/>
        <v>48669</v>
      </c>
      <c r="Q9" t="s">
        <v>382</v>
      </c>
    </row>
    <row r="10" spans="1:20">
      <c r="C10" s="133" t="s">
        <v>351</v>
      </c>
      <c r="D10" s="134"/>
      <c r="E10" s="135"/>
      <c r="F10" s="134"/>
      <c r="G10" s="134"/>
      <c r="H10" s="134"/>
      <c r="I10" s="134"/>
      <c r="J10" s="134"/>
      <c r="K10" s="134"/>
      <c r="L10" s="134"/>
      <c r="M10" s="134"/>
    </row>
    <row r="11" spans="1:20">
      <c r="C11" s="134" t="s">
        <v>378</v>
      </c>
      <c r="D11" s="134"/>
      <c r="E11" s="135"/>
      <c r="F11" s="136"/>
      <c r="G11" s="136"/>
      <c r="H11" s="136"/>
      <c r="I11" s="136">
        <f>T8*I5*(9/12)/10^7</f>
        <v>71.074319672470253</v>
      </c>
      <c r="J11" s="136">
        <f>T8*(1+J6)*J5/10^7</f>
        <v>116.08805546503474</v>
      </c>
      <c r="K11" s="136">
        <f>J11*(1+K6)*(K5/J5)</f>
        <v>139.30566655804171</v>
      </c>
      <c r="L11" s="136">
        <f t="shared" ref="L11:M11" si="2">K11*(1+L6)*(L5/K5)</f>
        <v>164.55481862168676</v>
      </c>
      <c r="M11" s="136">
        <f t="shared" si="2"/>
        <v>182.38159063903618</v>
      </c>
      <c r="N11" s="136">
        <f t="shared" ref="N11" si="3">M11*(1+N6)*(N5/M5)</f>
        <v>191.500670170988</v>
      </c>
    </row>
    <row r="12" spans="1:20">
      <c r="C12" s="134" t="s">
        <v>396</v>
      </c>
      <c r="D12" s="134"/>
      <c r="E12" s="135"/>
      <c r="F12" s="136"/>
      <c r="G12" s="136"/>
      <c r="H12" s="136"/>
      <c r="I12" s="136">
        <f>Sheet2!$F$10*Sheet2!$N$7*Sheet1!I5*9/10^7</f>
        <v>5.2608326006249992</v>
      </c>
      <c r="J12" s="136">
        <f>Sheet2!$F$10*Sheet2!$N$7*(1+J6)*Sheet1!J5*12/10^7</f>
        <v>8.5926932476875013</v>
      </c>
      <c r="K12" s="136">
        <f>Sheet2!$F$10*Sheet2!$N$7*(1+K6)^2*Sheet1!K5*12/10^7</f>
        <v>10.311231897225001</v>
      </c>
      <c r="L12" s="136">
        <f>Sheet2!$F$10*Sheet2!$N$7*(1+L6)^3*Sheet1!L5*12/10^7</f>
        <v>12.180142678597033</v>
      </c>
      <c r="M12" s="136">
        <f>Sheet2!$F$10*Sheet2!$N$7*(1+M6)^4*Sheet1!M5*12/10^7</f>
        <v>13.49965813544504</v>
      </c>
      <c r="N12" s="136">
        <f>Sheet2!$F$10*Sheet2!$N$7*(1+N6)^5*Sheet1!N5*12/10^7</f>
        <v>14.174641042217296</v>
      </c>
    </row>
    <row r="13" spans="1:20">
      <c r="A13" s="137"/>
      <c r="C13" s="134" t="s">
        <v>352</v>
      </c>
      <c r="D13" s="134"/>
      <c r="E13" s="136"/>
      <c r="F13" s="135"/>
      <c r="G13" s="136"/>
      <c r="H13" s="136"/>
      <c r="I13" s="136">
        <f>D55</f>
        <v>2.1322295901741075</v>
      </c>
      <c r="J13" s="136">
        <f t="shared" ref="J13:N13" si="4">E55</f>
        <v>3.3404930246061015</v>
      </c>
      <c r="K13" s="136">
        <f t="shared" si="4"/>
        <v>3.8628892741987579</v>
      </c>
      <c r="L13" s="136">
        <f t="shared" si="4"/>
        <v>4.4114053362710468</v>
      </c>
      <c r="M13" s="136">
        <f t="shared" si="4"/>
        <v>4.4114053362710468</v>
      </c>
      <c r="N13" s="136">
        <f t="shared" si="4"/>
        <v>4.4114053362710468</v>
      </c>
    </row>
    <row r="14" spans="1:20">
      <c r="C14" s="139" t="s">
        <v>353</v>
      </c>
      <c r="D14" s="134"/>
      <c r="E14" s="140"/>
      <c r="F14" s="140"/>
      <c r="G14" s="140"/>
      <c r="H14" s="140"/>
      <c r="I14" s="140">
        <f>SUM(I11:I13)</f>
        <v>78.467381863269352</v>
      </c>
      <c r="J14" s="140">
        <f t="shared" ref="J14:N14" si="5">SUM(J11:J13)</f>
        <v>128.02124173732835</v>
      </c>
      <c r="K14" s="140">
        <f t="shared" si="5"/>
        <v>153.47978772946547</v>
      </c>
      <c r="L14" s="140">
        <f t="shared" si="5"/>
        <v>181.14636663655486</v>
      </c>
      <c r="M14" s="140">
        <f t="shared" si="5"/>
        <v>200.29265411075227</v>
      </c>
      <c r="N14" s="140">
        <f t="shared" si="5"/>
        <v>210.08671654947636</v>
      </c>
    </row>
    <row r="15" spans="1:20">
      <c r="C15" s="133" t="s">
        <v>354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</row>
    <row r="16" spans="1:20">
      <c r="C16" s="134"/>
      <c r="D16" s="134"/>
      <c r="E16" s="135"/>
      <c r="F16" s="135"/>
      <c r="G16" s="135"/>
      <c r="H16" s="136"/>
      <c r="I16" s="136"/>
      <c r="J16" s="136"/>
      <c r="K16" s="136"/>
      <c r="L16" s="136"/>
      <c r="M16" s="136"/>
    </row>
    <row r="17" spans="2:15">
      <c r="C17" s="134" t="s">
        <v>355</v>
      </c>
      <c r="D17" s="134"/>
      <c r="E17" s="138"/>
      <c r="F17" s="138"/>
      <c r="G17" s="138"/>
      <c r="H17" s="138"/>
      <c r="I17" s="138">
        <f>I11*0.5%</f>
        <v>0.35537159836235127</v>
      </c>
      <c r="J17" s="138">
        <f>J11*0.5%</f>
        <v>0.58044027732517367</v>
      </c>
      <c r="K17" s="138">
        <f>K11*0.5%</f>
        <v>0.69652833279020854</v>
      </c>
      <c r="L17" s="138">
        <f>L11*0.5%</f>
        <v>0.82277409310843386</v>
      </c>
      <c r="M17" s="138"/>
      <c r="N17" s="138"/>
    </row>
    <row r="18" spans="2:15">
      <c r="C18" s="134" t="s">
        <v>356</v>
      </c>
      <c r="D18" s="134"/>
      <c r="E18" s="138"/>
      <c r="F18" s="138"/>
      <c r="G18" s="138"/>
      <c r="H18" s="138"/>
      <c r="I18" s="138">
        <f>T7*I5*1/10^7</f>
        <v>7.8971466302744719</v>
      </c>
      <c r="J18" s="138">
        <f>T7*(1+J6)*1.5*(J5-I5)/10^7</f>
        <v>2.0730009904470488</v>
      </c>
      <c r="K18" s="138">
        <f>T7/10^7*(K5-J5)*(1+K6)^2*2</f>
        <v>2.9022013866258711</v>
      </c>
      <c r="L18" s="138">
        <f>T7*(1+L6)^3*2*(L5-K5)/10^7</f>
        <v>3.0473114559571615</v>
      </c>
      <c r="M18" s="138">
        <v>0</v>
      </c>
      <c r="N18" s="138">
        <v>0</v>
      </c>
    </row>
    <row r="19" spans="2:15">
      <c r="C19" s="134"/>
      <c r="D19" s="134"/>
      <c r="E19" s="138"/>
      <c r="F19" s="134"/>
      <c r="G19" s="138"/>
      <c r="H19" s="138"/>
      <c r="I19" s="138"/>
      <c r="J19" s="138"/>
      <c r="K19" s="138"/>
      <c r="L19" s="138"/>
      <c r="M19" s="138"/>
      <c r="N19" s="138"/>
    </row>
    <row r="20" spans="2:15">
      <c r="C20" s="139" t="s">
        <v>357</v>
      </c>
      <c r="D20" s="134"/>
      <c r="E20" s="140"/>
      <c r="F20" s="140"/>
      <c r="G20" s="140"/>
      <c r="H20" s="140"/>
      <c r="I20" s="140">
        <f t="shared" ref="I20:M20" si="6">SUM(I16:I19)</f>
        <v>8.2525182286368235</v>
      </c>
      <c r="J20" s="140">
        <f t="shared" si="6"/>
        <v>2.6534412677722226</v>
      </c>
      <c r="K20" s="140">
        <f t="shared" si="6"/>
        <v>3.5987297194160797</v>
      </c>
      <c r="L20" s="140">
        <f t="shared" si="6"/>
        <v>3.8700855490655952</v>
      </c>
      <c r="M20" s="140">
        <f t="shared" si="6"/>
        <v>0</v>
      </c>
      <c r="N20" s="140">
        <f t="shared" ref="N20" si="7">SUM(N16:N19)</f>
        <v>0</v>
      </c>
    </row>
    <row r="21" spans="2:15">
      <c r="C21" s="141" t="s">
        <v>358</v>
      </c>
      <c r="D21" s="134"/>
      <c r="E21" s="140"/>
      <c r="F21" s="140"/>
      <c r="G21" s="140"/>
      <c r="H21" s="140"/>
      <c r="I21" s="140">
        <f t="shared" ref="I21:N21" si="8">I14-I20</f>
        <v>70.214863634632536</v>
      </c>
      <c r="J21" s="140">
        <f t="shared" si="8"/>
        <v>125.36780046955613</v>
      </c>
      <c r="K21" s="140">
        <f t="shared" si="8"/>
        <v>149.8810580100494</v>
      </c>
      <c r="L21" s="140">
        <f t="shared" si="8"/>
        <v>177.27628108748925</v>
      </c>
      <c r="M21" s="140">
        <f t="shared" si="8"/>
        <v>200.29265411075227</v>
      </c>
      <c r="N21" s="140">
        <f t="shared" si="8"/>
        <v>210.08671654947636</v>
      </c>
    </row>
    <row r="22" spans="2:15">
      <c r="C22" s="134" t="s">
        <v>359</v>
      </c>
      <c r="D22" s="134"/>
      <c r="E22" s="136"/>
      <c r="F22" s="136"/>
      <c r="G22" s="136"/>
      <c r="H22" s="136"/>
      <c r="I22" s="136">
        <f ca="1">'Incurred+Future Cost'!F42*1.5%*(9/12)</f>
        <v>9.7223178718790226</v>
      </c>
      <c r="J22" s="136">
        <f ca="1">'Incurred+Future Cost'!$F$42*1.5%</f>
        <v>12.963090495838697</v>
      </c>
      <c r="K22" s="136">
        <f ca="1">'Incurred+Future Cost'!$F$42*1.5%</f>
        <v>12.963090495838697</v>
      </c>
      <c r="L22" s="136">
        <f ca="1">'Incurred+Future Cost'!$F$42*1.5%</f>
        <v>12.963090495838697</v>
      </c>
      <c r="M22" s="136">
        <f ca="1">'Incurred+Future Cost'!$F$42*1.5%</f>
        <v>12.963090495838697</v>
      </c>
      <c r="N22" s="136">
        <f ca="1">'Incurred+Future Cost'!$F$42*1.5%</f>
        <v>12.963090495838697</v>
      </c>
    </row>
    <row r="23" spans="2:15">
      <c r="C23" s="139" t="s">
        <v>360</v>
      </c>
      <c r="D23" s="134"/>
      <c r="E23" s="142"/>
      <c r="F23" s="142"/>
      <c r="G23" s="142"/>
      <c r="H23" s="142"/>
      <c r="I23" s="142">
        <f t="shared" ref="I23:M23" ca="1" si="9">I21-I22</f>
        <v>60.492545762753515</v>
      </c>
      <c r="J23" s="142">
        <f t="shared" ca="1" si="9"/>
        <v>112.40470997371743</v>
      </c>
      <c r="K23" s="142">
        <f t="shared" ca="1" si="9"/>
        <v>136.91796751421072</v>
      </c>
      <c r="L23" s="142">
        <f t="shared" ca="1" si="9"/>
        <v>164.31319059165057</v>
      </c>
      <c r="M23" s="142">
        <f t="shared" ca="1" si="9"/>
        <v>187.32956361491358</v>
      </c>
      <c r="N23" s="142">
        <f t="shared" ref="N23" ca="1" si="10">N21-N22</f>
        <v>197.12362605363768</v>
      </c>
    </row>
    <row r="24" spans="2:15">
      <c r="C24" s="139" t="s">
        <v>361</v>
      </c>
      <c r="D24" s="143">
        <v>0.25169999999999998</v>
      </c>
      <c r="F24" s="134"/>
      <c r="G24" s="134"/>
      <c r="H24" s="134"/>
      <c r="I24" s="134"/>
      <c r="J24" s="134"/>
      <c r="K24" s="134"/>
      <c r="L24" s="134"/>
      <c r="M24" s="134"/>
    </row>
    <row r="25" spans="2:15">
      <c r="C25" s="141" t="s">
        <v>362</v>
      </c>
      <c r="D25" s="134"/>
      <c r="E25" s="140"/>
      <c r="F25" s="140"/>
      <c r="G25" s="140"/>
      <c r="H25" s="140"/>
      <c r="I25" s="140">
        <f ca="1">I23*(1-$D$24)</f>
        <v>45.266571994268453</v>
      </c>
      <c r="J25" s="140">
        <f ca="1">J23*(1-$D$24)</f>
        <v>84.112444473332744</v>
      </c>
      <c r="K25" s="140">
        <f ca="1">K23*(1-$D$24)</f>
        <v>102.45571509088387</v>
      </c>
      <c r="L25" s="140">
        <f ca="1">L23*(1-$D$24)</f>
        <v>122.95556051973212</v>
      </c>
      <c r="M25" s="140">
        <f ca="1">M23*(1-$D$24)</f>
        <v>140.17871245303982</v>
      </c>
      <c r="N25" s="140">
        <f ca="1">N23*(1-$D$24)</f>
        <v>147.50760937593708</v>
      </c>
    </row>
    <row r="26" spans="2:15">
      <c r="C26" s="134" t="s">
        <v>363</v>
      </c>
      <c r="D26" s="134"/>
      <c r="E26" s="138"/>
      <c r="F26" s="138"/>
      <c r="G26" s="138"/>
      <c r="H26" s="138"/>
      <c r="I26" s="138">
        <f t="shared" ref="I26:N26" ca="1" si="11">I22</f>
        <v>9.7223178718790226</v>
      </c>
      <c r="J26" s="138">
        <f t="shared" ca="1" si="11"/>
        <v>12.963090495838697</v>
      </c>
      <c r="K26" s="138">
        <f t="shared" ca="1" si="11"/>
        <v>12.963090495838697</v>
      </c>
      <c r="L26" s="138">
        <f t="shared" ca="1" si="11"/>
        <v>12.963090495838697</v>
      </c>
      <c r="M26" s="138">
        <f t="shared" ca="1" si="11"/>
        <v>12.963090495838697</v>
      </c>
      <c r="N26" s="138">
        <f t="shared" ca="1" si="11"/>
        <v>12.963090495838697</v>
      </c>
    </row>
    <row r="27" spans="2:15">
      <c r="C27" s="134" t="s">
        <v>364</v>
      </c>
      <c r="D27" s="134"/>
      <c r="E27" s="135">
        <f ca="1">-SUM('PH1_O+R'!H43:J43)</f>
        <v>125.91171998308658</v>
      </c>
      <c r="F27" s="135">
        <f ca="1">-SUM('PH1_O+R'!K43:N43)</f>
        <v>241.15788776600272</v>
      </c>
      <c r="G27" s="135">
        <f ca="1">-SUM('PH1_O+R'!O43:R43)</f>
        <v>232.76215443728688</v>
      </c>
      <c r="H27" s="135">
        <f ca="1">-SUM('PH1_O+R'!S43:V43)</f>
        <v>212.72607309782302</v>
      </c>
      <c r="I27" s="135">
        <f ca="1">-SUM('PH1_O+R'!W43:Z43)</f>
        <v>51.672897771713998</v>
      </c>
      <c r="J27" s="134"/>
      <c r="K27" s="134"/>
      <c r="L27" s="134"/>
      <c r="M27" s="134"/>
    </row>
    <row r="28" spans="2:15">
      <c r="C28" s="141" t="s">
        <v>365</v>
      </c>
      <c r="D28" s="134"/>
      <c r="E28" s="140">
        <f ca="1">E25+E26-E27</f>
        <v>-125.91171998308658</v>
      </c>
      <c r="F28" s="140">
        <f t="shared" ref="F28:N28" ca="1" si="12">F25+F26-F27</f>
        <v>-241.15788776600272</v>
      </c>
      <c r="G28" s="140">
        <f t="shared" ca="1" si="12"/>
        <v>-232.76215443728688</v>
      </c>
      <c r="H28" s="140">
        <f t="shared" ca="1" si="12"/>
        <v>-212.72607309782302</v>
      </c>
      <c r="I28" s="140">
        <f t="shared" ca="1" si="12"/>
        <v>3.3159920944334758</v>
      </c>
      <c r="J28" s="140">
        <f t="shared" ca="1" si="12"/>
        <v>97.075534969171443</v>
      </c>
      <c r="K28" s="140">
        <f t="shared" ca="1" si="12"/>
        <v>115.41880558672257</v>
      </c>
      <c r="L28" s="140">
        <f t="shared" ca="1" si="12"/>
        <v>135.91865101557082</v>
      </c>
      <c r="M28" s="140">
        <f t="shared" ca="1" si="12"/>
        <v>153.14180294887851</v>
      </c>
      <c r="N28" s="140">
        <f t="shared" ca="1" si="12"/>
        <v>160.47069987177576</v>
      </c>
      <c r="O28" s="137"/>
    </row>
    <row r="29" spans="2:15">
      <c r="C29" s="141" t="s">
        <v>391</v>
      </c>
      <c r="D29" s="167">
        <v>0.03</v>
      </c>
      <c r="E29" s="140"/>
      <c r="F29" s="140"/>
      <c r="G29" s="140"/>
      <c r="H29" s="140"/>
      <c r="I29" s="140"/>
      <c r="J29" s="140"/>
      <c r="K29" s="140"/>
      <c r="L29" s="140"/>
      <c r="M29" s="140"/>
    </row>
    <row r="30" spans="2:15">
      <c r="C30" s="134" t="s">
        <v>234</v>
      </c>
      <c r="D30" s="130">
        <f ca="1">'Sheet2 (2)'!F9</f>
        <v>0.11010531087762671</v>
      </c>
      <c r="E30" s="134"/>
      <c r="F30" s="134"/>
      <c r="G30" s="134"/>
      <c r="H30" s="134"/>
      <c r="I30" s="134"/>
      <c r="J30" s="134"/>
      <c r="K30" s="134"/>
      <c r="L30" s="134"/>
      <c r="M30" s="134"/>
    </row>
    <row r="31" spans="2:15">
      <c r="B31" s="130"/>
      <c r="C31" s="134" t="s">
        <v>392</v>
      </c>
      <c r="D31" s="134"/>
      <c r="E31" s="134"/>
      <c r="F31" s="134"/>
      <c r="G31" s="134"/>
      <c r="H31" s="134"/>
      <c r="I31" s="134"/>
      <c r="J31" s="134"/>
      <c r="K31" s="134"/>
      <c r="L31" s="134"/>
      <c r="N31" s="138">
        <f ca="1">N28*(1+D29)/(D30-D29)</f>
        <v>2063.3441036191375</v>
      </c>
    </row>
    <row r="32" spans="2:15">
      <c r="B32" s="130"/>
      <c r="C32" s="134" t="s">
        <v>366</v>
      </c>
      <c r="D32" s="134"/>
      <c r="E32" s="136">
        <f>E2/E1</f>
        <v>0.60655737704918034</v>
      </c>
      <c r="F32" s="138">
        <f>E32+1</f>
        <v>1.6065573770491803</v>
      </c>
      <c r="G32" s="138">
        <f t="shared" ref="G32:N32" si="13">F32+1</f>
        <v>2.6065573770491803</v>
      </c>
      <c r="H32" s="138">
        <f t="shared" si="13"/>
        <v>3.6065573770491803</v>
      </c>
      <c r="I32" s="138">
        <f t="shared" si="13"/>
        <v>4.6065573770491799</v>
      </c>
      <c r="J32" s="138">
        <f t="shared" si="13"/>
        <v>5.6065573770491799</v>
      </c>
      <c r="K32" s="138">
        <f t="shared" si="13"/>
        <v>6.6065573770491799</v>
      </c>
      <c r="L32" s="138">
        <f t="shared" si="13"/>
        <v>7.6065573770491799</v>
      </c>
      <c r="M32" s="138">
        <f t="shared" si="13"/>
        <v>8.6065573770491799</v>
      </c>
      <c r="N32" s="138">
        <f t="shared" si="13"/>
        <v>9.6065573770491799</v>
      </c>
    </row>
    <row r="33" spans="3:14">
      <c r="C33" s="134" t="s">
        <v>367</v>
      </c>
      <c r="D33" s="134"/>
      <c r="E33" s="138">
        <f ca="1">1/(1+$D$30)^E32</f>
        <v>0.93860750344240007</v>
      </c>
      <c r="F33" s="138">
        <f ca="1">1/(1+$D$30)^F32</f>
        <v>0.84551212776412721</v>
      </c>
      <c r="G33" s="138">
        <f ca="1">1/(1+$D$30)^G32</f>
        <v>0.76165037630140031</v>
      </c>
      <c r="H33" s="138">
        <f ca="1">1/(1+$D$30)^H32</f>
        <v>0.68610641606538658</v>
      </c>
      <c r="I33" s="138">
        <f ca="1">1/(1+$D$30)^I32</f>
        <v>0.61805525056263799</v>
      </c>
      <c r="J33" s="138">
        <f ca="1">1/(1+$D$30)^J32</f>
        <v>0.55675371021693065</v>
      </c>
      <c r="K33" s="138">
        <f ca="1">1/(1+$D$30)^K32</f>
        <v>0.50153233640218564</v>
      </c>
      <c r="L33" s="138">
        <f ca="1">1/(1+$D$30)^L32</f>
        <v>0.45178807045404046</v>
      </c>
      <c r="M33" s="138">
        <f ca="1">1/(1+$D$30)^M32</f>
        <v>0.40697766781861983</v>
      </c>
      <c r="N33" s="138">
        <f ca="1">1/(1+$D$30)^N32</f>
        <v>0.36661176541608614</v>
      </c>
    </row>
    <row r="34" spans="3:14">
      <c r="C34" s="134" t="s">
        <v>368</v>
      </c>
      <c r="D34" s="134"/>
      <c r="E34" s="138">
        <f ca="1">E28*E33</f>
        <v>-118.18168514746345</v>
      </c>
      <c r="F34" s="138">
        <f t="shared" ref="F34:M34" ca="1" si="14">F28*F33</f>
        <v>-203.90191881213553</v>
      </c>
      <c r="G34" s="138">
        <f t="shared" ca="1" si="14"/>
        <v>-177.2833825158842</v>
      </c>
      <c r="H34" s="138">
        <f t="shared" ca="1" si="14"/>
        <v>-145.9527236168108</v>
      </c>
      <c r="I34" s="138">
        <f t="shared" ca="1" si="14"/>
        <v>2.0494663247888085</v>
      </c>
      <c r="J34" s="138">
        <f t="shared" ca="1" si="14"/>
        <v>54.047164265379593</v>
      </c>
      <c r="K34" s="138">
        <f t="shared" ca="1" si="14"/>
        <v>57.886263230658606</v>
      </c>
      <c r="L34" s="138">
        <f t="shared" ca="1" si="14"/>
        <v>61.406425081040844</v>
      </c>
      <c r="M34" s="138">
        <f t="shared" ca="1" si="14"/>
        <v>62.325293809673212</v>
      </c>
      <c r="N34" s="138">
        <f t="shared" ref="N34" ca="1" si="15">N28*N33</f>
        <v>58.830446577546624</v>
      </c>
    </row>
    <row r="35" spans="3:14">
      <c r="C35" s="134" t="s">
        <v>393</v>
      </c>
      <c r="D35" s="134"/>
      <c r="E35" s="138"/>
      <c r="F35" s="138"/>
      <c r="G35" s="138"/>
      <c r="H35" s="138"/>
      <c r="I35" s="138"/>
      <c r="J35" s="138"/>
      <c r="K35" s="138"/>
      <c r="L35" s="138"/>
      <c r="N35" s="138">
        <f ca="1">N31*N33</f>
        <v>756.44622448868381</v>
      </c>
    </row>
    <row r="36" spans="3:14">
      <c r="C36" s="144" t="s">
        <v>369</v>
      </c>
      <c r="D36" s="139"/>
      <c r="E36" s="142">
        <f ca="1">SUM(E34:N35)</f>
        <v>407.6715736854776</v>
      </c>
      <c r="F36" s="134"/>
      <c r="G36" s="134"/>
      <c r="H36" s="134"/>
      <c r="I36" s="134"/>
      <c r="J36" s="134"/>
      <c r="K36" s="134"/>
      <c r="L36" s="134"/>
      <c r="M36" s="134"/>
    </row>
    <row r="37" spans="3:14">
      <c r="E37" s="145">
        <f ca="1">E36*10^7</f>
        <v>4076715736.8547759</v>
      </c>
    </row>
    <row r="38" spans="3:14">
      <c r="E38" s="146">
        <v>5440000000</v>
      </c>
    </row>
    <row r="39" spans="3:14">
      <c r="E39" s="146">
        <f>E38*0.85</f>
        <v>4624000000</v>
      </c>
    </row>
    <row r="40" spans="3:14">
      <c r="E40" s="146">
        <f>E38*0.75</f>
        <v>4080000000</v>
      </c>
    </row>
    <row r="52" spans="3:21">
      <c r="D52" s="160" t="s">
        <v>344</v>
      </c>
      <c r="E52" s="160" t="s">
        <v>384</v>
      </c>
      <c r="F52" s="160" t="s">
        <v>385</v>
      </c>
      <c r="G52" s="160" t="s">
        <v>386</v>
      </c>
      <c r="H52" s="160" t="s">
        <v>387</v>
      </c>
      <c r="I52" s="160" t="s">
        <v>394</v>
      </c>
    </row>
    <row r="53" spans="3:21">
      <c r="C53" t="s">
        <v>389</v>
      </c>
      <c r="D53" s="137">
        <f>$T$7*6*I5/10^7</f>
        <v>47.382879781646828</v>
      </c>
      <c r="E53" s="137">
        <f>T7*(1+J6)*(J5-I5)*6/10^7</f>
        <v>8.2920039617881951</v>
      </c>
      <c r="F53" s="137">
        <f>T7*(1+K6)^2*(K5-J5)*6/10^7</f>
        <v>8.7066041598776138</v>
      </c>
      <c r="G53" s="137">
        <f>T7/10^7*(1+L6)^3*(L5-K5)*6</f>
        <v>9.1419343678714853</v>
      </c>
      <c r="H53" s="137"/>
    </row>
    <row r="54" spans="3:21">
      <c r="C54" t="s">
        <v>383</v>
      </c>
      <c r="D54" s="137">
        <f>D53</f>
        <v>47.382879781646828</v>
      </c>
      <c r="E54" s="137">
        <f>D53+E53</f>
        <v>55.674883743435025</v>
      </c>
      <c r="F54" s="137">
        <f t="shared" ref="F54:I54" si="16">E54+F53</f>
        <v>64.381487903312632</v>
      </c>
      <c r="G54" s="137">
        <f t="shared" si="16"/>
        <v>73.523422271184117</v>
      </c>
      <c r="H54" s="137">
        <f t="shared" si="16"/>
        <v>73.523422271184117</v>
      </c>
      <c r="I54" s="137">
        <f t="shared" si="16"/>
        <v>73.523422271184117</v>
      </c>
      <c r="T54" s="128"/>
      <c r="U54"/>
    </row>
    <row r="55" spans="3:21" ht="17.25">
      <c r="C55" t="s">
        <v>388</v>
      </c>
      <c r="D55" s="147">
        <f>D53*6%*(9/12)</f>
        <v>2.1322295901741075</v>
      </c>
      <c r="E55" s="163">
        <f>E54*6%</f>
        <v>3.3404930246061015</v>
      </c>
      <c r="F55" s="163">
        <f>F54*6%</f>
        <v>3.8628892741987579</v>
      </c>
      <c r="G55" s="163">
        <f>G54*6%</f>
        <v>4.4114053362710468</v>
      </c>
      <c r="H55" s="163">
        <f>H54*6%</f>
        <v>4.4114053362710468</v>
      </c>
      <c r="I55" s="163">
        <f>I54*6%</f>
        <v>4.4114053362710468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workbookViewId="0">
      <selection activeCell="F9" sqref="F9"/>
    </sheetView>
  </sheetViews>
  <sheetFormatPr defaultRowHeight="15"/>
  <cols>
    <col min="6" max="6" width="11.5703125" customWidth="1"/>
  </cols>
  <sheetData>
    <row r="3" spans="2:7">
      <c r="C3" s="148" t="s">
        <v>370</v>
      </c>
      <c r="D3" s="148"/>
      <c r="E3" s="148"/>
      <c r="F3" s="148"/>
    </row>
    <row r="4" spans="2:7" ht="30">
      <c r="C4" s="149"/>
      <c r="D4" s="150" t="s">
        <v>371</v>
      </c>
      <c r="E4" s="150" t="s">
        <v>372</v>
      </c>
      <c r="F4" s="150" t="s">
        <v>373</v>
      </c>
      <c r="G4" s="151"/>
    </row>
    <row r="5" spans="2:7">
      <c r="B5">
        <f ca="1">D5/$D$7</f>
        <v>0.49443757725587156</v>
      </c>
      <c r="C5" s="149" t="s">
        <v>374</v>
      </c>
      <c r="D5" s="165">
        <f ca="1">'Main_O+R_WTC'!G73+'Main_O+R_WTC'!G74</f>
        <v>586.76426850724999</v>
      </c>
      <c r="E5" s="153">
        <v>0.15</v>
      </c>
      <c r="F5" s="154">
        <f ca="1">(D5/D7)*E5</f>
        <v>7.4165636588380726E-2</v>
      </c>
      <c r="G5" t="s">
        <v>390</v>
      </c>
    </row>
    <row r="6" spans="2:7">
      <c r="B6">
        <f ca="1">D6/$D$7</f>
        <v>0.50556242274412855</v>
      </c>
      <c r="C6" s="149" t="s">
        <v>375</v>
      </c>
      <c r="D6" s="165">
        <f ca="1">'Main_O+R_WTC'!G76</f>
        <v>599.966464548663</v>
      </c>
      <c r="E6" s="164">
        <v>9.5000000000000001E-2</v>
      </c>
      <c r="F6" s="154">
        <f ca="1">(D6/D7)*(1-Sheet1!D24)*E6</f>
        <v>3.5939674289245979E-2</v>
      </c>
    </row>
    <row r="7" spans="2:7">
      <c r="C7" s="149"/>
      <c r="D7" s="166">
        <f ca="1">SUM(D5:D6)</f>
        <v>1186.7307330559129</v>
      </c>
      <c r="E7" s="152"/>
      <c r="F7" s="155">
        <f ca="1">SUM(F5:F6)</f>
        <v>0.11010531087762671</v>
      </c>
    </row>
    <row r="8" spans="2:7">
      <c r="C8" t="s">
        <v>376</v>
      </c>
      <c r="F8" s="130">
        <v>0</v>
      </c>
    </row>
    <row r="9" spans="2:7">
      <c r="C9" s="156" t="s">
        <v>377</v>
      </c>
      <c r="F9" s="157">
        <f ca="1">F7+F8</f>
        <v>0.11010531087762671</v>
      </c>
    </row>
  </sheetData>
  <mergeCells count="1">
    <mergeCell ref="C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Main_O+R_WTC</vt:lpstr>
      <vt:lpstr>PH1_O+R</vt:lpstr>
      <vt:lpstr>Cost %</vt:lpstr>
      <vt:lpstr>Cost Schedule</vt:lpstr>
      <vt:lpstr>True Land Cost</vt:lpstr>
      <vt:lpstr>Incurred+Future Cost</vt:lpstr>
      <vt:lpstr>Sheet2</vt:lpstr>
      <vt:lpstr>Sheet1</vt:lpstr>
      <vt:lpstr>Sheet2 (2)</vt:lpstr>
      <vt:lpstr>'Main_O+R_WTC'!Print_Area</vt:lpstr>
      <vt:lpstr>'True Land Cost'!Print_Area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Babul</cp:lastModifiedBy>
  <cp:lastPrinted>2023-06-29T08:31:53Z</cp:lastPrinted>
  <dcterms:created xsi:type="dcterms:W3CDTF">2015-07-14T19:11:03Z</dcterms:created>
  <dcterms:modified xsi:type="dcterms:W3CDTF">2023-08-24T09:22:22Z</dcterms:modified>
</cp:coreProperties>
</file>