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WTC Gurgaon Valuation\"/>
    </mc:Choice>
  </mc:AlternateContent>
  <bookViews>
    <workbookView xWindow="0" yWindow="0" windowWidth="21600" windowHeight="9735"/>
  </bookViews>
  <sheets>
    <sheet name="Area Details" sheetId="1" r:id="rId1"/>
  </sheets>
  <externalReferences>
    <externalReference r:id="rId2"/>
  </externalReferences>
  <definedNames>
    <definedName name="_1Excel_BuiltIn_Print_Area_1" localSheetId="0">#REF!</definedName>
    <definedName name="_1Excel_BuiltIn_Print_Area_1">#REF!</definedName>
    <definedName name="_1Excel_BuiltIn_Print_Area_1_1_1">"#REF!"</definedName>
    <definedName name="_1Excel_BuiltIn_Print_Titles_1_1_1" localSheetId="0">#REF!</definedName>
    <definedName name="_1Excel_BuiltIn_Print_Titles_1_1_1">#REF!</definedName>
    <definedName name="_2Excel_BuiltIn_Print_Titles_1_1_1_1" localSheetId="0">#REF!</definedName>
    <definedName name="_2Excel_BuiltIn_Print_Titles_1_1_1_1">#REF!</definedName>
    <definedName name="_5Excel_BuiltIn_Print_Area_5_2_2_1_1">"#REF!"</definedName>
    <definedName name="_BKC1">"#REF!"</definedName>
    <definedName name="a" localSheetId="0">#REF!</definedName>
    <definedName name="A">#REF!</definedName>
    <definedName name="AS2DocOpenMode" hidden="1">"AS2DocumentEdit"</definedName>
    <definedName name="Cashflow">"#REF!"</definedName>
    <definedName name="d" localSheetId="0">#REF!</definedName>
    <definedName name="d">#REF!</definedName>
    <definedName name="DDEEERERERE">"#REF!"</definedName>
    <definedName name="dwdexcece" localSheetId="0">#REF!</definedName>
    <definedName name="dwdexcece">#REF!</definedName>
    <definedName name="ewewe" localSheetId="0">#REF!</definedName>
    <definedName name="ewew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5" localSheetId="0">#REF!</definedName>
    <definedName name="Excel_BuiltIn_Print_Area_1_5">#REF!</definedName>
    <definedName name="Excel_BuiltIn_Print_Area_1_6" localSheetId="0">#REF!</definedName>
    <definedName name="Excel_BuiltIn_Print_Area_1_6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5" localSheetId="0">#REF!</definedName>
    <definedName name="Excel_BuiltIn_Print_Area_5">#REF!</definedName>
    <definedName name="Excel_BuiltIn_Print_Area_5_2" localSheetId="0">#REF!</definedName>
    <definedName name="Excel_BuiltIn_Print_Area_5_2">#REF!</definedName>
    <definedName name="Excel_BuiltIn_Print_Area_5_2_1" localSheetId="0">#REF!</definedName>
    <definedName name="Excel_BuiltIn_Print_Area_5_2_1">#REF!</definedName>
    <definedName name="Excel_BuiltIn_Print_Area_5_2_1_1">"#REF!"</definedName>
    <definedName name="Excel_BuiltIn_Print_Area_5_2_2" localSheetId="0">#REF!</definedName>
    <definedName name="Excel_BuiltIn_Print_Area_5_2_2">#REF!</definedName>
    <definedName name="Excel_BuiltIn_Print_Area_5_2_2_1">"#REF!"</definedName>
    <definedName name="Excel_BuiltIn_Print_Area_5_2_2_1_1">"#REF!"</definedName>
    <definedName name="Excel_BuiltIn_Print_Area_5_2_2_1_1_1">"#REF!"</definedName>
    <definedName name="Excel_BuiltIn_Print_Area_5_2_2_2">"#REF!"</definedName>
    <definedName name="Excel_BuiltIn_Print_Area_5_2_2_2_1">"#REF!"</definedName>
    <definedName name="Excel_BuiltIn_Print_Area_5_2_2_3">"#REF!"</definedName>
    <definedName name="Excel_BuiltIn_Print_Area_5_2_2_3_1">"#REF!"</definedName>
    <definedName name="Excel_BuiltIn_Print_Area_5_2_2_4">"#REF!"</definedName>
    <definedName name="Excel_BuiltIn_Print_Area_5_2_2_5">"#REF!"</definedName>
    <definedName name="Excel_BuiltIn_Print_Area_5_2_2_5_1">"#REF!"</definedName>
    <definedName name="Excel_BuiltIn_Print_Area_5_3" localSheetId="0">#REF!</definedName>
    <definedName name="Excel_BuiltIn_Print_Area_5_3">#REF!</definedName>
    <definedName name="Excel_BuiltIn_Print_Area_5_4" localSheetId="0">#REF!</definedName>
    <definedName name="Excel_BuiltIn_Print_Area_5_4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1_5" localSheetId="0">#REF!</definedName>
    <definedName name="Excel_BuiltIn_Print_Titles_1_1_5">#REF!</definedName>
    <definedName name="feeschedule_HOK" localSheetId="0">#REF!</definedName>
    <definedName name="feeschedule_HOK">#REF!</definedName>
    <definedName name="_xlnm.Print_Area" localSheetId="0">'Area Details'!$A$2:$H$109</definedName>
    <definedName name="sdfdf" localSheetId="0">#REF!</definedName>
    <definedName name="sdfdf">#REF!</definedName>
    <definedName name="ss">#REF!</definedName>
    <definedName name="sssss">#REF!</definedName>
    <definedName name="TextRefCopy2">[1]BS!$C$34</definedName>
    <definedName name="TextRefCopyRangeCount" hidden="1">5</definedName>
    <definedName name="WWEWEWEW">"#REF!"</definedName>
    <definedName name="wwww" localSheetId="0">#REF!</definedName>
    <definedName name="wwww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M13" i="1" l="1"/>
  <c r="M11" i="1" l="1"/>
  <c r="C5" i="1" l="1"/>
  <c r="G7" i="1"/>
  <c r="G8" i="1"/>
  <c r="D9" i="1"/>
  <c r="F12" i="1"/>
  <c r="H12" i="1" s="1"/>
  <c r="G12" i="1"/>
  <c r="C14" i="1"/>
  <c r="D14" i="1"/>
  <c r="F14" i="1"/>
  <c r="E15" i="1"/>
  <c r="E22" i="1"/>
  <c r="E37" i="1" s="1"/>
  <c r="F22" i="1"/>
  <c r="H22" i="1" s="1"/>
  <c r="E23" i="1"/>
  <c r="F23" i="1"/>
  <c r="H23" i="1" s="1"/>
  <c r="E24" i="1"/>
  <c r="F24" i="1"/>
  <c r="H24" i="1"/>
  <c r="E25" i="1"/>
  <c r="F25" i="1"/>
  <c r="H25" i="1"/>
  <c r="E26" i="1"/>
  <c r="F26" i="1"/>
  <c r="H26" i="1"/>
  <c r="E27" i="1"/>
  <c r="F27" i="1"/>
  <c r="H27" i="1" s="1"/>
  <c r="E28" i="1"/>
  <c r="F28" i="1"/>
  <c r="H28" i="1" s="1"/>
  <c r="E29" i="1"/>
  <c r="F29" i="1"/>
  <c r="H29" i="1"/>
  <c r="E30" i="1"/>
  <c r="F30" i="1"/>
  <c r="H30" i="1" s="1"/>
  <c r="E31" i="1"/>
  <c r="F31" i="1"/>
  <c r="H31" i="1" s="1"/>
  <c r="E32" i="1"/>
  <c r="F32" i="1"/>
  <c r="H32" i="1"/>
  <c r="E33" i="1"/>
  <c r="F33" i="1"/>
  <c r="H33" i="1"/>
  <c r="E34" i="1"/>
  <c r="F34" i="1"/>
  <c r="H34" i="1"/>
  <c r="E35" i="1"/>
  <c r="F35" i="1"/>
  <c r="H35" i="1" s="1"/>
  <c r="E36" i="1"/>
  <c r="F36" i="1"/>
  <c r="H36" i="1" s="1"/>
  <c r="C37" i="1"/>
  <c r="D37" i="1"/>
  <c r="D5" i="1" s="1"/>
  <c r="F37" i="1"/>
  <c r="F5" i="1" s="1"/>
  <c r="G37" i="1"/>
  <c r="G5" i="1" s="1"/>
  <c r="E42" i="1"/>
  <c r="F42" i="1"/>
  <c r="F46" i="1" s="1"/>
  <c r="F6" i="1" s="1"/>
  <c r="H6" i="1" s="1"/>
  <c r="E43" i="1"/>
  <c r="F43" i="1"/>
  <c r="H43" i="1"/>
  <c r="E44" i="1"/>
  <c r="F44" i="1"/>
  <c r="H44" i="1"/>
  <c r="E45" i="1"/>
  <c r="F45" i="1"/>
  <c r="H45" i="1"/>
  <c r="C46" i="1"/>
  <c r="C6" i="1" s="1"/>
  <c r="D46" i="1"/>
  <c r="D6" i="1" s="1"/>
  <c r="E46" i="1"/>
  <c r="G46" i="1"/>
  <c r="G6" i="1" s="1"/>
  <c r="E51" i="1"/>
  <c r="F51" i="1"/>
  <c r="H51" i="1"/>
  <c r="E52" i="1"/>
  <c r="F52" i="1"/>
  <c r="H52" i="1" s="1"/>
  <c r="E53" i="1"/>
  <c r="F53" i="1"/>
  <c r="H53" i="1" s="1"/>
  <c r="E54" i="1"/>
  <c r="F54" i="1"/>
  <c r="F70" i="1" s="1"/>
  <c r="F7" i="1" s="1"/>
  <c r="H7" i="1" s="1"/>
  <c r="H54" i="1"/>
  <c r="E55" i="1"/>
  <c r="F55" i="1"/>
  <c r="H55" i="1"/>
  <c r="E56" i="1"/>
  <c r="F56" i="1"/>
  <c r="H56" i="1"/>
  <c r="E57" i="1"/>
  <c r="F57" i="1"/>
  <c r="H57" i="1" s="1"/>
  <c r="E58" i="1"/>
  <c r="F58" i="1"/>
  <c r="H58" i="1" s="1"/>
  <c r="E59" i="1"/>
  <c r="F59" i="1"/>
  <c r="H59" i="1"/>
  <c r="E60" i="1"/>
  <c r="F60" i="1"/>
  <c r="H60" i="1" s="1"/>
  <c r="E61" i="1"/>
  <c r="F61" i="1"/>
  <c r="H61" i="1" s="1"/>
  <c r="E62" i="1"/>
  <c r="F62" i="1"/>
  <c r="H62" i="1"/>
  <c r="E63" i="1"/>
  <c r="F63" i="1"/>
  <c r="H63" i="1"/>
  <c r="E64" i="1"/>
  <c r="F64" i="1"/>
  <c r="H64" i="1"/>
  <c r="E65" i="1"/>
  <c r="F65" i="1"/>
  <c r="H65" i="1" s="1"/>
  <c r="E66" i="1"/>
  <c r="F66" i="1"/>
  <c r="H66" i="1" s="1"/>
  <c r="E67" i="1"/>
  <c r="F67" i="1"/>
  <c r="H67" i="1"/>
  <c r="E68" i="1"/>
  <c r="F68" i="1"/>
  <c r="H68" i="1" s="1"/>
  <c r="E69" i="1"/>
  <c r="F69" i="1"/>
  <c r="H69" i="1" s="1"/>
  <c r="C70" i="1"/>
  <c r="C7" i="1" s="1"/>
  <c r="D70" i="1"/>
  <c r="D7" i="1" s="1"/>
  <c r="E70" i="1"/>
  <c r="G70" i="1"/>
  <c r="E75" i="1"/>
  <c r="F75" i="1"/>
  <c r="H75" i="1"/>
  <c r="C76" i="1"/>
  <c r="E76" i="1"/>
  <c r="F76" i="1"/>
  <c r="H76" i="1" s="1"/>
  <c r="H78" i="1" s="1"/>
  <c r="C77" i="1"/>
  <c r="E77" i="1" s="1"/>
  <c r="F77" i="1"/>
  <c r="H77" i="1"/>
  <c r="C78" i="1"/>
  <c r="C8" i="1" s="1"/>
  <c r="D78" i="1"/>
  <c r="D8" i="1" s="1"/>
  <c r="G78" i="1"/>
  <c r="E83" i="1"/>
  <c r="F83" i="1"/>
  <c r="H83" i="1"/>
  <c r="E84" i="1"/>
  <c r="E87" i="1" s="1"/>
  <c r="F84" i="1"/>
  <c r="H84" i="1" s="1"/>
  <c r="E85" i="1"/>
  <c r="F85" i="1"/>
  <c r="H85" i="1" s="1"/>
  <c r="E86" i="1"/>
  <c r="H86" i="1"/>
  <c r="C87" i="1"/>
  <c r="C9" i="1" s="1"/>
  <c r="E9" i="1" s="1"/>
  <c r="G87" i="1"/>
  <c r="G9" i="1" s="1"/>
  <c r="E92" i="1"/>
  <c r="F92" i="1"/>
  <c r="H92" i="1"/>
  <c r="H95" i="1" s="1"/>
  <c r="E93" i="1"/>
  <c r="F93" i="1"/>
  <c r="H93" i="1" s="1"/>
  <c r="E94" i="1"/>
  <c r="F94" i="1"/>
  <c r="H94" i="1" s="1"/>
  <c r="C95" i="1"/>
  <c r="C12" i="1" s="1"/>
  <c r="D95" i="1"/>
  <c r="D12" i="1" s="1"/>
  <c r="E95" i="1"/>
  <c r="F95" i="1"/>
  <c r="G95" i="1"/>
  <c r="E100" i="1"/>
  <c r="G100" i="1"/>
  <c r="H100" i="1"/>
  <c r="E101" i="1"/>
  <c r="E102" i="1" s="1"/>
  <c r="G101" i="1"/>
  <c r="H101" i="1" s="1"/>
  <c r="H102" i="1" s="1"/>
  <c r="C102" i="1"/>
  <c r="C13" i="1" s="1"/>
  <c r="D102" i="1"/>
  <c r="D13" i="1" s="1"/>
  <c r="F102" i="1"/>
  <c r="F13" i="1" s="1"/>
  <c r="E107" i="1"/>
  <c r="G107" i="1"/>
  <c r="H107" i="1" s="1"/>
  <c r="E108" i="1"/>
  <c r="G108" i="1"/>
  <c r="H108" i="1" s="1"/>
  <c r="C109" i="1"/>
  <c r="D109" i="1"/>
  <c r="E109" i="1"/>
  <c r="F109" i="1"/>
  <c r="E8" i="1" l="1"/>
  <c r="E6" i="1"/>
  <c r="C10" i="1"/>
  <c r="C17" i="1" s="1"/>
  <c r="D15" i="1"/>
  <c r="H70" i="1"/>
  <c r="C15" i="1"/>
  <c r="H87" i="1"/>
  <c r="H37" i="1"/>
  <c r="F15" i="1"/>
  <c r="G10" i="1"/>
  <c r="H109" i="1"/>
  <c r="E78" i="1"/>
  <c r="E7" i="1"/>
  <c r="H5" i="1"/>
  <c r="D10" i="1"/>
  <c r="D17" i="1" s="1"/>
  <c r="E5" i="1"/>
  <c r="G102" i="1"/>
  <c r="G13" i="1" s="1"/>
  <c r="G15" i="1" s="1"/>
  <c r="H42" i="1"/>
  <c r="H46" i="1" s="1"/>
  <c r="G109" i="1"/>
  <c r="G14" i="1" s="1"/>
  <c r="H14" i="1" s="1"/>
  <c r="F87" i="1"/>
  <c r="F9" i="1" s="1"/>
  <c r="H9" i="1" s="1"/>
  <c r="F78" i="1"/>
  <c r="F8" i="1" s="1"/>
  <c r="H8" i="1" s="1"/>
  <c r="G17" i="1" l="1"/>
  <c r="E10" i="1"/>
  <c r="E17" i="1" s="1"/>
  <c r="H13" i="1"/>
  <c r="H15" i="1" s="1"/>
  <c r="H10" i="1"/>
  <c r="F10" i="1"/>
  <c r="F17" i="1" s="1"/>
  <c r="H17" i="1" l="1"/>
</calcChain>
</file>

<file path=xl/sharedStrings.xml><?xml version="1.0" encoding="utf-8"?>
<sst xmlns="http://schemas.openxmlformats.org/spreadsheetml/2006/main" count="164" uniqueCount="47">
  <si>
    <t>Total</t>
  </si>
  <si>
    <t>Level 1 (Tower T3)</t>
  </si>
  <si>
    <t>Level 1 (SAR)</t>
  </si>
  <si>
    <t>BG</t>
  </si>
  <si>
    <t>AG</t>
  </si>
  <si>
    <t>Built up area</t>
  </si>
  <si>
    <t>Parking</t>
  </si>
  <si>
    <t>Floors</t>
  </si>
  <si>
    <t>Sl. #</t>
  </si>
  <si>
    <t>Basement (Part-B)</t>
  </si>
  <si>
    <t xml:space="preserve">Level 1 </t>
  </si>
  <si>
    <t>Level 2</t>
  </si>
  <si>
    <t>Basement (Part-A)</t>
  </si>
  <si>
    <t>Level 4 (Terrace)</t>
  </si>
  <si>
    <t>Office</t>
  </si>
  <si>
    <t>Retail</t>
  </si>
  <si>
    <t>Leasable Area</t>
  </si>
  <si>
    <t>MLCP</t>
  </si>
  <si>
    <t>Basement 1 - part B</t>
  </si>
  <si>
    <t>Level 3 (Terrace)</t>
  </si>
  <si>
    <t>Tower T4 (SAR)</t>
  </si>
  <si>
    <t>Tower T3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</si>
  <si>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</si>
  <si>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</si>
  <si>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</si>
  <si>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</si>
  <si>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</si>
  <si>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</si>
  <si>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</si>
  <si>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</si>
  <si>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>Level 11</t>
  </si>
  <si>
    <t>Level 12</t>
  </si>
  <si>
    <t>Level 13</t>
  </si>
  <si>
    <t>Level 14</t>
  </si>
  <si>
    <t>Level 15</t>
  </si>
  <si>
    <t>Level 16</t>
  </si>
  <si>
    <t>Level 17</t>
  </si>
  <si>
    <t>Level 18</t>
  </si>
  <si>
    <t>Level 20 (Terrace)</t>
  </si>
  <si>
    <t>Tower T2</t>
  </si>
  <si>
    <t xml:space="preserve">Level 3 </t>
  </si>
  <si>
    <t>Connecting Block</t>
  </si>
  <si>
    <t>Level 15 (Terrace)</t>
  </si>
  <si>
    <t xml:space="preserve">Tower T1  </t>
  </si>
  <si>
    <t>Grand Total</t>
  </si>
  <si>
    <t>Tower T1</t>
  </si>
  <si>
    <t>WTC - Area Details (With Panchayat Rasta)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</si>
</sst>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[$-409]General"/>
    <numFmt numFmtId="167" formatCode="_(* #,##0_);_(* \(#,##0\);_(* &quot;-&quot;??_);_(@_)"/>
    <numFmt numFmtId="168" formatCode="0.000"/>
  </numFmts>
  <fonts count="6"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000000"/>
      <name val="Arial1"/>
      <charset val="134"/>
    </font>
    <font>
      <b/>
      <sz val="13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164" fontId="2" fillId="0" borderId="0" xfId="0" applyNumberFormat="1" applyFont="1">
      <alignment vertical="center"/>
    </xf>
    <xf numFmtId="0" fontId="3" fillId="0" borderId="0" xfId="0" applyFont="1">
      <alignment vertical="center"/>
    </xf>
    <xf numFmtId="165" fontId="3" fillId="0" borderId="1" xfId="1" applyNumberFormat="1" applyFont="1" applyFill="1" applyBorder="1" applyAlignment="1">
      <alignment horizontal="right" vertical="center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>
      <alignment horizontal="right" vertical="center"/>
    </xf>
    <xf numFmtId="166" fontId="3" fillId="0" borderId="2" xfId="2" applyNumberFormat="1" applyFont="1" applyBorder="1" applyAlignment="1">
      <alignment horizontal="left" vertical="center"/>
    </xf>
    <xf numFmtId="166" fontId="3" fillId="0" borderId="3" xfId="2" applyNumberFormat="1" applyFont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right" vertical="center"/>
    </xf>
    <xf numFmtId="165" fontId="2" fillId="0" borderId="5" xfId="1" applyNumberFormat="1" applyFont="1" applyFill="1" applyBorder="1" applyAlignment="1">
      <alignment horizontal="right" vertical="center"/>
    </xf>
    <xf numFmtId="165" fontId="2" fillId="0" borderId="6" xfId="1" applyNumberFormat="1" applyFont="1" applyFill="1" applyBorder="1" applyAlignment="1">
      <alignment horizontal="right" vertical="center"/>
    </xf>
    <xf numFmtId="166" fontId="2" fillId="0" borderId="5" xfId="2" applyNumberFormat="1" applyFont="1" applyBorder="1" applyAlignment="1">
      <alignment horizontal="left" vertical="center"/>
    </xf>
    <xf numFmtId="166" fontId="2" fillId="0" borderId="7" xfId="2" applyNumberFormat="1" applyFont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right" vertical="center"/>
    </xf>
    <xf numFmtId="165" fontId="2" fillId="0" borderId="9" xfId="1" applyNumberFormat="1" applyFont="1" applyFill="1" applyBorder="1" applyAlignment="1">
      <alignment horizontal="right" vertical="center"/>
    </xf>
    <xf numFmtId="165" fontId="2" fillId="0" borderId="10" xfId="1" applyNumberFormat="1" applyFont="1" applyFill="1" applyBorder="1" applyAlignment="1">
      <alignment horizontal="right" vertical="center"/>
    </xf>
    <xf numFmtId="166" fontId="2" fillId="0" borderId="11" xfId="2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6" fontId="2" fillId="0" borderId="10" xfId="2" applyNumberFormat="1" applyFont="1" applyBorder="1" applyAlignment="1">
      <alignment horizontal="left"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6" fontId="2" fillId="0" borderId="25" xfId="2" applyNumberFormat="1" applyFont="1" applyBorder="1" applyAlignment="1">
      <alignment horizontal="left" vertical="center" wrapText="1"/>
    </xf>
    <xf numFmtId="166" fontId="2" fillId="0" borderId="26" xfId="2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165" fontId="2" fillId="0" borderId="10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167" fontId="2" fillId="0" borderId="8" xfId="1" applyNumberFormat="1" applyFont="1" applyFill="1" applyBorder="1" applyAlignment="1">
      <alignment vertical="center"/>
    </xf>
    <xf numFmtId="165" fontId="2" fillId="0" borderId="24" xfId="1" applyNumberFormat="1" applyFont="1" applyFill="1" applyBorder="1" applyAlignment="1">
      <alignment vertical="center"/>
    </xf>
    <xf numFmtId="165" fontId="2" fillId="0" borderId="25" xfId="1" applyNumberFormat="1" applyFont="1" applyFill="1" applyBorder="1" applyAlignment="1">
      <alignment vertical="center"/>
    </xf>
    <xf numFmtId="165" fontId="2" fillId="0" borderId="26" xfId="1" applyNumberFormat="1" applyFont="1" applyFill="1" applyBorder="1" applyAlignment="1">
      <alignment vertical="center"/>
    </xf>
    <xf numFmtId="2" fontId="3" fillId="0" borderId="0" xfId="0" applyNumberFormat="1" applyFont="1">
      <alignment vertical="center"/>
    </xf>
    <xf numFmtId="168" fontId="2" fillId="0" borderId="0" xfId="0" applyNumberFormat="1" applyFont="1">
      <alignment vertical="center"/>
    </xf>
    <xf numFmtId="167" fontId="2" fillId="0" borderId="0" xfId="0" applyNumberFormat="1" applyFont="1">
      <alignment vertical="center"/>
    </xf>
    <xf numFmtId="166" fontId="2" fillId="0" borderId="8" xfId="2" applyNumberFormat="1" applyFont="1" applyBorder="1" applyAlignment="1">
      <alignment horizontal="center" vertical="center"/>
    </xf>
    <xf numFmtId="165" fontId="2" fillId="0" borderId="0" xfId="0" applyNumberFormat="1" applyFont="1">
      <alignment vertical="center"/>
    </xf>
    <xf numFmtId="165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165" fontId="3" fillId="0" borderId="1" xfId="1" applyNumberFormat="1" applyFont="1" applyFill="1" applyBorder="1" applyAlignment="1">
      <alignment vertical="center"/>
    </xf>
    <xf numFmtId="1" fontId="2" fillId="0" borderId="0" xfId="0" applyNumberFormat="1" applyFont="1">
      <alignment vertical="center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  <xf numFmtId="166" fontId="5" fillId="2" borderId="2" xfId="2" applyNumberFormat="1" applyFont="1" applyFill="1" applyBorder="1" applyAlignment="1">
      <alignment horizontal="left" vertical="center"/>
    </xf>
    <xf numFmtId="166" fontId="5" fillId="2" borderId="3" xfId="2" applyNumberFormat="1" applyFont="1" applyFill="1" applyBorder="1" applyAlignment="1">
      <alignment horizontal="center" vertical="center"/>
    </xf>
    <xf numFmtId="165" fontId="2" fillId="0" borderId="27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2" fillId="0" borderId="28" xfId="1" applyNumberFormat="1" applyFont="1" applyFill="1" applyBorder="1" applyAlignment="1">
      <alignment horizontal="right" vertical="center"/>
    </xf>
    <xf numFmtId="0" fontId="2" fillId="0" borderId="28" xfId="0" applyFont="1" applyBorder="1">
      <alignment vertical="center"/>
    </xf>
    <xf numFmtId="165" fontId="3" fillId="0" borderId="12" xfId="1" applyNumberFormat="1" applyFont="1" applyFill="1" applyBorder="1" applyAlignment="1">
      <alignment horizontal="right" vertical="center"/>
    </xf>
    <xf numFmtId="165" fontId="3" fillId="0" borderId="13" xfId="1" applyNumberFormat="1" applyFont="1" applyFill="1" applyBorder="1" applyAlignment="1">
      <alignment horizontal="right" vertical="center"/>
    </xf>
    <xf numFmtId="165" fontId="3" fillId="0" borderId="14" xfId="1" applyNumberFormat="1" applyFont="1" applyFill="1" applyBorder="1" applyAlignment="1">
      <alignment horizontal="right" vertical="center"/>
    </xf>
    <xf numFmtId="166" fontId="3" fillId="0" borderId="13" xfId="2" applyNumberFormat="1" applyFont="1" applyBorder="1" applyAlignment="1">
      <alignment horizontal="left" vertical="center"/>
    </xf>
    <xf numFmtId="166" fontId="3" fillId="0" borderId="14" xfId="2" applyNumberFormat="1" applyFont="1" applyBorder="1" applyAlignment="1">
      <alignment horizontal="center" vertical="center"/>
    </xf>
    <xf numFmtId="165" fontId="2" fillId="0" borderId="29" xfId="1" applyNumberFormat="1" applyFont="1" applyFill="1" applyBorder="1" applyAlignment="1">
      <alignment horizontal="right" vertical="center"/>
    </xf>
    <xf numFmtId="165" fontId="2" fillId="0" borderId="30" xfId="1" applyNumberFormat="1" applyFont="1" applyFill="1" applyBorder="1" applyAlignment="1">
      <alignment horizontal="right" vertical="center"/>
    </xf>
    <xf numFmtId="165" fontId="2" fillId="0" borderId="11" xfId="1" applyNumberFormat="1" applyFont="1" applyFill="1" applyBorder="1" applyAlignment="1">
      <alignment horizontal="right" vertical="center"/>
    </xf>
    <xf numFmtId="166" fontId="2" fillId="0" borderId="30" xfId="2" applyNumberFormat="1" applyFont="1" applyBorder="1" applyAlignment="1">
      <alignment horizontal="left" vertical="center"/>
    </xf>
    <xf numFmtId="166" fontId="2" fillId="0" borderId="11" xfId="2" applyNumberFormat="1" applyFont="1" applyBorder="1" applyAlignment="1">
      <alignment horizontal="center" vertical="center"/>
    </xf>
    <xf numFmtId="166" fontId="2" fillId="0" borderId="25" xfId="2" applyNumberFormat="1" applyFont="1" applyBorder="1" applyAlignment="1">
      <alignment horizontal="left" vertical="center"/>
    </xf>
    <xf numFmtId="166" fontId="2" fillId="0" borderId="2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2" fillId="0" borderId="0" xfId="1" applyNumberFormat="1" applyFont="1">
      <alignment vertical="center"/>
    </xf>
    <xf numFmtId="43" fontId="2" fillId="0" borderId="0" xfId="0" applyNumberFormat="1" applyFont="1">
      <alignment vertical="center"/>
    </xf>
    <xf numFmtId="0" fontId="5" fillId="2" borderId="0" xfId="0" applyFont="1" applyFill="1" applyAlignment="1">
      <alignment horizontal="left" vertical="center"/>
    </xf>
    <xf numFmtId="166" fontId="3" fillId="0" borderId="20" xfId="2" applyNumberFormat="1" applyFont="1" applyBorder="1" applyAlignment="1">
      <alignment horizontal="center" vertical="center" wrapText="1"/>
    </xf>
    <xf numFmtId="166" fontId="3" fillId="0" borderId="19" xfId="2" applyNumberFormat="1" applyFont="1" applyBorder="1" applyAlignment="1">
      <alignment horizontal="center" vertical="center" wrapText="1"/>
    </xf>
    <xf numFmtId="166" fontId="3" fillId="0" borderId="18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6" fontId="5" fillId="2" borderId="23" xfId="2" applyNumberFormat="1" applyFont="1" applyFill="1" applyBorder="1" applyAlignment="1">
      <alignment horizontal="left" vertical="center"/>
    </xf>
    <xf numFmtId="166" fontId="5" fillId="2" borderId="22" xfId="2" applyNumberFormat="1" applyFont="1" applyFill="1" applyBorder="1" applyAlignment="1">
      <alignment horizontal="left" vertical="center"/>
    </xf>
    <xf numFmtId="166" fontId="5" fillId="2" borderId="21" xfId="2" applyNumberFormat="1" applyFont="1" applyFill="1" applyBorder="1" applyAlignment="1">
      <alignment horizontal="left" vertical="center"/>
    </xf>
    <xf numFmtId="166" fontId="3" fillId="0" borderId="13" xfId="2" applyNumberFormat="1" applyFont="1" applyBorder="1" applyAlignment="1">
      <alignment horizontal="center" vertical="center" wrapText="1"/>
    </xf>
    <xf numFmtId="166" fontId="3" fillId="0" borderId="14" xfId="2" applyNumberFormat="1" applyFont="1" applyBorder="1" applyAlignment="1">
      <alignment horizontal="center" vertical="center" wrapText="1"/>
    </xf>
    <xf numFmtId="43" fontId="3" fillId="0" borderId="0" xfId="0" applyNumberFormat="1" applyFo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ECPL\Financials\FY%2008-09\Subsidiaries\Neel%20Kamal%202008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ash Flow "/>
      <sheetName val="SCH 1-4 (BS)"/>
      <sheetName val="SCH 5 (P&amp;L)"/>
      <sheetName val="SchIV "/>
      <sheetName val="Annexure-BS"/>
      <sheetName val="Trial Balance"/>
      <sheetName val="Tickmarks"/>
      <sheetName val="Trial 07"/>
      <sheetName val="TCGUI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"/>
  <sheetViews>
    <sheetView tabSelected="1" zoomScale="88" zoomScaleNormal="88" workbookViewId="0">
      <selection activeCell="K17" sqref="K17"/>
    </sheetView>
  </sheetViews>
  <sheetFormatPr defaultColWidth="9" defaultRowHeight="17.25"/>
  <cols>
    <col min="1" max="1" width="5" style="1" customWidth="1"/>
    <col min="2" max="2" width="20.375" style="1" customWidth="1"/>
    <col min="3" max="8" width="13" style="1" customWidth="1"/>
    <col min="9" max="12" width="9" style="1" customWidth="1"/>
    <col min="13" max="13" width="18.375" style="1" bestFit="1" customWidth="1"/>
    <col min="14" max="14" width="9" style="1" customWidth="1"/>
    <col min="15" max="15" width="10.625" style="1" customWidth="1"/>
    <col min="16" max="17" width="10.125" style="1" customWidth="1"/>
    <col min="18" max="16384" width="9" style="1"/>
  </cols>
  <sheetData>
    <row r="1" spans="1:17">
      <c r="H1" s="73"/>
    </row>
    <row r="2" spans="1:17" ht="18" thickBot="1">
      <c r="A2" s="76" t="s">
        <v>46</v>
      </c>
      <c r="B2" s="76"/>
      <c r="C2" s="76"/>
      <c r="D2" s="76"/>
      <c r="E2" s="76"/>
      <c r="F2" s="76"/>
      <c r="G2" s="76"/>
      <c r="H2" s="76"/>
    </row>
    <row r="3" spans="1:17">
      <c r="A3" s="77" t="s">
        <v>8</v>
      </c>
      <c r="B3" s="78" t="s">
        <v>7</v>
      </c>
      <c r="C3" s="77" t="s">
        <v>16</v>
      </c>
      <c r="D3" s="78"/>
      <c r="E3" s="79"/>
      <c r="F3" s="80" t="s">
        <v>5</v>
      </c>
      <c r="G3" s="81"/>
      <c r="H3" s="82"/>
    </row>
    <row r="4" spans="1:17">
      <c r="A4" s="87"/>
      <c r="B4" s="86"/>
      <c r="C4" s="20" t="s">
        <v>15</v>
      </c>
      <c r="D4" s="19" t="s">
        <v>14</v>
      </c>
      <c r="E4" s="18" t="s">
        <v>0</v>
      </c>
      <c r="F4" s="20" t="s">
        <v>4</v>
      </c>
      <c r="G4" s="19" t="s">
        <v>3</v>
      </c>
      <c r="H4" s="18" t="s">
        <v>0</v>
      </c>
    </row>
    <row r="5" spans="1:17">
      <c r="A5" s="45">
        <v>1</v>
      </c>
      <c r="B5" s="21" t="s">
        <v>45</v>
      </c>
      <c r="C5" s="14">
        <f>C37</f>
        <v>0</v>
      </c>
      <c r="D5" s="16">
        <f>D37</f>
        <v>395008.033342565</v>
      </c>
      <c r="E5" s="15">
        <f>SUM(C5:D5)</f>
        <v>395008.033342565</v>
      </c>
      <c r="F5" s="14">
        <f>F37</f>
        <v>328066.88031599997</v>
      </c>
      <c r="G5" s="16">
        <f>G37</f>
        <v>0</v>
      </c>
      <c r="H5" s="15">
        <f>SUM(F5:G5)</f>
        <v>328066.88031599997</v>
      </c>
      <c r="P5" s="2"/>
    </row>
    <row r="6" spans="1:17">
      <c r="A6" s="45">
        <v>2</v>
      </c>
      <c r="B6" s="21" t="s">
        <v>41</v>
      </c>
      <c r="C6" s="14">
        <f>C46</f>
        <v>0</v>
      </c>
      <c r="D6" s="16">
        <f>D46</f>
        <v>33092.181796044999</v>
      </c>
      <c r="E6" s="15">
        <f>SUM(C6:D6)</f>
        <v>33092.181796044999</v>
      </c>
      <c r="F6" s="14">
        <f>F46</f>
        <v>26928.694464</v>
      </c>
      <c r="G6" s="16">
        <f>G46</f>
        <v>0</v>
      </c>
      <c r="H6" s="15">
        <f>SUM(F6:G6)</f>
        <v>26928.694464</v>
      </c>
      <c r="P6" s="2"/>
    </row>
    <row r="7" spans="1:17">
      <c r="A7" s="45">
        <v>3</v>
      </c>
      <c r="B7" s="21" t="s">
        <v>39</v>
      </c>
      <c r="C7" s="14">
        <f>C70</f>
        <v>0</v>
      </c>
      <c r="D7" s="16">
        <f>D70</f>
        <v>512660.891258805</v>
      </c>
      <c r="E7" s="15">
        <f>SUM(C7:D7)</f>
        <v>512660.891258805</v>
      </c>
      <c r="F7" s="14">
        <f>F70</f>
        <v>422168.23092499998</v>
      </c>
      <c r="G7" s="16">
        <f>G70</f>
        <v>0</v>
      </c>
      <c r="H7" s="15">
        <f>SUM(F7:G7)</f>
        <v>422168.23092499998</v>
      </c>
      <c r="P7" s="2"/>
      <c r="Q7" s="2"/>
    </row>
    <row r="8" spans="1:17">
      <c r="A8" s="45">
        <v>4</v>
      </c>
      <c r="B8" s="21" t="s">
        <v>21</v>
      </c>
      <c r="C8" s="14">
        <f>C78</f>
        <v>57712.266695418992</v>
      </c>
      <c r="D8" s="16">
        <f>D78</f>
        <v>0</v>
      </c>
      <c r="E8" s="15">
        <f>SUM(C8:D8)</f>
        <v>57712.266695418992</v>
      </c>
      <c r="F8" s="14">
        <f>F78</f>
        <v>35950.349609999997</v>
      </c>
      <c r="G8" s="16">
        <f>G78</f>
        <v>0</v>
      </c>
      <c r="H8" s="15">
        <f>SUM(F8:G8)</f>
        <v>35950.349609999997</v>
      </c>
      <c r="P8" s="2"/>
    </row>
    <row r="9" spans="1:17">
      <c r="A9" s="72">
        <v>5</v>
      </c>
      <c r="B9" s="12" t="s">
        <v>20</v>
      </c>
      <c r="C9" s="11">
        <f>C87</f>
        <v>14694.984887750999</v>
      </c>
      <c r="D9" s="10">
        <f>D87</f>
        <v>0</v>
      </c>
      <c r="E9" s="9">
        <f>SUM(C9:D9)</f>
        <v>14694.984887750999</v>
      </c>
      <c r="F9" s="11">
        <f>F87</f>
        <v>10484.393808699999</v>
      </c>
      <c r="G9" s="10">
        <f>G87</f>
        <v>0</v>
      </c>
      <c r="H9" s="9">
        <f>SUM(F9:G9)</f>
        <v>10484.393808699999</v>
      </c>
      <c r="M9" s="74">
        <v>70000000</v>
      </c>
      <c r="P9" s="2"/>
    </row>
    <row r="10" spans="1:17" s="3" customFormat="1">
      <c r="A10" s="64"/>
      <c r="B10" s="63" t="s">
        <v>0</v>
      </c>
      <c r="C10" s="62">
        <f t="shared" ref="C10:H10" si="0">SUM(C5:C9)</f>
        <v>72407.251583169986</v>
      </c>
      <c r="D10" s="61">
        <f t="shared" si="0"/>
        <v>940761.10639741505</v>
      </c>
      <c r="E10" s="60">
        <f t="shared" si="0"/>
        <v>1013168.3579805851</v>
      </c>
      <c r="F10" s="62">
        <f t="shared" si="0"/>
        <v>823598.54912370001</v>
      </c>
      <c r="G10" s="61">
        <f t="shared" si="0"/>
        <v>0</v>
      </c>
      <c r="H10" s="60">
        <f t="shared" si="0"/>
        <v>823598.54912370001</v>
      </c>
      <c r="M10" s="3">
        <v>4840</v>
      </c>
      <c r="O10" s="47"/>
      <c r="P10" s="2"/>
      <c r="Q10" s="47"/>
    </row>
    <row r="11" spans="1:17">
      <c r="A11" s="59"/>
      <c r="C11" s="58"/>
      <c r="D11" s="57"/>
      <c r="E11" s="56"/>
      <c r="F11" s="58"/>
      <c r="G11" s="57"/>
      <c r="H11" s="56"/>
      <c r="M11" s="75">
        <f>M9/M10</f>
        <v>14462.809917355371</v>
      </c>
      <c r="O11" s="2"/>
    </row>
    <row r="12" spans="1:17">
      <c r="A12" s="71">
        <v>6</v>
      </c>
      <c r="B12" s="70" t="s">
        <v>17</v>
      </c>
      <c r="C12" s="24">
        <f>C95</f>
        <v>0</v>
      </c>
      <c r="D12" s="23">
        <f>D95</f>
        <v>0</v>
      </c>
      <c r="E12" s="22"/>
      <c r="F12" s="24">
        <f>F95</f>
        <v>74092.055049999995</v>
      </c>
      <c r="G12" s="23">
        <f>G95</f>
        <v>0</v>
      </c>
      <c r="H12" s="22">
        <f>SUM(F12:G12)</f>
        <v>74092.055049999995</v>
      </c>
    </row>
    <row r="13" spans="1:17">
      <c r="A13" s="69">
        <v>7</v>
      </c>
      <c r="B13" s="68" t="s">
        <v>12</v>
      </c>
      <c r="C13" s="67">
        <f>C102</f>
        <v>0</v>
      </c>
      <c r="D13" s="66">
        <f>D102</f>
        <v>0</v>
      </c>
      <c r="E13" s="65"/>
      <c r="F13" s="67">
        <f>F102</f>
        <v>0</v>
      </c>
      <c r="G13" s="66">
        <f>G102</f>
        <v>287954.668771</v>
      </c>
      <c r="H13" s="65">
        <f>SUM(F13:G13)</f>
        <v>287954.668771</v>
      </c>
      <c r="M13" s="75">
        <f>3800*H17</f>
        <v>4729544681.0110598</v>
      </c>
    </row>
    <row r="14" spans="1:17">
      <c r="A14" s="45">
        <v>8</v>
      </c>
      <c r="B14" s="21" t="s">
        <v>9</v>
      </c>
      <c r="C14" s="14">
        <f>C102</f>
        <v>0</v>
      </c>
      <c r="D14" s="16">
        <f>D102</f>
        <v>0</v>
      </c>
      <c r="E14" s="15"/>
      <c r="F14" s="14">
        <f>F102</f>
        <v>0</v>
      </c>
      <c r="G14" s="16">
        <f>G109</f>
        <v>58971.748373999995</v>
      </c>
      <c r="H14" s="15">
        <f>SUM(F14:G14)</f>
        <v>58971.748373999995</v>
      </c>
    </row>
    <row r="15" spans="1:17" s="3" customFormat="1">
      <c r="A15" s="64"/>
      <c r="B15" s="63" t="s">
        <v>0</v>
      </c>
      <c r="C15" s="62">
        <f t="shared" ref="C15:H15" si="1">SUM(C12:C14)</f>
        <v>0</v>
      </c>
      <c r="D15" s="61">
        <f t="shared" si="1"/>
        <v>0</v>
      </c>
      <c r="E15" s="60">
        <f t="shared" si="1"/>
        <v>0</v>
      </c>
      <c r="F15" s="62">
        <f t="shared" si="1"/>
        <v>74092.055049999995</v>
      </c>
      <c r="G15" s="61">
        <f t="shared" si="1"/>
        <v>346926.41714500001</v>
      </c>
      <c r="H15" s="60">
        <f t="shared" si="1"/>
        <v>421018.47219499998</v>
      </c>
    </row>
    <row r="16" spans="1:17">
      <c r="A16" s="59"/>
      <c r="C16" s="58"/>
      <c r="D16" s="57"/>
      <c r="E16" s="56"/>
      <c r="F16" s="58"/>
      <c r="G16" s="57"/>
      <c r="H16" s="56"/>
    </row>
    <row r="17" spans="1:15" s="3" customFormat="1" ht="18" thickBot="1">
      <c r="A17" s="55"/>
      <c r="B17" s="54" t="s">
        <v>44</v>
      </c>
      <c r="C17" s="53">
        <f t="shared" ref="C17:H17" si="2">C10+C15</f>
        <v>72407.251583169986</v>
      </c>
      <c r="D17" s="52">
        <f t="shared" si="2"/>
        <v>940761.10639741505</v>
      </c>
      <c r="E17" s="51">
        <f t="shared" si="2"/>
        <v>1013168.3579805851</v>
      </c>
      <c r="F17" s="53">
        <f t="shared" si="2"/>
        <v>897690.60417369998</v>
      </c>
      <c r="G17" s="52">
        <f t="shared" si="2"/>
        <v>346926.41714500001</v>
      </c>
      <c r="H17" s="51">
        <f t="shared" si="2"/>
        <v>1244617.0213186999</v>
      </c>
      <c r="K17" s="88">
        <f>E17-764210</f>
        <v>248958.35798058507</v>
      </c>
      <c r="O17" s="47"/>
    </row>
    <row r="18" spans="1:15" ht="18" thickBot="1"/>
    <row r="19" spans="1:15" ht="18" thickBot="1">
      <c r="A19" s="83" t="s">
        <v>43</v>
      </c>
      <c r="B19" s="84"/>
      <c r="C19" s="84"/>
      <c r="D19" s="84"/>
      <c r="E19" s="84"/>
      <c r="F19" s="84"/>
      <c r="G19" s="84"/>
      <c r="H19" s="85"/>
    </row>
    <row r="20" spans="1:15">
      <c r="A20" s="77" t="s">
        <v>8</v>
      </c>
      <c r="B20" s="78" t="s">
        <v>7</v>
      </c>
      <c r="C20" s="77" t="s">
        <v>16</v>
      </c>
      <c r="D20" s="78"/>
      <c r="E20" s="79"/>
      <c r="F20" s="80" t="s">
        <v>5</v>
      </c>
      <c r="G20" s="81"/>
      <c r="H20" s="82"/>
      <c r="O20" s="44"/>
    </row>
    <row r="21" spans="1:15">
      <c r="A21" s="87"/>
      <c r="B21" s="86"/>
      <c r="C21" s="20" t="s">
        <v>15</v>
      </c>
      <c r="D21" s="19" t="s">
        <v>14</v>
      </c>
      <c r="E21" s="18" t="s">
        <v>0</v>
      </c>
      <c r="F21" s="20" t="s">
        <v>4</v>
      </c>
      <c r="G21" s="19" t="s">
        <v>3</v>
      </c>
      <c r="H21" s="18" t="s">
        <v>0</v>
      </c>
    </row>
    <row r="22" spans="1:15">
      <c r="A22" s="26">
        <v>1</v>
      </c>
      <c r="B22" s="25" t="s">
        <v>42</v>
      </c>
      <c r="C22" s="41">
        <v>0</v>
      </c>
      <c r="D22" s="40">
        <v>0</v>
      </c>
      <c r="E22" s="39">
        <f t="shared" ref="E22:E36" si="3">C22+D22</f>
        <v>0</v>
      </c>
      <c r="F22" s="41">
        <f>529.77*10.7639</f>
        <v>5702.3913029999994</v>
      </c>
      <c r="G22" s="40">
        <v>0</v>
      </c>
      <c r="H22" s="39">
        <f t="shared" ref="H22:H36" si="4">F22+G22</f>
        <v>5702.3913029999994</v>
      </c>
    </row>
    <row r="23" spans="1:15">
      <c r="A23" s="45">
        <v>2</v>
      </c>
      <c r="B23" s="21" t="s">
        <v>33</v>
      </c>
      <c r="C23" s="37">
        <v>0</v>
      </c>
      <c r="D23" s="36">
        <v>28462.063916374998</v>
      </c>
      <c r="E23" s="35">
        <f t="shared" si="3"/>
        <v>28462.063916374998</v>
      </c>
      <c r="F23" s="37">
        <f>2208.53*10.7639</f>
        <v>23772.396067000001</v>
      </c>
      <c r="G23" s="36">
        <v>0</v>
      </c>
      <c r="H23" s="35">
        <f t="shared" si="4"/>
        <v>23772.396067000001</v>
      </c>
      <c r="O23" s="50"/>
    </row>
    <row r="24" spans="1:15">
      <c r="A24" s="26">
        <v>3</v>
      </c>
      <c r="B24" s="21" t="s">
        <v>32</v>
      </c>
      <c r="C24" s="37">
        <v>0</v>
      </c>
      <c r="D24" s="36">
        <v>30546.468471290002</v>
      </c>
      <c r="E24" s="35">
        <f t="shared" si="3"/>
        <v>30546.468471290002</v>
      </c>
      <c r="F24" s="37">
        <f>2205.32*10.7639</f>
        <v>23737.843948000002</v>
      </c>
      <c r="G24" s="36">
        <v>0</v>
      </c>
      <c r="H24" s="35">
        <f t="shared" si="4"/>
        <v>23737.843948000002</v>
      </c>
      <c r="O24" s="50"/>
    </row>
    <row r="25" spans="1:15">
      <c r="A25" s="45">
        <v>4</v>
      </c>
      <c r="B25" s="21" t="s">
        <v>31</v>
      </c>
      <c r="C25" s="37">
        <v>0</v>
      </c>
      <c r="D25" s="36">
        <v>30505.386893665</v>
      </c>
      <c r="E25" s="35">
        <f t="shared" si="3"/>
        <v>30505.386893665</v>
      </c>
      <c r="F25" s="37">
        <f>2202.57*10.7639</f>
        <v>23708.243223000001</v>
      </c>
      <c r="G25" s="36">
        <v>0</v>
      </c>
      <c r="H25" s="35">
        <f t="shared" si="4"/>
        <v>23708.243223000001</v>
      </c>
      <c r="O25" s="50"/>
    </row>
    <row r="26" spans="1:15">
      <c r="A26" s="26">
        <v>5</v>
      </c>
      <c r="B26" s="21" t="s">
        <v>30</v>
      </c>
      <c r="C26" s="37">
        <v>0</v>
      </c>
      <c r="D26" s="36">
        <v>30458.62858895</v>
      </c>
      <c r="E26" s="35">
        <f t="shared" si="3"/>
        <v>30458.62858895</v>
      </c>
      <c r="F26" s="37">
        <f>2199.44*10.7639</f>
        <v>23674.552216</v>
      </c>
      <c r="G26" s="36">
        <v>0</v>
      </c>
      <c r="H26" s="35">
        <f t="shared" si="4"/>
        <v>23674.552216</v>
      </c>
      <c r="O26" s="50"/>
    </row>
    <row r="27" spans="1:15">
      <c r="A27" s="45">
        <v>6</v>
      </c>
      <c r="B27" s="21" t="s">
        <v>29</v>
      </c>
      <c r="C27" s="37">
        <v>0</v>
      </c>
      <c r="D27" s="36">
        <v>28285.93598903</v>
      </c>
      <c r="E27" s="35">
        <f t="shared" si="3"/>
        <v>28285.93598903</v>
      </c>
      <c r="F27" s="37">
        <f>2196.75*10.7639</f>
        <v>23645.597324999999</v>
      </c>
      <c r="G27" s="36">
        <v>0</v>
      </c>
      <c r="H27" s="35">
        <f t="shared" si="4"/>
        <v>23645.597324999999</v>
      </c>
      <c r="O27" s="50"/>
    </row>
    <row r="28" spans="1:15">
      <c r="A28" s="26">
        <v>7</v>
      </c>
      <c r="B28" s="21" t="s">
        <v>28</v>
      </c>
      <c r="C28" s="37">
        <v>0</v>
      </c>
      <c r="D28" s="36">
        <v>30495.527315035</v>
      </c>
      <c r="E28" s="35">
        <f t="shared" si="3"/>
        <v>30495.527315035</v>
      </c>
      <c r="F28" s="37">
        <f>2191.91*10.7639</f>
        <v>23593.500048999998</v>
      </c>
      <c r="G28" s="36">
        <v>0</v>
      </c>
      <c r="H28" s="35">
        <f t="shared" si="4"/>
        <v>23593.500048999998</v>
      </c>
      <c r="O28" s="50"/>
    </row>
    <row r="29" spans="1:15">
      <c r="A29" s="45">
        <v>8</v>
      </c>
      <c r="B29" s="21" t="s">
        <v>27</v>
      </c>
      <c r="C29" s="37">
        <v>0</v>
      </c>
      <c r="D29" s="36">
        <v>30441.897182789999</v>
      </c>
      <c r="E29" s="35">
        <f t="shared" si="3"/>
        <v>30441.897182789999</v>
      </c>
      <c r="F29" s="37">
        <f>2187.51*10.7639</f>
        <v>23546.138889000002</v>
      </c>
      <c r="G29" s="36">
        <v>0</v>
      </c>
      <c r="H29" s="35">
        <f t="shared" si="4"/>
        <v>23546.138889000002</v>
      </c>
      <c r="O29" s="50"/>
    </row>
    <row r="30" spans="1:15">
      <c r="A30" s="26">
        <v>9</v>
      </c>
      <c r="B30" s="21" t="s">
        <v>26</v>
      </c>
      <c r="C30" s="37">
        <v>0</v>
      </c>
      <c r="D30" s="36">
        <v>30369.892381279999</v>
      </c>
      <c r="E30" s="35">
        <f t="shared" si="3"/>
        <v>30369.892381279999</v>
      </c>
      <c r="F30" s="37">
        <f>2182.69*10.7639</f>
        <v>23494.256891000001</v>
      </c>
      <c r="G30" s="36">
        <v>0</v>
      </c>
      <c r="H30" s="35">
        <f t="shared" si="4"/>
        <v>23494.256891000001</v>
      </c>
      <c r="O30" s="50"/>
    </row>
    <row r="31" spans="1:15">
      <c r="A31" s="45">
        <v>10</v>
      </c>
      <c r="B31" s="21" t="s">
        <v>25</v>
      </c>
      <c r="C31" s="37">
        <v>0</v>
      </c>
      <c r="D31" s="36">
        <v>28173.148385004999</v>
      </c>
      <c r="E31" s="35">
        <f t="shared" si="3"/>
        <v>28173.148385004999</v>
      </c>
      <c r="F31" s="37">
        <f>2178.38*10.7639</f>
        <v>23447.864482000001</v>
      </c>
      <c r="G31" s="36">
        <v>0</v>
      </c>
      <c r="H31" s="35">
        <f t="shared" si="4"/>
        <v>23447.864482000001</v>
      </c>
      <c r="O31" s="50"/>
    </row>
    <row r="32" spans="1:15">
      <c r="A32" s="26">
        <v>11</v>
      </c>
      <c r="B32" s="21" t="s">
        <v>24</v>
      </c>
      <c r="C32" s="37">
        <v>0</v>
      </c>
      <c r="D32" s="36">
        <v>30206.761171220001</v>
      </c>
      <c r="E32" s="35">
        <f t="shared" si="3"/>
        <v>30206.761171220001</v>
      </c>
      <c r="F32" s="37">
        <f>2171.85*10.7639</f>
        <v>23377.576214999997</v>
      </c>
      <c r="G32" s="36">
        <v>0</v>
      </c>
      <c r="H32" s="35">
        <f t="shared" si="4"/>
        <v>23377.576214999997</v>
      </c>
      <c r="O32" s="50"/>
    </row>
    <row r="33" spans="1:16">
      <c r="A33" s="45">
        <v>12</v>
      </c>
      <c r="B33" s="21" t="s">
        <v>23</v>
      </c>
      <c r="C33" s="37">
        <v>0</v>
      </c>
      <c r="D33" s="36">
        <v>30117.427413329999</v>
      </c>
      <c r="E33" s="35">
        <f t="shared" si="3"/>
        <v>30117.427413329999</v>
      </c>
      <c r="F33" s="37">
        <f>2165.79*10.7639</f>
        <v>23312.346980999999</v>
      </c>
      <c r="G33" s="36">
        <v>0</v>
      </c>
      <c r="H33" s="35">
        <f t="shared" si="4"/>
        <v>23312.346980999999</v>
      </c>
      <c r="O33" s="50"/>
    </row>
    <row r="34" spans="1:16">
      <c r="A34" s="26">
        <v>13</v>
      </c>
      <c r="B34" s="21" t="s">
        <v>22</v>
      </c>
      <c r="C34" s="37">
        <v>0</v>
      </c>
      <c r="D34" s="36">
        <v>30021.371215464998</v>
      </c>
      <c r="E34" s="35">
        <f t="shared" si="3"/>
        <v>30021.371215464998</v>
      </c>
      <c r="F34" s="37">
        <f>2159.36*10.7639</f>
        <v>23243.135104000001</v>
      </c>
      <c r="G34" s="36">
        <v>0</v>
      </c>
      <c r="H34" s="35">
        <f t="shared" si="4"/>
        <v>23243.135104000001</v>
      </c>
      <c r="O34" s="50"/>
      <c r="P34" s="46"/>
    </row>
    <row r="35" spans="1:16">
      <c r="A35" s="45">
        <v>14</v>
      </c>
      <c r="B35" s="21" t="s">
        <v>11</v>
      </c>
      <c r="C35" s="37">
        <v>0</v>
      </c>
      <c r="D35" s="36">
        <v>21251.425411634998</v>
      </c>
      <c r="E35" s="35">
        <f t="shared" si="3"/>
        <v>21251.425411634998</v>
      </c>
      <c r="F35" s="37">
        <f>1661.49*10.7639</f>
        <v>17884.112211</v>
      </c>
      <c r="G35" s="36">
        <v>0</v>
      </c>
      <c r="H35" s="35">
        <f t="shared" si="4"/>
        <v>17884.112211</v>
      </c>
      <c r="O35" s="50"/>
      <c r="P35" s="46"/>
    </row>
    <row r="36" spans="1:16">
      <c r="A36" s="45">
        <v>15</v>
      </c>
      <c r="B36" s="12" t="s">
        <v>10</v>
      </c>
      <c r="C36" s="37">
        <v>0</v>
      </c>
      <c r="D36" s="33">
        <v>15672.099007495</v>
      </c>
      <c r="E36" s="32">
        <f t="shared" si="3"/>
        <v>15672.099007495</v>
      </c>
      <c r="F36" s="37">
        <f>2037.08*10.7639</f>
        <v>21926.925411999997</v>
      </c>
      <c r="G36" s="33">
        <v>0</v>
      </c>
      <c r="H36" s="35">
        <f t="shared" si="4"/>
        <v>21926.925411999997</v>
      </c>
      <c r="O36" s="50"/>
      <c r="P36" s="46"/>
    </row>
    <row r="37" spans="1:16" s="3" customFormat="1" ht="18" thickBot="1">
      <c r="A37" s="8"/>
      <c r="B37" s="7" t="s">
        <v>0</v>
      </c>
      <c r="C37" s="29">
        <f t="shared" ref="C37:H37" si="5">SUM(C22:C36)</f>
        <v>0</v>
      </c>
      <c r="D37" s="28">
        <f t="shared" si="5"/>
        <v>395008.033342565</v>
      </c>
      <c r="E37" s="49">
        <f t="shared" si="5"/>
        <v>395008.033342565</v>
      </c>
      <c r="F37" s="29">
        <f t="shared" si="5"/>
        <v>328066.88031599997</v>
      </c>
      <c r="G37" s="28">
        <f t="shared" si="5"/>
        <v>0</v>
      </c>
      <c r="H37" s="49">
        <f t="shared" si="5"/>
        <v>328066.88031599997</v>
      </c>
      <c r="O37" s="48"/>
    </row>
    <row r="38" spans="1:16" ht="18" thickBot="1">
      <c r="D38" s="47"/>
    </row>
    <row r="39" spans="1:16" ht="18" thickBot="1">
      <c r="A39" s="83" t="s">
        <v>41</v>
      </c>
      <c r="B39" s="84"/>
      <c r="C39" s="84"/>
      <c r="D39" s="84"/>
      <c r="E39" s="84"/>
      <c r="F39" s="84"/>
      <c r="G39" s="84"/>
      <c r="H39" s="85"/>
    </row>
    <row r="40" spans="1:16">
      <c r="A40" s="77" t="s">
        <v>8</v>
      </c>
      <c r="B40" s="78" t="s">
        <v>7</v>
      </c>
      <c r="C40" s="77" t="s">
        <v>16</v>
      </c>
      <c r="D40" s="78"/>
      <c r="E40" s="79"/>
      <c r="F40" s="80" t="s">
        <v>5</v>
      </c>
      <c r="G40" s="81"/>
      <c r="H40" s="82"/>
    </row>
    <row r="41" spans="1:16">
      <c r="A41" s="87"/>
      <c r="B41" s="86"/>
      <c r="C41" s="20" t="s">
        <v>15</v>
      </c>
      <c r="D41" s="19" t="s">
        <v>14</v>
      </c>
      <c r="E41" s="18" t="s">
        <v>0</v>
      </c>
      <c r="F41" s="20" t="s">
        <v>4</v>
      </c>
      <c r="G41" s="19" t="s">
        <v>3</v>
      </c>
      <c r="H41" s="18" t="s">
        <v>0</v>
      </c>
    </row>
    <row r="42" spans="1:16">
      <c r="A42" s="26">
        <v>1</v>
      </c>
      <c r="B42" s="25" t="s">
        <v>13</v>
      </c>
      <c r="C42" s="41">
        <v>0</v>
      </c>
      <c r="D42" s="40">
        <v>2974.6049951599998</v>
      </c>
      <c r="E42" s="39">
        <f>C42+D42</f>
        <v>2974.6049951599998</v>
      </c>
      <c r="F42" s="24">
        <f>279.07*10.7639</f>
        <v>3003.8815729999997</v>
      </c>
      <c r="G42" s="40">
        <v>0</v>
      </c>
      <c r="H42" s="39">
        <f>F42+G42</f>
        <v>3003.8815729999997</v>
      </c>
    </row>
    <row r="43" spans="1:16">
      <c r="A43" s="45">
        <v>2</v>
      </c>
      <c r="B43" s="21" t="s">
        <v>40</v>
      </c>
      <c r="C43" s="14">
        <v>0</v>
      </c>
      <c r="D43" s="36">
        <v>10083.211799835</v>
      </c>
      <c r="E43" s="35">
        <f>C43+D43</f>
        <v>10083.211799835</v>
      </c>
      <c r="F43" s="37">
        <f>733.35*10.7639</f>
        <v>7893.7060650000003</v>
      </c>
      <c r="G43" s="36">
        <v>0</v>
      </c>
      <c r="H43" s="35">
        <f>F43+G43</f>
        <v>7893.7060650000003</v>
      </c>
      <c r="O43" s="46"/>
    </row>
    <row r="44" spans="1:16">
      <c r="A44" s="45">
        <v>3</v>
      </c>
      <c r="B44" s="21" t="s">
        <v>11</v>
      </c>
      <c r="C44" s="14">
        <v>0</v>
      </c>
      <c r="D44" s="36">
        <v>10199.88348029</v>
      </c>
      <c r="E44" s="35">
        <f>C44+D44</f>
        <v>10199.88348029</v>
      </c>
      <c r="F44" s="37">
        <f>736.74*10.7639</f>
        <v>7930.195686</v>
      </c>
      <c r="G44" s="36">
        <v>0</v>
      </c>
      <c r="H44" s="35">
        <f>F44+G44</f>
        <v>7930.195686</v>
      </c>
    </row>
    <row r="45" spans="1:16">
      <c r="A45" s="45">
        <v>4</v>
      </c>
      <c r="B45" s="21" t="s">
        <v>10</v>
      </c>
      <c r="C45" s="14">
        <v>0</v>
      </c>
      <c r="D45" s="36">
        <v>9834.4815207600004</v>
      </c>
      <c r="E45" s="35">
        <f>C45+D45</f>
        <v>9834.4815207600004</v>
      </c>
      <c r="F45" s="37">
        <f>752.6*10.7639</f>
        <v>8100.9111400000002</v>
      </c>
      <c r="G45" s="36">
        <v>0</v>
      </c>
      <c r="H45" s="35">
        <f>F45+G45</f>
        <v>8100.9111400000002</v>
      </c>
    </row>
    <row r="46" spans="1:16" s="3" customFormat="1" ht="18" thickBot="1">
      <c r="A46" s="8"/>
      <c r="B46" s="7" t="s">
        <v>0</v>
      </c>
      <c r="C46" s="31">
        <f t="shared" ref="C46:H46" si="6">SUM(C42:C45)</f>
        <v>0</v>
      </c>
      <c r="D46" s="30">
        <f t="shared" si="6"/>
        <v>33092.181796044999</v>
      </c>
      <c r="E46" s="27">
        <f t="shared" si="6"/>
        <v>33092.181796044999</v>
      </c>
      <c r="F46" s="29">
        <f t="shared" si="6"/>
        <v>26928.694464</v>
      </c>
      <c r="G46" s="28">
        <f t="shared" si="6"/>
        <v>0</v>
      </c>
      <c r="H46" s="27">
        <f t="shared" si="6"/>
        <v>26928.694464</v>
      </c>
    </row>
    <row r="47" spans="1:16" ht="18" thickBot="1"/>
    <row r="48" spans="1:16" ht="18" thickBot="1">
      <c r="A48" s="83" t="s">
        <v>39</v>
      </c>
      <c r="B48" s="84"/>
      <c r="C48" s="84"/>
      <c r="D48" s="84"/>
      <c r="E48" s="84"/>
      <c r="F48" s="84"/>
      <c r="G48" s="84"/>
      <c r="H48" s="85"/>
    </row>
    <row r="49" spans="1:16">
      <c r="A49" s="77" t="s">
        <v>8</v>
      </c>
      <c r="B49" s="78" t="s">
        <v>7</v>
      </c>
      <c r="C49" s="77" t="s">
        <v>16</v>
      </c>
      <c r="D49" s="78"/>
      <c r="E49" s="79"/>
      <c r="F49" s="80" t="s">
        <v>5</v>
      </c>
      <c r="G49" s="81"/>
      <c r="H49" s="82"/>
    </row>
    <row r="50" spans="1:16">
      <c r="A50" s="87"/>
      <c r="B50" s="86"/>
      <c r="C50" s="20" t="s">
        <v>15</v>
      </c>
      <c r="D50" s="19" t="s">
        <v>14</v>
      </c>
      <c r="E50" s="18" t="s">
        <v>0</v>
      </c>
      <c r="F50" s="20" t="s">
        <v>4</v>
      </c>
      <c r="G50" s="19" t="s">
        <v>3</v>
      </c>
      <c r="H50" s="18" t="s">
        <v>0</v>
      </c>
    </row>
    <row r="51" spans="1:16">
      <c r="A51" s="26">
        <v>1</v>
      </c>
      <c r="B51" s="25" t="s">
        <v>38</v>
      </c>
      <c r="C51" s="24">
        <v>0</v>
      </c>
      <c r="D51" s="23">
        <v>0</v>
      </c>
      <c r="E51" s="22">
        <f t="shared" ref="E51:E69" si="7">C51+D51</f>
        <v>0</v>
      </c>
      <c r="F51" s="41">
        <f>529.77*10.7639</f>
        <v>5702.3913029999994</v>
      </c>
      <c r="G51" s="23">
        <v>0</v>
      </c>
      <c r="H51" s="22">
        <f t="shared" ref="H51:H69" si="8">F51+G51</f>
        <v>5702.3913029999994</v>
      </c>
      <c r="O51" s="43"/>
      <c r="P51" s="2"/>
    </row>
    <row r="52" spans="1:16">
      <c r="A52" s="26">
        <v>2</v>
      </c>
      <c r="B52" s="21" t="s">
        <v>37</v>
      </c>
      <c r="C52" s="14">
        <v>0</v>
      </c>
      <c r="D52" s="16">
        <v>28474.612470995002</v>
      </c>
      <c r="E52" s="15">
        <f t="shared" si="7"/>
        <v>28474.612470995002</v>
      </c>
      <c r="F52" s="14">
        <f>2209*10.7639</f>
        <v>23777.455099999999</v>
      </c>
      <c r="G52" s="16">
        <v>0</v>
      </c>
      <c r="H52" s="15">
        <f t="shared" si="8"/>
        <v>23777.455099999999</v>
      </c>
      <c r="O52" s="43"/>
      <c r="P52" s="2"/>
    </row>
    <row r="53" spans="1:16">
      <c r="A53" s="17">
        <v>3</v>
      </c>
      <c r="B53" s="21" t="s">
        <v>36</v>
      </c>
      <c r="C53" s="14">
        <v>0</v>
      </c>
      <c r="D53" s="16">
        <v>30568.876604540001</v>
      </c>
      <c r="E53" s="15">
        <f t="shared" si="7"/>
        <v>30568.876604540001</v>
      </c>
      <c r="F53" s="14">
        <f>2206.43*10.7639</f>
        <v>23749.791876999996</v>
      </c>
      <c r="G53" s="16">
        <v>0</v>
      </c>
      <c r="H53" s="15">
        <f t="shared" si="8"/>
        <v>23749.791876999996</v>
      </c>
      <c r="O53" s="43"/>
      <c r="P53" s="2"/>
    </row>
    <row r="54" spans="1:16">
      <c r="A54" s="26">
        <v>4</v>
      </c>
      <c r="B54" s="21" t="s">
        <v>35</v>
      </c>
      <c r="C54" s="14">
        <v>0</v>
      </c>
      <c r="D54" s="16">
        <v>30539.746031315</v>
      </c>
      <c r="E54" s="15">
        <f t="shared" si="7"/>
        <v>30539.746031315</v>
      </c>
      <c r="F54" s="14">
        <f>2204.49*10.7639</f>
        <v>23728.909910999995</v>
      </c>
      <c r="G54" s="16">
        <v>0</v>
      </c>
      <c r="H54" s="15">
        <f t="shared" si="8"/>
        <v>23728.909910999995</v>
      </c>
      <c r="O54" s="43"/>
      <c r="P54" s="2"/>
    </row>
    <row r="55" spans="1:16">
      <c r="A55" s="26">
        <v>5</v>
      </c>
      <c r="B55" s="21" t="s">
        <v>34</v>
      </c>
      <c r="C55" s="14">
        <v>0</v>
      </c>
      <c r="D55" s="16">
        <v>30506.581994104999</v>
      </c>
      <c r="E55" s="15">
        <f t="shared" si="7"/>
        <v>30506.581994104999</v>
      </c>
      <c r="F55" s="14">
        <f>2202.27*10.7639</f>
        <v>23705.014052999999</v>
      </c>
      <c r="G55" s="16">
        <v>0</v>
      </c>
      <c r="H55" s="15">
        <f t="shared" si="8"/>
        <v>23705.014052999999</v>
      </c>
      <c r="O55" s="43"/>
      <c r="P55" s="2"/>
    </row>
    <row r="56" spans="1:16">
      <c r="A56" s="17">
        <v>6</v>
      </c>
      <c r="B56" s="21" t="s">
        <v>33</v>
      </c>
      <c r="C56" s="14">
        <v>0</v>
      </c>
      <c r="D56" s="16">
        <v>28350.620800345001</v>
      </c>
      <c r="E56" s="15">
        <f t="shared" si="7"/>
        <v>28350.620800345001</v>
      </c>
      <c r="F56" s="14">
        <f>2200.69*10.7639</f>
        <v>23688.007090999999</v>
      </c>
      <c r="G56" s="16">
        <v>0</v>
      </c>
      <c r="H56" s="15">
        <f t="shared" si="8"/>
        <v>23688.007090999999</v>
      </c>
      <c r="O56" s="43"/>
      <c r="P56" s="2"/>
    </row>
    <row r="57" spans="1:16">
      <c r="A57" s="26">
        <v>7</v>
      </c>
      <c r="B57" s="21" t="s">
        <v>32</v>
      </c>
      <c r="C57" s="14">
        <v>0</v>
      </c>
      <c r="D57" s="16">
        <v>30429.348628169999</v>
      </c>
      <c r="E57" s="15">
        <f t="shared" si="7"/>
        <v>30429.348628169999</v>
      </c>
      <c r="F57" s="14">
        <f>2197.1*10.7639</f>
        <v>23649.364689999999</v>
      </c>
      <c r="G57" s="16">
        <v>0</v>
      </c>
      <c r="H57" s="15">
        <f t="shared" si="8"/>
        <v>23649.364689999999</v>
      </c>
      <c r="O57" s="43"/>
      <c r="P57" s="2"/>
    </row>
    <row r="58" spans="1:16">
      <c r="A58" s="26">
        <v>8</v>
      </c>
      <c r="B58" s="21" t="s">
        <v>31</v>
      </c>
      <c r="C58" s="14">
        <v>0</v>
      </c>
      <c r="D58" s="16">
        <v>30385.428687</v>
      </c>
      <c r="E58" s="15">
        <f t="shared" si="7"/>
        <v>30385.428687</v>
      </c>
      <c r="F58" s="14">
        <f>2194.14*10.7639</f>
        <v>23617.503545999996</v>
      </c>
      <c r="G58" s="16">
        <v>0</v>
      </c>
      <c r="H58" s="15">
        <f t="shared" si="8"/>
        <v>23617.503545999996</v>
      </c>
      <c r="O58" s="43"/>
      <c r="P58" s="2"/>
    </row>
    <row r="59" spans="1:16">
      <c r="A59" s="17">
        <v>9</v>
      </c>
      <c r="B59" s="21" t="s">
        <v>30</v>
      </c>
      <c r="C59" s="14">
        <v>0</v>
      </c>
      <c r="D59" s="16">
        <v>30496.274252809999</v>
      </c>
      <c r="E59" s="15">
        <f t="shared" si="7"/>
        <v>30496.274252809999</v>
      </c>
      <c r="F59" s="14">
        <f>2190.91*10.7639</f>
        <v>23582.736148999997</v>
      </c>
      <c r="G59" s="16">
        <v>0</v>
      </c>
      <c r="H59" s="15">
        <f t="shared" si="8"/>
        <v>23582.736148999997</v>
      </c>
      <c r="O59" s="43"/>
      <c r="P59" s="2"/>
    </row>
    <row r="60" spans="1:16">
      <c r="A60" s="26">
        <v>10</v>
      </c>
      <c r="B60" s="21" t="s">
        <v>29</v>
      </c>
      <c r="C60" s="14">
        <v>0</v>
      </c>
      <c r="D60" s="16">
        <v>28324.926140885</v>
      </c>
      <c r="E60" s="15">
        <f t="shared" si="7"/>
        <v>28324.926140885</v>
      </c>
      <c r="F60" s="14">
        <f>2190.91*10.7639</f>
        <v>23582.736148999997</v>
      </c>
      <c r="G60" s="16">
        <v>0</v>
      </c>
      <c r="H60" s="15">
        <f t="shared" si="8"/>
        <v>23582.736148999997</v>
      </c>
      <c r="O60" s="43"/>
      <c r="P60" s="2"/>
    </row>
    <row r="61" spans="1:16">
      <c r="A61" s="26">
        <v>11</v>
      </c>
      <c r="B61" s="21" t="s">
        <v>28</v>
      </c>
      <c r="C61" s="14">
        <v>0</v>
      </c>
      <c r="D61" s="16">
        <v>30388.715213209998</v>
      </c>
      <c r="E61" s="15">
        <f t="shared" si="7"/>
        <v>30388.715213209998</v>
      </c>
      <c r="F61" s="14">
        <f>2188.31*10.7639</f>
        <v>23554.750008999999</v>
      </c>
      <c r="G61" s="16">
        <v>0</v>
      </c>
      <c r="H61" s="15">
        <f t="shared" si="8"/>
        <v>23554.750008999999</v>
      </c>
      <c r="O61" s="43"/>
      <c r="P61" s="2"/>
    </row>
    <row r="62" spans="1:16">
      <c r="A62" s="17">
        <v>12</v>
      </c>
      <c r="B62" s="21" t="s">
        <v>27</v>
      </c>
      <c r="C62" s="14">
        <v>0</v>
      </c>
      <c r="D62" s="16">
        <v>30328.960191210001</v>
      </c>
      <c r="E62" s="15">
        <f t="shared" si="7"/>
        <v>30328.960191210001</v>
      </c>
      <c r="F62" s="14">
        <f>2179.71*10.7639</f>
        <v>23462.180468999999</v>
      </c>
      <c r="G62" s="16">
        <v>0</v>
      </c>
      <c r="H62" s="15">
        <f t="shared" si="8"/>
        <v>23462.180468999999</v>
      </c>
      <c r="O62" s="43"/>
      <c r="P62" s="2"/>
    </row>
    <row r="63" spans="1:16">
      <c r="A63" s="26">
        <v>13</v>
      </c>
      <c r="B63" s="21" t="s">
        <v>26</v>
      </c>
      <c r="C63" s="14">
        <v>0</v>
      </c>
      <c r="D63" s="16">
        <v>30265.171705224999</v>
      </c>
      <c r="E63" s="15">
        <f t="shared" si="7"/>
        <v>30265.171705224999</v>
      </c>
      <c r="F63" s="14">
        <f>2175.4*10.7639</f>
        <v>23415.788059999999</v>
      </c>
      <c r="G63" s="16">
        <v>0</v>
      </c>
      <c r="H63" s="15">
        <f t="shared" si="8"/>
        <v>23415.788059999999</v>
      </c>
      <c r="O63" s="43"/>
      <c r="P63" s="2"/>
    </row>
    <row r="64" spans="1:16">
      <c r="A64" s="26">
        <v>14</v>
      </c>
      <c r="B64" s="21" t="s">
        <v>25</v>
      </c>
      <c r="C64" s="14">
        <v>0</v>
      </c>
      <c r="D64" s="16">
        <v>28077.540349805</v>
      </c>
      <c r="E64" s="15">
        <f t="shared" si="7"/>
        <v>28077.540349805</v>
      </c>
      <c r="F64" s="14">
        <f>2171.75*10.7639</f>
        <v>23376.499824999999</v>
      </c>
      <c r="G64" s="16">
        <v>0</v>
      </c>
      <c r="H64" s="15">
        <f t="shared" si="8"/>
        <v>23376.499824999999</v>
      </c>
      <c r="O64" s="43"/>
      <c r="P64" s="2"/>
    </row>
    <row r="65" spans="1:17">
      <c r="A65" s="17">
        <v>15</v>
      </c>
      <c r="B65" s="21" t="s">
        <v>24</v>
      </c>
      <c r="C65" s="14">
        <v>0</v>
      </c>
      <c r="D65" s="16">
        <v>30128.482092400001</v>
      </c>
      <c r="E65" s="15">
        <f t="shared" si="7"/>
        <v>30128.482092400001</v>
      </c>
      <c r="F65" s="14">
        <f>2166.23*10.7639</f>
        <v>23317.083096999999</v>
      </c>
      <c r="G65" s="16">
        <v>0</v>
      </c>
      <c r="H65" s="15">
        <f t="shared" si="8"/>
        <v>23317.083096999999</v>
      </c>
      <c r="O65" s="43"/>
      <c r="P65" s="2"/>
    </row>
    <row r="66" spans="1:17">
      <c r="A66" s="26">
        <v>16</v>
      </c>
      <c r="B66" s="21" t="s">
        <v>23</v>
      </c>
      <c r="C66" s="14">
        <v>0</v>
      </c>
      <c r="D66" s="16">
        <v>30052.593214460001</v>
      </c>
      <c r="E66" s="15">
        <f t="shared" si="7"/>
        <v>30052.593214460001</v>
      </c>
      <c r="F66" s="14">
        <f>2161.21*10.7639</f>
        <v>23263.048318999998</v>
      </c>
      <c r="G66" s="16">
        <v>0</v>
      </c>
      <c r="H66" s="15">
        <f t="shared" si="8"/>
        <v>23263.048318999998</v>
      </c>
      <c r="O66" s="43"/>
      <c r="P66" s="2"/>
    </row>
    <row r="67" spans="1:17">
      <c r="A67" s="26">
        <v>17</v>
      </c>
      <c r="B67" s="21" t="s">
        <v>22</v>
      </c>
      <c r="C67" s="14">
        <v>0</v>
      </c>
      <c r="D67" s="16">
        <v>29973.865972975</v>
      </c>
      <c r="E67" s="15">
        <f t="shared" si="7"/>
        <v>29973.865972975</v>
      </c>
      <c r="F67" s="14">
        <f>2155.93*10.7639</f>
        <v>23206.214926999997</v>
      </c>
      <c r="G67" s="16">
        <v>0</v>
      </c>
      <c r="H67" s="15">
        <f t="shared" si="8"/>
        <v>23206.214926999997</v>
      </c>
      <c r="O67" s="43"/>
      <c r="P67" s="2"/>
    </row>
    <row r="68" spans="1:17">
      <c r="A68" s="17">
        <v>18</v>
      </c>
      <c r="B68" s="21" t="s">
        <v>11</v>
      </c>
      <c r="C68" s="14">
        <v>0</v>
      </c>
      <c r="D68" s="16">
        <v>21217.514436649999</v>
      </c>
      <c r="E68" s="15">
        <f t="shared" si="7"/>
        <v>21217.514436649999</v>
      </c>
      <c r="F68" s="14">
        <f>1659.44*10.7639</f>
        <v>17862.046215999999</v>
      </c>
      <c r="G68" s="16">
        <v>0</v>
      </c>
      <c r="H68" s="15">
        <f t="shared" si="8"/>
        <v>17862.046215999999</v>
      </c>
      <c r="O68" s="43"/>
      <c r="P68" s="2"/>
      <c r="Q68" s="44"/>
    </row>
    <row r="69" spans="1:17">
      <c r="A69" s="26">
        <v>19</v>
      </c>
      <c r="B69" s="12" t="s">
        <v>10</v>
      </c>
      <c r="C69" s="11">
        <v>0</v>
      </c>
      <c r="D69" s="10">
        <v>14151.632472705</v>
      </c>
      <c r="E69" s="32">
        <f t="shared" si="7"/>
        <v>14151.632472705</v>
      </c>
      <c r="F69" s="37">
        <f>2037.06*10.7639</f>
        <v>21926.710133999997</v>
      </c>
      <c r="G69" s="16">
        <v>0</v>
      </c>
      <c r="H69" s="15">
        <f t="shared" si="8"/>
        <v>21926.710133999997</v>
      </c>
      <c r="O69" s="43"/>
      <c r="P69" s="2"/>
      <c r="Q69" s="2"/>
    </row>
    <row r="70" spans="1:17" s="3" customFormat="1" ht="18" thickBot="1">
      <c r="A70" s="8"/>
      <c r="B70" s="7" t="s">
        <v>0</v>
      </c>
      <c r="C70" s="6">
        <f t="shared" ref="C70:H70" si="9">SUM(C51:C69)</f>
        <v>0</v>
      </c>
      <c r="D70" s="5">
        <f t="shared" si="9"/>
        <v>512660.891258805</v>
      </c>
      <c r="E70" s="4">
        <f t="shared" si="9"/>
        <v>512660.891258805</v>
      </c>
      <c r="F70" s="6">
        <f t="shared" si="9"/>
        <v>422168.23092499998</v>
      </c>
      <c r="G70" s="5">
        <f t="shared" si="9"/>
        <v>0</v>
      </c>
      <c r="H70" s="4">
        <f t="shared" si="9"/>
        <v>422168.23092499998</v>
      </c>
      <c r="O70" s="42"/>
      <c r="P70" s="2"/>
    </row>
    <row r="71" spans="1:17" ht="18" thickBot="1"/>
    <row r="72" spans="1:17" ht="18" thickBot="1">
      <c r="A72" s="83" t="s">
        <v>21</v>
      </c>
      <c r="B72" s="84"/>
      <c r="C72" s="84"/>
      <c r="D72" s="84"/>
      <c r="E72" s="84"/>
      <c r="F72" s="84"/>
      <c r="G72" s="84"/>
      <c r="H72" s="85"/>
    </row>
    <row r="73" spans="1:17">
      <c r="A73" s="77" t="s">
        <v>8</v>
      </c>
      <c r="B73" s="78" t="s">
        <v>7</v>
      </c>
      <c r="C73" s="77" t="s">
        <v>16</v>
      </c>
      <c r="D73" s="78"/>
      <c r="E73" s="79"/>
      <c r="F73" s="80" t="s">
        <v>5</v>
      </c>
      <c r="G73" s="81"/>
      <c r="H73" s="82"/>
    </row>
    <row r="74" spans="1:17">
      <c r="A74" s="87"/>
      <c r="B74" s="86"/>
      <c r="C74" s="20" t="s">
        <v>15</v>
      </c>
      <c r="D74" s="19" t="s">
        <v>14</v>
      </c>
      <c r="E74" s="18" t="s">
        <v>0</v>
      </c>
      <c r="F74" s="20" t="s">
        <v>4</v>
      </c>
      <c r="G74" s="19" t="s">
        <v>3</v>
      </c>
      <c r="H74" s="18" t="s">
        <v>0</v>
      </c>
    </row>
    <row r="75" spans="1:17">
      <c r="A75" s="26">
        <v>1</v>
      </c>
      <c r="B75" s="25" t="s">
        <v>19</v>
      </c>
      <c r="C75" s="41">
        <v>0</v>
      </c>
      <c r="D75" s="40">
        <v>0</v>
      </c>
      <c r="E75" s="39">
        <f>C75+D75</f>
        <v>0</v>
      </c>
      <c r="F75" s="24">
        <f>120.86*10.7639</f>
        <v>1300.9249539999998</v>
      </c>
      <c r="G75" s="40">
        <v>0</v>
      </c>
      <c r="H75" s="39">
        <f>F75+G75</f>
        <v>1300.9249539999998</v>
      </c>
    </row>
    <row r="76" spans="1:17">
      <c r="A76" s="17">
        <v>2</v>
      </c>
      <c r="B76" s="21" t="s">
        <v>11</v>
      </c>
      <c r="C76" s="38">
        <f>25519.269398*0.9715</f>
        <v>24791.970220157</v>
      </c>
      <c r="D76" s="36">
        <v>0</v>
      </c>
      <c r="E76" s="35">
        <f>C76+D76</f>
        <v>24791.970220157</v>
      </c>
      <c r="F76" s="37">
        <f>1278.8*10.7639</f>
        <v>13764.875319999999</v>
      </c>
      <c r="G76" s="36">
        <v>0</v>
      </c>
      <c r="H76" s="35">
        <f>F76+G76</f>
        <v>13764.875319999999</v>
      </c>
    </row>
    <row r="77" spans="1:17">
      <c r="A77" s="13">
        <v>3</v>
      </c>
      <c r="B77" s="12" t="s">
        <v>10</v>
      </c>
      <c r="C77" s="34">
        <f>33886.048868*0.9715</f>
        <v>32920.296475261996</v>
      </c>
      <c r="D77" s="33">
        <v>0</v>
      </c>
      <c r="E77" s="32">
        <f>C77+D77</f>
        <v>32920.296475261996</v>
      </c>
      <c r="F77" s="34">
        <f>1940.24*10.7639</f>
        <v>20884.549336</v>
      </c>
      <c r="G77" s="33">
        <v>0</v>
      </c>
      <c r="H77" s="32">
        <f>F77+G77</f>
        <v>20884.549336</v>
      </c>
    </row>
    <row r="78" spans="1:17" s="3" customFormat="1" ht="18" thickBot="1">
      <c r="A78" s="8"/>
      <c r="B78" s="7" t="s">
        <v>0</v>
      </c>
      <c r="C78" s="31">
        <f t="shared" ref="C78:H78" si="10">SUM(C75:C77)</f>
        <v>57712.266695418992</v>
      </c>
      <c r="D78" s="30">
        <f t="shared" si="10"/>
        <v>0</v>
      </c>
      <c r="E78" s="27">
        <f t="shared" si="10"/>
        <v>57712.266695418992</v>
      </c>
      <c r="F78" s="29">
        <f t="shared" si="10"/>
        <v>35950.349609999997</v>
      </c>
      <c r="G78" s="28">
        <f t="shared" si="10"/>
        <v>0</v>
      </c>
      <c r="H78" s="27">
        <f t="shared" si="10"/>
        <v>35950.349609999997</v>
      </c>
    </row>
    <row r="79" spans="1:17" ht="18" thickBot="1"/>
    <row r="80" spans="1:17" ht="18" thickBot="1">
      <c r="A80" s="83" t="s">
        <v>20</v>
      </c>
      <c r="B80" s="84"/>
      <c r="C80" s="84"/>
      <c r="D80" s="84"/>
      <c r="E80" s="84"/>
      <c r="F80" s="84"/>
      <c r="G80" s="84"/>
      <c r="H80" s="85"/>
    </row>
    <row r="81" spans="1:8">
      <c r="A81" s="77" t="s">
        <v>8</v>
      </c>
      <c r="B81" s="78" t="s">
        <v>7</v>
      </c>
      <c r="C81" s="77" t="s">
        <v>16</v>
      </c>
      <c r="D81" s="78"/>
      <c r="E81" s="79"/>
      <c r="F81" s="80" t="s">
        <v>5</v>
      </c>
      <c r="G81" s="81"/>
      <c r="H81" s="82"/>
    </row>
    <row r="82" spans="1:8">
      <c r="A82" s="87"/>
      <c r="B82" s="86"/>
      <c r="C82" s="20" t="s">
        <v>15</v>
      </c>
      <c r="D82" s="19" t="s">
        <v>14</v>
      </c>
      <c r="E82" s="18" t="s">
        <v>0</v>
      </c>
      <c r="F82" s="20" t="s">
        <v>4</v>
      </c>
      <c r="G82" s="19" t="s">
        <v>3</v>
      </c>
      <c r="H82" s="18" t="s">
        <v>0</v>
      </c>
    </row>
    <row r="83" spans="1:8">
      <c r="A83" s="26">
        <v>1</v>
      </c>
      <c r="B83" s="25" t="s">
        <v>19</v>
      </c>
      <c r="C83" s="24">
        <v>0</v>
      </c>
      <c r="D83" s="23">
        <v>0</v>
      </c>
      <c r="E83" s="22">
        <f>C83+D83</f>
        <v>0</v>
      </c>
      <c r="F83" s="24">
        <f>126.19*10.7639</f>
        <v>1358.2965409999999</v>
      </c>
      <c r="G83" s="23"/>
      <c r="H83" s="22">
        <f>F83+G83</f>
        <v>1358.2965409999999</v>
      </c>
    </row>
    <row r="84" spans="1:8">
      <c r="A84" s="17">
        <v>2</v>
      </c>
      <c r="B84" s="21" t="s">
        <v>11</v>
      </c>
      <c r="C84" s="14">
        <v>7528.0870591149996</v>
      </c>
      <c r="D84" s="16">
        <v>0</v>
      </c>
      <c r="E84" s="15">
        <f>C84+D84</f>
        <v>7528.0870591149996</v>
      </c>
      <c r="F84" s="11">
        <f>425.02*10.7639</f>
        <v>4574.8727779999999</v>
      </c>
      <c r="G84" s="16"/>
      <c r="H84" s="15">
        <f>F84+G84</f>
        <v>4574.8727779999999</v>
      </c>
    </row>
    <row r="85" spans="1:8">
      <c r="A85" s="13">
        <v>3</v>
      </c>
      <c r="B85" s="12" t="s">
        <v>10</v>
      </c>
      <c r="C85" s="11">
        <v>7166.8978286359998</v>
      </c>
      <c r="D85" s="10">
        <v>0</v>
      </c>
      <c r="E85" s="9">
        <f>C85+D85</f>
        <v>7166.8978286359998</v>
      </c>
      <c r="F85" s="11">
        <f>422.823*10.7639</f>
        <v>4551.2244897</v>
      </c>
      <c r="G85" s="10"/>
      <c r="H85" s="9">
        <f>F85+G85</f>
        <v>4551.2244897</v>
      </c>
    </row>
    <row r="86" spans="1:8">
      <c r="A86" s="13">
        <v>4</v>
      </c>
      <c r="B86" s="12" t="s">
        <v>18</v>
      </c>
      <c r="C86" s="11">
        <v>0</v>
      </c>
      <c r="D86" s="10">
        <v>0</v>
      </c>
      <c r="E86" s="9">
        <f>C86+D86</f>
        <v>0</v>
      </c>
      <c r="F86" s="11"/>
      <c r="G86" s="10"/>
      <c r="H86" s="9">
        <f>F86+G86</f>
        <v>0</v>
      </c>
    </row>
    <row r="87" spans="1:8" s="3" customFormat="1" ht="18" thickBot="1">
      <c r="A87" s="8"/>
      <c r="B87" s="7" t="s">
        <v>0</v>
      </c>
      <c r="C87" s="6">
        <f>SUM(C83:C86)</f>
        <v>14694.984887750999</v>
      </c>
      <c r="D87" s="5">
        <v>0</v>
      </c>
      <c r="E87" s="4">
        <f>SUM(E83:E86)</f>
        <v>14694.984887750999</v>
      </c>
      <c r="F87" s="6">
        <f>SUM(F83:F86)</f>
        <v>10484.393808699999</v>
      </c>
      <c r="G87" s="5">
        <f>SUM(G83:G86)</f>
        <v>0</v>
      </c>
      <c r="H87" s="4">
        <f>SUM(H83:H86)</f>
        <v>10484.393808699999</v>
      </c>
    </row>
    <row r="88" spans="1:8" ht="18" thickBot="1"/>
    <row r="89" spans="1:8" ht="18" thickBot="1">
      <c r="A89" s="83" t="s">
        <v>17</v>
      </c>
      <c r="B89" s="84"/>
      <c r="C89" s="84"/>
      <c r="D89" s="84"/>
      <c r="E89" s="84"/>
      <c r="F89" s="84"/>
      <c r="G89" s="84"/>
      <c r="H89" s="85"/>
    </row>
    <row r="90" spans="1:8">
      <c r="A90" s="77" t="s">
        <v>8</v>
      </c>
      <c r="B90" s="78" t="s">
        <v>7</v>
      </c>
      <c r="C90" s="77" t="s">
        <v>16</v>
      </c>
      <c r="D90" s="78"/>
      <c r="E90" s="79"/>
      <c r="F90" s="80" t="s">
        <v>5</v>
      </c>
      <c r="G90" s="81"/>
      <c r="H90" s="82"/>
    </row>
    <row r="91" spans="1:8">
      <c r="A91" s="87"/>
      <c r="B91" s="86"/>
      <c r="C91" s="20" t="s">
        <v>15</v>
      </c>
      <c r="D91" s="19" t="s">
        <v>14</v>
      </c>
      <c r="E91" s="18" t="s">
        <v>0</v>
      </c>
      <c r="F91" s="20" t="s">
        <v>4</v>
      </c>
      <c r="G91" s="19" t="s">
        <v>3</v>
      </c>
      <c r="H91" s="18" t="s">
        <v>0</v>
      </c>
    </row>
    <row r="92" spans="1:8">
      <c r="A92" s="26">
        <v>1</v>
      </c>
      <c r="B92" s="25" t="s">
        <v>13</v>
      </c>
      <c r="C92" s="24">
        <v>0</v>
      </c>
      <c r="D92" s="23">
        <v>0</v>
      </c>
      <c r="E92" s="22">
        <f>C92+D92</f>
        <v>0</v>
      </c>
      <c r="F92" s="24">
        <f>75.95*10.7639+580</f>
        <v>1397.5182049999999</v>
      </c>
      <c r="G92" s="23">
        <v>0</v>
      </c>
      <c r="H92" s="22">
        <f>F92+G92</f>
        <v>1397.5182049999999</v>
      </c>
    </row>
    <row r="93" spans="1:8">
      <c r="A93" s="17">
        <v>3</v>
      </c>
      <c r="B93" s="21" t="s">
        <v>11</v>
      </c>
      <c r="C93" s="14">
        <v>0</v>
      </c>
      <c r="D93" s="16">
        <v>0</v>
      </c>
      <c r="E93" s="15">
        <f>C93+D93</f>
        <v>0</v>
      </c>
      <c r="F93" s="11">
        <f>3341.5*10.7639</f>
        <v>35967.57185</v>
      </c>
      <c r="G93" s="16">
        <v>0</v>
      </c>
      <c r="H93" s="15">
        <f>F93+G93</f>
        <v>35967.57185</v>
      </c>
    </row>
    <row r="94" spans="1:8">
      <c r="A94" s="13">
        <v>4</v>
      </c>
      <c r="B94" s="12" t="s">
        <v>10</v>
      </c>
      <c r="C94" s="11">
        <v>0</v>
      </c>
      <c r="D94" s="10">
        <v>0</v>
      </c>
      <c r="E94" s="9">
        <f>C94+D94</f>
        <v>0</v>
      </c>
      <c r="F94" s="11">
        <f>3412.05*10.7639</f>
        <v>36726.964995000002</v>
      </c>
      <c r="G94" s="10">
        <v>0</v>
      </c>
      <c r="H94" s="9">
        <f>F94+G94</f>
        <v>36726.964995000002</v>
      </c>
    </row>
    <row r="95" spans="1:8" s="3" customFormat="1" ht="18" thickBot="1">
      <c r="A95" s="8"/>
      <c r="B95" s="7" t="s">
        <v>0</v>
      </c>
      <c r="C95" s="6">
        <f t="shared" ref="C95:H95" si="11">SUM(C92:C94)</f>
        <v>0</v>
      </c>
      <c r="D95" s="5">
        <f t="shared" si="11"/>
        <v>0</v>
      </c>
      <c r="E95" s="4">
        <f t="shared" si="11"/>
        <v>0</v>
      </c>
      <c r="F95" s="6">
        <f t="shared" si="11"/>
        <v>74092.055049999995</v>
      </c>
      <c r="G95" s="5">
        <f t="shared" si="11"/>
        <v>0</v>
      </c>
      <c r="H95" s="4">
        <f t="shared" si="11"/>
        <v>74092.055049999995</v>
      </c>
    </row>
    <row r="96" spans="1:8" ht="18" thickBot="1"/>
    <row r="97" spans="1:8" ht="18" thickBot="1">
      <c r="A97" s="83" t="s">
        <v>12</v>
      </c>
      <c r="B97" s="84"/>
      <c r="C97" s="84"/>
      <c r="D97" s="84"/>
      <c r="E97" s="84"/>
      <c r="F97" s="84"/>
      <c r="G97" s="84"/>
      <c r="H97" s="85"/>
    </row>
    <row r="98" spans="1:8">
      <c r="A98" s="77" t="s">
        <v>8</v>
      </c>
      <c r="B98" s="78" t="s">
        <v>7</v>
      </c>
      <c r="C98" s="77" t="s">
        <v>6</v>
      </c>
      <c r="D98" s="78"/>
      <c r="E98" s="79"/>
      <c r="F98" s="80" t="s">
        <v>5</v>
      </c>
      <c r="G98" s="81"/>
      <c r="H98" s="82"/>
    </row>
    <row r="99" spans="1:8">
      <c r="A99" s="87"/>
      <c r="B99" s="86"/>
      <c r="C99" s="20"/>
      <c r="D99" s="19"/>
      <c r="E99" s="18"/>
      <c r="F99" s="20" t="s">
        <v>4</v>
      </c>
      <c r="G99" s="19" t="s">
        <v>3</v>
      </c>
      <c r="H99" s="18" t="s">
        <v>0</v>
      </c>
    </row>
    <row r="100" spans="1:8">
      <c r="A100" s="17">
        <v>1</v>
      </c>
      <c r="B100" s="21" t="s">
        <v>11</v>
      </c>
      <c r="C100" s="14">
        <v>0</v>
      </c>
      <c r="D100" s="16">
        <v>0</v>
      </c>
      <c r="E100" s="15">
        <f>C100+D100</f>
        <v>0</v>
      </c>
      <c r="F100" s="14">
        <v>0</v>
      </c>
      <c r="G100" s="16">
        <f>13697.81*10.7639</f>
        <v>147441.857059</v>
      </c>
      <c r="H100" s="15">
        <f>F100+G100</f>
        <v>147441.857059</v>
      </c>
    </row>
    <row r="101" spans="1:8">
      <c r="A101" s="13">
        <v>2</v>
      </c>
      <c r="B101" s="12" t="s">
        <v>10</v>
      </c>
      <c r="C101" s="11">
        <v>0</v>
      </c>
      <c r="D101" s="10">
        <v>0</v>
      </c>
      <c r="E101" s="9">
        <f>C101+D101</f>
        <v>0</v>
      </c>
      <c r="F101" s="11">
        <v>0</v>
      </c>
      <c r="G101" s="10">
        <f>13054.08*10.7639</f>
        <v>140512.811712</v>
      </c>
      <c r="H101" s="9">
        <f>F101+G101</f>
        <v>140512.811712</v>
      </c>
    </row>
    <row r="102" spans="1:8" s="3" customFormat="1" ht="18" thickBot="1">
      <c r="A102" s="8"/>
      <c r="B102" s="7" t="s">
        <v>0</v>
      </c>
      <c r="C102" s="6">
        <f t="shared" ref="C102:H102" si="12">SUM(C100:C101)</f>
        <v>0</v>
      </c>
      <c r="D102" s="5">
        <f t="shared" si="12"/>
        <v>0</v>
      </c>
      <c r="E102" s="4">
        <f t="shared" si="12"/>
        <v>0</v>
      </c>
      <c r="F102" s="6">
        <f t="shared" si="12"/>
        <v>0</v>
      </c>
      <c r="G102" s="5">
        <f t="shared" si="12"/>
        <v>287954.668771</v>
      </c>
      <c r="H102" s="4">
        <f t="shared" si="12"/>
        <v>287954.668771</v>
      </c>
    </row>
    <row r="103" spans="1:8" ht="18" thickBot="1"/>
    <row r="104" spans="1:8" ht="18" thickBot="1">
      <c r="A104" s="83" t="s">
        <v>9</v>
      </c>
      <c r="B104" s="84"/>
      <c r="C104" s="84"/>
      <c r="D104" s="84"/>
      <c r="E104" s="84"/>
      <c r="F104" s="84"/>
      <c r="G104" s="84"/>
      <c r="H104" s="85"/>
    </row>
    <row r="105" spans="1:8">
      <c r="A105" s="77" t="s">
        <v>8</v>
      </c>
      <c r="B105" s="78" t="s">
        <v>7</v>
      </c>
      <c r="C105" s="77" t="s">
        <v>6</v>
      </c>
      <c r="D105" s="78"/>
      <c r="E105" s="79"/>
      <c r="F105" s="80" t="s">
        <v>5</v>
      </c>
      <c r="G105" s="81"/>
      <c r="H105" s="82"/>
    </row>
    <row r="106" spans="1:8">
      <c r="A106" s="87"/>
      <c r="B106" s="86"/>
      <c r="C106" s="20"/>
      <c r="D106" s="19"/>
      <c r="E106" s="18"/>
      <c r="F106" s="20" t="s">
        <v>4</v>
      </c>
      <c r="G106" s="19" t="s">
        <v>3</v>
      </c>
      <c r="H106" s="18" t="s">
        <v>0</v>
      </c>
    </row>
    <row r="107" spans="1:8">
      <c r="A107" s="17">
        <v>1</v>
      </c>
      <c r="B107" s="12" t="s">
        <v>2</v>
      </c>
      <c r="C107" s="14">
        <v>0</v>
      </c>
      <c r="D107" s="16">
        <v>0</v>
      </c>
      <c r="E107" s="15">
        <f>C107+D107</f>
        <v>0</v>
      </c>
      <c r="F107" s="14">
        <v>0</v>
      </c>
      <c r="G107" s="10">
        <f>737.71*10.7639</f>
        <v>7940.6366690000004</v>
      </c>
      <c r="H107" s="9">
        <f>F107+G107</f>
        <v>7940.6366690000004</v>
      </c>
    </row>
    <row r="108" spans="1:8">
      <c r="A108" s="13">
        <v>2</v>
      </c>
      <c r="B108" s="12" t="s">
        <v>1</v>
      </c>
      <c r="C108" s="11">
        <v>0</v>
      </c>
      <c r="D108" s="10">
        <v>0</v>
      </c>
      <c r="E108" s="9">
        <f>C108+D108</f>
        <v>0</v>
      </c>
      <c r="F108" s="11">
        <v>0</v>
      </c>
      <c r="G108" s="10">
        <f>4740.95*10.7639</f>
        <v>51031.111704999996</v>
      </c>
      <c r="H108" s="9">
        <f>F108+G108</f>
        <v>51031.111704999996</v>
      </c>
    </row>
    <row r="109" spans="1:8" s="3" customFormat="1" ht="18" thickBot="1">
      <c r="A109" s="8"/>
      <c r="B109" s="7" t="s">
        <v>0</v>
      </c>
      <c r="C109" s="6">
        <f t="shared" ref="C109:H109" si="13">SUM(C107:C108)</f>
        <v>0</v>
      </c>
      <c r="D109" s="5">
        <f t="shared" si="13"/>
        <v>0</v>
      </c>
      <c r="E109" s="4">
        <f t="shared" si="13"/>
        <v>0</v>
      </c>
      <c r="F109" s="6">
        <f t="shared" si="13"/>
        <v>0</v>
      </c>
      <c r="G109" s="5">
        <f t="shared" si="13"/>
        <v>58971.748373999995</v>
      </c>
      <c r="H109" s="4">
        <f t="shared" si="13"/>
        <v>58971.748373999995</v>
      </c>
    </row>
    <row r="112" spans="1:8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</sheetData>
  <mergeCells count="45">
    <mergeCell ref="A105:A106"/>
    <mergeCell ref="B3:B4"/>
    <mergeCell ref="B20:B21"/>
    <mergeCell ref="B40:B41"/>
    <mergeCell ref="B49:B50"/>
    <mergeCell ref="A89:H89"/>
    <mergeCell ref="C90:E90"/>
    <mergeCell ref="F90:H90"/>
    <mergeCell ref="B105:B106"/>
    <mergeCell ref="A104:H104"/>
    <mergeCell ref="C105:E105"/>
    <mergeCell ref="F105:H105"/>
    <mergeCell ref="A3:A4"/>
    <mergeCell ref="A20:A21"/>
    <mergeCell ref="A40:A41"/>
    <mergeCell ref="A49:A50"/>
    <mergeCell ref="A97:H97"/>
    <mergeCell ref="C98:E98"/>
    <mergeCell ref="F98:H98"/>
    <mergeCell ref="B90:B91"/>
    <mergeCell ref="B98:B99"/>
    <mergeCell ref="A90:A91"/>
    <mergeCell ref="A98:A99"/>
    <mergeCell ref="F81:H81"/>
    <mergeCell ref="B73:B74"/>
    <mergeCell ref="B81:B82"/>
    <mergeCell ref="A39:H39"/>
    <mergeCell ref="C40:E40"/>
    <mergeCell ref="F40:H40"/>
    <mergeCell ref="A48:H48"/>
    <mergeCell ref="C49:E49"/>
    <mergeCell ref="F49:H49"/>
    <mergeCell ref="A72:H72"/>
    <mergeCell ref="C73:E73"/>
    <mergeCell ref="F73:H73"/>
    <mergeCell ref="A80:H80"/>
    <mergeCell ref="C81:E81"/>
    <mergeCell ref="A73:A74"/>
    <mergeCell ref="A81:A82"/>
    <mergeCell ref="A2:H2"/>
    <mergeCell ref="C3:E3"/>
    <mergeCell ref="F3:H3"/>
    <mergeCell ref="A19:H19"/>
    <mergeCell ref="C20:E20"/>
    <mergeCell ref="F20:H20"/>
  </mergeCells>
  <pageMargins left="0.37" right="0.32" top="0.38" bottom="0.3" header="0.3" footer="0.19"/>
  <pageSetup paperSize="9" fitToHeight="0" orientation="portrait"/>
  <rowBreaks count="1" manualBreakCount="1">
    <brk id="18" max="7" man="1"/>
  </rowBreaks>
  <ignoredErrors>
    <ignoredError sqref="E5: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Area Details</vt:lpstr>
      <vt:lpstr>'Area Details'!Print_Area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Babul</cp:lastModifiedBy>
  <dcterms:created xsi:type="dcterms:W3CDTF">2023-05-15T10:10:45Z</dcterms:created>
  <dcterms:modified xsi:type="dcterms:W3CDTF">2023-09-05T14:58:12Z</dcterms:modified>
</cp:coreProperties>
</file>