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In Progress Files\Abhinav Chaturvedi\Kohinoor Foods\Working &amp; Report\"/>
    </mc:Choice>
  </mc:AlternateContent>
  <bookViews>
    <workbookView xWindow="0" yWindow="0" windowWidth="20325" windowHeight="9735" activeTab="3"/>
  </bookViews>
  <sheets>
    <sheet name="Building" sheetId="9" r:id="rId1"/>
    <sheet name="Bahal Building" sheetId="1" r:id="rId2"/>
    <sheet name="Sheet3" sheetId="8" r:id="rId3"/>
    <sheet name="Bahal Land" sheetId="2" r:id="rId4"/>
    <sheet name="bahal guideline rate" sheetId="11" r:id="rId5"/>
    <sheet name="Murthal Building" sheetId="3" r:id="rId6"/>
    <sheet name="Murthal land" sheetId="4" r:id="rId7"/>
    <sheet name="Summary" sheetId="5" r:id="rId8"/>
    <sheet name="Sheet2" sheetId="6" r:id="rId9"/>
    <sheet name="Sheet1" sheetId="7" r:id="rId10"/>
    <sheet name="bahalgarh summary" sheetId="10" r:id="rId11"/>
  </sheets>
  <definedNames>
    <definedName name="_xlnm._FilterDatabase" localSheetId="5" hidden="1">'Murthal Building'!$B$3:$M$30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0" i="2" l="1"/>
  <c r="J20" i="2"/>
  <c r="H23" i="10" l="1"/>
  <c r="H22" i="10"/>
  <c r="H20" i="10"/>
  <c r="K7" i="10"/>
  <c r="J7" i="10"/>
  <c r="I7" i="10"/>
  <c r="H7" i="10"/>
  <c r="J8" i="1" l="1"/>
  <c r="K8" i="1"/>
  <c r="I8" i="1"/>
  <c r="E8" i="1"/>
  <c r="D8" i="1"/>
  <c r="Q8" i="9"/>
  <c r="Q7" i="9"/>
  <c r="M8" i="9"/>
  <c r="M7" i="9"/>
  <c r="I8" i="9"/>
  <c r="S8" i="9" s="1"/>
  <c r="I7" i="9"/>
  <c r="S7" i="9" s="1"/>
  <c r="T7" i="9" s="1"/>
  <c r="U7" i="9" s="1"/>
  <c r="N23" i="9"/>
  <c r="N22" i="9"/>
  <c r="Y21" i="9"/>
  <c r="U19" i="9"/>
  <c r="P19" i="9"/>
  <c r="N19" i="9"/>
  <c r="K19" i="9"/>
  <c r="Q16" i="9"/>
  <c r="G16" i="9"/>
  <c r="Z10" i="9"/>
  <c r="AA10" i="9" s="1"/>
  <c r="Z9" i="9"/>
  <c r="AA9" i="9" s="1"/>
  <c r="Q9" i="9"/>
  <c r="M9" i="9"/>
  <c r="I9" i="9"/>
  <c r="Z6" i="9"/>
  <c r="Q6" i="9"/>
  <c r="M6" i="9"/>
  <c r="I6" i="9"/>
  <c r="S6" i="9" s="1"/>
  <c r="Q19" i="9" l="1"/>
  <c r="R19" i="9" s="1"/>
  <c r="Z11" i="9"/>
  <c r="T8" i="9"/>
  <c r="U8" i="9" s="1"/>
  <c r="T6" i="9"/>
  <c r="U6" i="9" s="1"/>
  <c r="S9" i="9"/>
  <c r="I10" i="9"/>
  <c r="J10" i="9"/>
  <c r="AA6" i="9"/>
  <c r="AA11" i="9" s="1"/>
  <c r="Y16" i="9" s="1"/>
  <c r="T9" i="9" l="1"/>
  <c r="T10" i="9" s="1"/>
  <c r="S10" i="9"/>
  <c r="P21" i="9" s="1"/>
  <c r="U9" i="9" l="1"/>
  <c r="U10" i="9" s="1"/>
  <c r="E25" i="9" l="1"/>
  <c r="R21" i="9"/>
  <c r="A5" i="3" l="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R14" i="7"/>
  <c r="E23" i="4" l="1"/>
  <c r="C23" i="4"/>
  <c r="S20" i="2" l="1"/>
  <c r="S19" i="2"/>
  <c r="S18" i="2"/>
  <c r="S17" i="2"/>
  <c r="R19" i="2"/>
  <c r="R18" i="2"/>
  <c r="R17" i="2"/>
  <c r="S22" i="2"/>
  <c r="F3" i="2"/>
  <c r="J11" i="5" l="1"/>
  <c r="J12" i="5" s="1"/>
  <c r="J7" i="5"/>
  <c r="J10" i="5"/>
  <c r="J9" i="5"/>
  <c r="J8" i="5"/>
  <c r="J6" i="5"/>
  <c r="J5" i="5"/>
  <c r="J4" i="5"/>
  <c r="I10" i="5"/>
  <c r="I11" i="5" s="1"/>
  <c r="I9" i="5"/>
  <c r="I8" i="5"/>
  <c r="I6" i="5"/>
  <c r="I5" i="5"/>
  <c r="I4" i="5"/>
  <c r="H11" i="5" l="1"/>
  <c r="G11" i="5"/>
  <c r="F11" i="5"/>
  <c r="F12" i="5" s="1"/>
  <c r="E11" i="5"/>
  <c r="E12" i="5" s="1"/>
  <c r="F26" i="2"/>
  <c r="E2" i="1"/>
  <c r="D2" i="1"/>
  <c r="M38" i="3"/>
  <c r="F7" i="5"/>
  <c r="E7" i="5"/>
  <c r="H5" i="5"/>
  <c r="G5" i="5"/>
  <c r="G4" i="5"/>
  <c r="G7" i="5" s="1"/>
  <c r="J19" i="4"/>
  <c r="J20" i="4" s="1"/>
  <c r="J21" i="4" s="1"/>
  <c r="J22" i="4" s="1"/>
  <c r="E19" i="4"/>
  <c r="E20" i="4" s="1"/>
  <c r="E22" i="4"/>
  <c r="C22" i="4"/>
  <c r="F8" i="2"/>
  <c r="D9" i="4"/>
  <c r="E9" i="4"/>
  <c r="E8" i="4"/>
  <c r="F8" i="4" s="1"/>
  <c r="E7" i="4"/>
  <c r="E6" i="4"/>
  <c r="E5" i="4"/>
  <c r="F5" i="4" s="1"/>
  <c r="E10" i="4"/>
  <c r="D10" i="4"/>
  <c r="F10" i="4" s="1"/>
  <c r="F9" i="4"/>
  <c r="D7" i="4"/>
  <c r="D6" i="4"/>
  <c r="D5" i="4"/>
  <c r="E4" i="4"/>
  <c r="F4" i="4"/>
  <c r="D4" i="4"/>
  <c r="F3" i="4"/>
  <c r="E3" i="4"/>
  <c r="D3" i="4"/>
  <c r="C19" i="4"/>
  <c r="M36" i="3"/>
  <c r="K36" i="3"/>
  <c r="I36" i="3"/>
  <c r="L35" i="3"/>
  <c r="K35" i="3"/>
  <c r="K42" i="3"/>
  <c r="N15" i="1"/>
  <c r="K41" i="3"/>
  <c r="K40" i="3"/>
  <c r="J23" i="4" l="1"/>
  <c r="J24" i="4" s="1"/>
  <c r="G12" i="5"/>
  <c r="H4" i="5"/>
  <c r="F7" i="4"/>
  <c r="F6" i="4"/>
  <c r="M35" i="3"/>
  <c r="I30" i="3"/>
  <c r="I16" i="3"/>
  <c r="I20" i="3"/>
  <c r="I8" i="3"/>
  <c r="I9" i="3"/>
  <c r="I5" i="3"/>
  <c r="I4" i="3"/>
  <c r="I19" i="3"/>
  <c r="I25" i="3"/>
  <c r="I18" i="3"/>
  <c r="I7" i="3"/>
  <c r="I6" i="3"/>
  <c r="I24" i="3"/>
  <c r="I10" i="3"/>
  <c r="I23" i="3"/>
  <c r="I17" i="3"/>
  <c r="I22" i="3"/>
  <c r="I21" i="3"/>
  <c r="I11" i="3"/>
  <c r="I13" i="3"/>
  <c r="I26" i="3"/>
  <c r="I28" i="3"/>
  <c r="I29" i="3"/>
  <c r="I27" i="3"/>
  <c r="I12" i="3"/>
  <c r="I15" i="3"/>
  <c r="I14" i="3"/>
  <c r="E30" i="3"/>
  <c r="F30" i="3" s="1"/>
  <c r="K30" i="3" s="1"/>
  <c r="E16" i="3"/>
  <c r="F16" i="3" s="1"/>
  <c r="K16" i="3" s="1"/>
  <c r="E20" i="3"/>
  <c r="F20" i="3" s="1"/>
  <c r="K20" i="3" s="1"/>
  <c r="E8" i="3"/>
  <c r="F8" i="3" s="1"/>
  <c r="K8" i="3" s="1"/>
  <c r="E9" i="3"/>
  <c r="F9" i="3" s="1"/>
  <c r="K9" i="3" s="1"/>
  <c r="E5" i="3"/>
  <c r="F5" i="3" s="1"/>
  <c r="K5" i="3" s="1"/>
  <c r="E4" i="3"/>
  <c r="F4" i="3" s="1"/>
  <c r="K4" i="3" s="1"/>
  <c r="E19" i="3"/>
  <c r="F19" i="3" s="1"/>
  <c r="K19" i="3" s="1"/>
  <c r="E25" i="3"/>
  <c r="F25" i="3" s="1"/>
  <c r="K25" i="3" s="1"/>
  <c r="E18" i="3"/>
  <c r="F18" i="3" s="1"/>
  <c r="K18" i="3" s="1"/>
  <c r="E7" i="3"/>
  <c r="F7" i="3" s="1"/>
  <c r="K7" i="3" s="1"/>
  <c r="E6" i="3"/>
  <c r="F6" i="3" s="1"/>
  <c r="K6" i="3" s="1"/>
  <c r="E24" i="3"/>
  <c r="F24" i="3" s="1"/>
  <c r="K24" i="3" s="1"/>
  <c r="E10" i="3"/>
  <c r="F10" i="3" s="1"/>
  <c r="K10" i="3" s="1"/>
  <c r="E23" i="3"/>
  <c r="F23" i="3" s="1"/>
  <c r="K23" i="3" s="1"/>
  <c r="E17" i="3"/>
  <c r="F17" i="3" s="1"/>
  <c r="K17" i="3" s="1"/>
  <c r="E22" i="3"/>
  <c r="F22" i="3" s="1"/>
  <c r="K22" i="3" s="1"/>
  <c r="E21" i="3"/>
  <c r="F21" i="3" s="1"/>
  <c r="K21" i="3" s="1"/>
  <c r="E11" i="3"/>
  <c r="F11" i="3" s="1"/>
  <c r="K11" i="3" s="1"/>
  <c r="E13" i="3"/>
  <c r="F13" i="3" s="1"/>
  <c r="K13" i="3" s="1"/>
  <c r="E26" i="3"/>
  <c r="F26" i="3" s="1"/>
  <c r="K26" i="3" s="1"/>
  <c r="E28" i="3"/>
  <c r="F28" i="3" s="1"/>
  <c r="K28" i="3" s="1"/>
  <c r="E29" i="3"/>
  <c r="F29" i="3" s="1"/>
  <c r="K29" i="3" s="1"/>
  <c r="E27" i="3"/>
  <c r="F27" i="3" s="1"/>
  <c r="K27" i="3" s="1"/>
  <c r="E12" i="3"/>
  <c r="F12" i="3" s="1"/>
  <c r="K12" i="3" s="1"/>
  <c r="E15" i="3"/>
  <c r="F15" i="3" s="1"/>
  <c r="K15" i="3" s="1"/>
  <c r="E14" i="3"/>
  <c r="F14" i="3" s="1"/>
  <c r="L29" i="3" l="1"/>
  <c r="L11" i="3"/>
  <c r="L23" i="3"/>
  <c r="L7" i="3"/>
  <c r="L4" i="3"/>
  <c r="L20" i="3"/>
  <c r="L27" i="3"/>
  <c r="M27" i="3" s="1"/>
  <c r="L13" i="3"/>
  <c r="M13" i="3" s="1"/>
  <c r="L17" i="3"/>
  <c r="M17" i="3" s="1"/>
  <c r="L6" i="3"/>
  <c r="L19" i="3"/>
  <c r="L8" i="3"/>
  <c r="M8" i="3" s="1"/>
  <c r="L28" i="3"/>
  <c r="M28" i="3" s="1"/>
  <c r="L16" i="3"/>
  <c r="L12" i="3"/>
  <c r="M12" i="3" s="1"/>
  <c r="L26" i="3"/>
  <c r="M26" i="3" s="1"/>
  <c r="L22" i="3"/>
  <c r="M22" i="3" s="1"/>
  <c r="L24" i="3"/>
  <c r="L25" i="3"/>
  <c r="M25" i="3" s="1"/>
  <c r="L9" i="3"/>
  <c r="M9" i="3" s="1"/>
  <c r="L30" i="3"/>
  <c r="M30" i="3" s="1"/>
  <c r="L15" i="3"/>
  <c r="L21" i="3"/>
  <c r="M21" i="3" s="1"/>
  <c r="L10" i="3"/>
  <c r="M10" i="3" s="1"/>
  <c r="L18" i="3"/>
  <c r="M18" i="3" s="1"/>
  <c r="L5" i="3"/>
  <c r="M5" i="3" s="1"/>
  <c r="I7" i="5"/>
  <c r="I12" i="5" s="1"/>
  <c r="H7" i="5"/>
  <c r="H12" i="5" s="1"/>
  <c r="M29" i="3"/>
  <c r="M11" i="3"/>
  <c r="M23" i="3"/>
  <c r="M7" i="3"/>
  <c r="M4" i="3"/>
  <c r="M20" i="3"/>
  <c r="M15" i="3"/>
  <c r="M16" i="3"/>
  <c r="M24" i="3"/>
  <c r="M6" i="3"/>
  <c r="M19" i="3"/>
  <c r="K14" i="3"/>
  <c r="L14" i="3" s="1"/>
  <c r="F2" i="3"/>
  <c r="E2" i="3"/>
  <c r="K20" i="1"/>
  <c r="K19" i="1"/>
  <c r="J16" i="1"/>
  <c r="G9" i="2"/>
  <c r="G8" i="2"/>
  <c r="G7" i="2"/>
  <c r="G6" i="2"/>
  <c r="G5" i="2"/>
  <c r="G4" i="2"/>
  <c r="G3" i="2"/>
  <c r="L24" i="2"/>
  <c r="H20" i="2"/>
  <c r="H19" i="2"/>
  <c r="F10" i="2"/>
  <c r="F22" i="2"/>
  <c r="E9" i="2"/>
  <c r="F9" i="2" s="1"/>
  <c r="E12" i="2"/>
  <c r="F12" i="2"/>
  <c r="E8" i="2"/>
  <c r="D8" i="2"/>
  <c r="E7" i="2"/>
  <c r="F7" i="2"/>
  <c r="E6" i="2"/>
  <c r="F6" i="2" s="1"/>
  <c r="E5" i="2"/>
  <c r="F5" i="2" s="1"/>
  <c r="F4" i="2"/>
  <c r="E4" i="2"/>
  <c r="D4" i="2"/>
  <c r="E3" i="2"/>
  <c r="D3" i="2"/>
  <c r="I17" i="1"/>
  <c r="K17" i="1"/>
  <c r="I16" i="1"/>
  <c r="K5" i="1"/>
  <c r="J7" i="1"/>
  <c r="K7" i="1" s="1"/>
  <c r="J6" i="1"/>
  <c r="K6" i="1" s="1"/>
  <c r="J5" i="1"/>
  <c r="I7" i="1"/>
  <c r="I6" i="1"/>
  <c r="I5" i="1"/>
  <c r="I4" i="1"/>
  <c r="I2" i="1" s="1"/>
  <c r="E7" i="1"/>
  <c r="E6" i="1"/>
  <c r="E5" i="1"/>
  <c r="E4" i="1"/>
  <c r="L2" i="3" l="1"/>
  <c r="K2" i="3"/>
  <c r="K37" i="3" s="1"/>
  <c r="K16" i="1"/>
  <c r="I18" i="1"/>
  <c r="G10" i="2"/>
  <c r="J4" i="1"/>
  <c r="J2" i="1" s="1"/>
  <c r="J18" i="1" s="1"/>
  <c r="K4" i="1"/>
  <c r="K2" i="1" s="1"/>
  <c r="M14" i="3" l="1"/>
  <c r="M2" i="3" s="1"/>
  <c r="M37" i="3" s="1"/>
  <c r="K18" i="1"/>
</calcChain>
</file>

<file path=xl/sharedStrings.xml><?xml version="1.0" encoding="utf-8"?>
<sst xmlns="http://schemas.openxmlformats.org/spreadsheetml/2006/main" count="283" uniqueCount="202">
  <si>
    <t>Main Plant</t>
  </si>
  <si>
    <t>Gate Office</t>
  </si>
  <si>
    <t>sqm</t>
  </si>
  <si>
    <t>Utility Building</t>
  </si>
  <si>
    <t>Boiler Shed</t>
  </si>
  <si>
    <t>sqft</t>
  </si>
  <si>
    <t>Type</t>
  </si>
  <si>
    <t>RCC</t>
  </si>
  <si>
    <t>RCC+Shed</t>
  </si>
  <si>
    <t>Shed</t>
  </si>
  <si>
    <t>YoC</t>
  </si>
  <si>
    <t>CoC</t>
  </si>
  <si>
    <t>GCRC</t>
  </si>
  <si>
    <t>Dep.</t>
  </si>
  <si>
    <t>DRC</t>
  </si>
  <si>
    <t>Particulars</t>
  </si>
  <si>
    <t>Boundary Wall</t>
  </si>
  <si>
    <t>Mtr</t>
  </si>
  <si>
    <t>Rs./mtr</t>
  </si>
  <si>
    <t>Development</t>
  </si>
  <si>
    <t>Sqm</t>
  </si>
  <si>
    <t>Sale Consideration</t>
  </si>
  <si>
    <t>Rate/sqm</t>
  </si>
  <si>
    <t>https://www.99acres.com/industrial-land-plot-for-sale-in-bahalgarh-sonipat-3328-sq-yard-spid-R71377594</t>
  </si>
  <si>
    <t>https://www.99acres.com/industrial-land-plot-for-sale-in-bahalgarh-sonipat-1300-sq-yard-r4-spid-C64177366</t>
  </si>
  <si>
    <t>https://www.squareyards.com/resale-2000-sq-yd-industrial-plot-in-bahalgarh/5646087</t>
  </si>
  <si>
    <t>https://www.squareyards.com/resale-1950-sq-yd-industrial-plot-in-bahalgarh/5202988</t>
  </si>
  <si>
    <t>https://www.squareyards.com/resale-3328-sq-yd-industrial-plot-in-bhalagarh/5174548</t>
  </si>
  <si>
    <t>http://www.avirajproperty.co.in/industrial-lands-for-sale-in-bahalgarh-sonipat.htm</t>
  </si>
  <si>
    <t>http://www.siyaramestate.com/industrial-lands-for-sale-in-bahalgarh-sonipat.htm</t>
  </si>
  <si>
    <t>https://www.industrialrenting.com/industrial-lands-for-sale-in-bahalgarh-sonipat.htm</t>
  </si>
  <si>
    <t>https://hsiidc.org.in/rates</t>
  </si>
  <si>
    <t>Market Rate</t>
  </si>
  <si>
    <t>per sqm</t>
  </si>
  <si>
    <t>Total Land</t>
  </si>
  <si>
    <t>Land with company</t>
  </si>
  <si>
    <t>Land Value</t>
  </si>
  <si>
    <t>Plant-1</t>
  </si>
  <si>
    <t>Plant-8</t>
  </si>
  <si>
    <t>Plant-2</t>
  </si>
  <si>
    <t>Plant-11</t>
  </si>
  <si>
    <t>Plant-12</t>
  </si>
  <si>
    <t>Plant-9</t>
  </si>
  <si>
    <t>Plant-6</t>
  </si>
  <si>
    <t>Plant-4</t>
  </si>
  <si>
    <t>Plant-10</t>
  </si>
  <si>
    <t>Plant-14</t>
  </si>
  <si>
    <t>Plant-13</t>
  </si>
  <si>
    <t>Admin Office</t>
  </si>
  <si>
    <t>Mechanical Store</t>
  </si>
  <si>
    <t>Workshop</t>
  </si>
  <si>
    <t>Store</t>
  </si>
  <si>
    <t>QA/QC</t>
  </si>
  <si>
    <t>Plant-3, 5 &amp; 7</t>
  </si>
  <si>
    <t>Boiler</t>
  </si>
  <si>
    <t>Dryer</t>
  </si>
  <si>
    <t>Plant-11 A&amp;B</t>
  </si>
  <si>
    <t>Plant-12 A&amp;B</t>
  </si>
  <si>
    <t>Warehouse-2</t>
  </si>
  <si>
    <t>Warehouse-1</t>
  </si>
  <si>
    <t>Bardana Store</t>
  </si>
  <si>
    <t>Unloading Point</t>
  </si>
  <si>
    <t>floors</t>
  </si>
  <si>
    <t>BUA (sqm)</t>
  </si>
  <si>
    <t>BUA(sqft)</t>
  </si>
  <si>
    <t>Weigh Bridge</t>
  </si>
  <si>
    <t>Building Name</t>
  </si>
  <si>
    <t>Age</t>
  </si>
  <si>
    <t>km</t>
  </si>
  <si>
    <t>mtr</t>
  </si>
  <si>
    <t>https://www.99acres.com/industrial-land-plot-for-sale-in-murthal-sonipat-325-sq-yard-spid-U70568884</t>
  </si>
  <si>
    <t>Asking</t>
  </si>
  <si>
    <t>Irregular</t>
  </si>
  <si>
    <t>Size</t>
  </si>
  <si>
    <t>Not Contigous</t>
  </si>
  <si>
    <t>Land</t>
  </si>
  <si>
    <t>Building</t>
  </si>
  <si>
    <t>P&amp;M</t>
  </si>
  <si>
    <t>Gross Block</t>
  </si>
  <si>
    <t>Net Block</t>
  </si>
  <si>
    <t>Bahalgarh</t>
  </si>
  <si>
    <t>Murthal</t>
  </si>
  <si>
    <t>Following are our comments/observations on Draft TEV report shared to us.</t>
  </si>
  <si>
    <t>Please let us know if you require further information from the company regarding below mentioned comments/observations.</t>
  </si>
  <si>
    <t>1. On page 6, DSCR can’t be a financial indicator. Its an NPA asset. Along with EBITDA margin, you may mention average capacity utilization and average receivables period.</t>
  </si>
  <si>
    <t>2. On page 44-45, please comment on adequacy of utilities for both the manufacturing facilities.</t>
  </si>
  <si>
    <t>3. On page 46, “Technical Assessment” chapter is blank.</t>
  </si>
  <si>
    <t>4. On page 60, title of chapter is incorrect. Title is being repeated.</t>
  </si>
  <si>
    <t>5. Please comment on land area for both the units. Also , clearly mention whether land is on ownership basis or on lease basis</t>
  </si>
  <si>
    <t>6. Please comment on expansion scope of capacity at both the manufacturing locations.</t>
  </si>
  <si>
    <t>7. Please comment whether sales arrangements and raw material procurement arrangements of the company are in line with general industry practices or not</t>
  </si>
  <si>
    <t>8. Please comment on the remaining useful life of the assets</t>
  </si>
  <si>
    <t>9. The company is mainly dependent on contractual labour for its operations. Please comment on availability of labour in the local market. Also comment on existing manpower and its adequacy.</t>
  </si>
  <si>
    <t>10. What will be the expected salvage value of fixed assets and current assets post the remaining useful life. For example, if the remaining useful life is 8 years, whether the salvage value of fixed assets be 40%/50%/80% of the book value. And like wise comment on current assets too.</t>
  </si>
  <si>
    <t>11. Is there any refurbishment capex required for food factory and rice factory to reach the desired level of capacity utilization as per projections? If yes, how much?</t>
  </si>
  <si>
    <t>12. What is the routine annual repair and maintenance capex required annually?</t>
  </si>
  <si>
    <t>13. Is there any risk of technological obsolescence of equipments during the remaining useful life?</t>
  </si>
  <si>
    <t>14. Whether the company is in compliance with applicable Environmental and emission norms. If not, what are the compliance costs?</t>
  </si>
  <si>
    <t>15. Whether company has received any show cause notice or penalty notice w.r.t. environmental and emission norms?</t>
  </si>
  <si>
    <t>16. We will need brief justification on assumptions of financial model as well.</t>
  </si>
  <si>
    <t>Sub Total-A</t>
  </si>
  <si>
    <t>Grand Total-A+B</t>
  </si>
  <si>
    <t>Sub Total-B</t>
  </si>
  <si>
    <t>Asset</t>
  </si>
  <si>
    <t>Location</t>
  </si>
  <si>
    <t>Gross Current Replacement Cost</t>
  </si>
  <si>
    <t>Fair Value</t>
  </si>
  <si>
    <t>Distress Value</t>
  </si>
  <si>
    <t>As per Kohinoor FAR dated 31-03-2023</t>
  </si>
  <si>
    <t>As per RKA dated 25-09-2023</t>
  </si>
  <si>
    <t>In Rs. Cr.</t>
  </si>
  <si>
    <t>Realizable Value</t>
  </si>
  <si>
    <t>sq. yds.</t>
  </si>
  <si>
    <t>12k6m</t>
  </si>
  <si>
    <t>sq.mt.</t>
  </si>
  <si>
    <t>2k18m</t>
  </si>
  <si>
    <t>9k8m</t>
  </si>
  <si>
    <t>sq.yds</t>
  </si>
  <si>
    <t>Less Frontage</t>
  </si>
  <si>
    <t>9811551112,91</t>
  </si>
  <si>
    <t>S. No.</t>
  </si>
  <si>
    <t>As per site survey</t>
  </si>
  <si>
    <t>S.NO</t>
  </si>
  <si>
    <t>NAME OF THE BUILDING</t>
  </si>
  <si>
    <t>TYPE OF CONSTRUCTION</t>
  </si>
  <si>
    <t>NO. OF FLOORS</t>
  </si>
  <si>
    <t>HEIGHT
(IN FT.)</t>
  </si>
  <si>
    <t>STRUCTURE CONDITION</t>
  </si>
  <si>
    <r>
      <t xml:space="preserve">TOTAL COVERED AREA
</t>
    </r>
    <r>
      <rPr>
        <b/>
        <i/>
        <sz val="10"/>
        <color indexed="9"/>
        <rFont val="Calibri"/>
        <family val="2"/>
      </rPr>
      <t>( SQ. FT.)</t>
    </r>
  </si>
  <si>
    <r>
      <t xml:space="preserve">TOTAL COVERED AREA
</t>
    </r>
    <r>
      <rPr>
        <b/>
        <i/>
        <sz val="10"/>
        <color indexed="9"/>
        <rFont val="Calibri"/>
        <family val="2"/>
      </rPr>
      <t>( SQ. MT.)</t>
    </r>
  </si>
  <si>
    <t>YEAR OF CONSTRUCTION</t>
  </si>
  <si>
    <t>YEAR OF VALUATION</t>
  </si>
  <si>
    <t>TOTAL CONSUMED LIFE (in Yrs.)</t>
  </si>
  <si>
    <t>TOTAL ECONOMIC LIFE (in Yrs.)</t>
  </si>
  <si>
    <r>
      <t xml:space="preserve">DEPRECIATED REPLACEMENT RATES ADOPTED </t>
    </r>
    <r>
      <rPr>
        <b/>
        <i/>
        <sz val="10"/>
        <color indexed="9"/>
        <rFont val="Calibri"/>
        <family val="2"/>
      </rPr>
      <t>(per sq. ft</t>
    </r>
    <r>
      <rPr>
        <b/>
        <sz val="10"/>
        <color indexed="9"/>
        <rFont val="Calibri"/>
        <family val="2"/>
      </rPr>
      <t>.)</t>
    </r>
  </si>
  <si>
    <t>SALVAGE VALUE</t>
  </si>
  <si>
    <t>DEPRECIATION RATE</t>
  </si>
  <si>
    <t>PLINTH AREA RATE (in Sq.Ft.)</t>
  </si>
  <si>
    <t>GROSS REPLACEMENT VALUE</t>
  </si>
  <si>
    <t>Depreciation</t>
  </si>
  <si>
    <t>DEPRECIATED REPLACEMENT VALUE</t>
  </si>
  <si>
    <t>Building Blocks</t>
  </si>
  <si>
    <t>Area
(in sq.ft.)</t>
  </si>
  <si>
    <t>Area
(in sq.mt.)</t>
  </si>
  <si>
    <t>G+1</t>
  </si>
  <si>
    <t>11/floor</t>
  </si>
  <si>
    <t>Average</t>
  </si>
  <si>
    <t>admin</t>
  </si>
  <si>
    <t>g+2</t>
  </si>
  <si>
    <t>GF</t>
  </si>
  <si>
    <t>crude 
organic shed</t>
  </si>
  <si>
    <t>g+1</t>
  </si>
  <si>
    <t>TOTAL</t>
  </si>
  <si>
    <t>Organic 
shed</t>
  </si>
  <si>
    <t>Notes:</t>
  </si>
  <si>
    <t>Total</t>
  </si>
  <si>
    <t>1. The value of building has been calculated by Current Depreciated Replacement Value.</t>
  </si>
  <si>
    <t>Total Plot 
Area</t>
  </si>
  <si>
    <t>Land area (in majar)</t>
  </si>
  <si>
    <t>FAR as per recent building area</t>
  </si>
  <si>
    <t>Running
 Length(in mt.)</t>
  </si>
  <si>
    <t>RATE/RUNNING MT.</t>
  </si>
  <si>
    <t>Round up</t>
  </si>
  <si>
    <t>FAR given on approved map</t>
  </si>
  <si>
    <t>Boundary wall</t>
  </si>
  <si>
    <t>Brick Wall</t>
  </si>
  <si>
    <t>Area as per deed</t>
  </si>
  <si>
    <t>Area as per old val.report</t>
  </si>
  <si>
    <t>Insurance value</t>
  </si>
  <si>
    <t>Main Building</t>
  </si>
  <si>
    <t>Utility Plant</t>
  </si>
  <si>
    <t>RCC &amp; Shed</t>
  </si>
  <si>
    <t xml:space="preserve">RCC </t>
  </si>
  <si>
    <t>G.F</t>
  </si>
  <si>
    <t>2. We have considered building area as per the physical measurement carried during site survey. Qe have not been provided with approved plan / relevant documents.</t>
  </si>
  <si>
    <t>Area 
(in sq. mt.)</t>
  </si>
  <si>
    <t>Area 
(in sq. ft.)</t>
  </si>
  <si>
    <t>Type of 
Construction</t>
  </si>
  <si>
    <t>Year of 
Construction</t>
  </si>
  <si>
    <t>Cost of 
Construction</t>
  </si>
  <si>
    <t>SL. 
No.</t>
  </si>
  <si>
    <t>S.No.</t>
  </si>
  <si>
    <r>
      <t xml:space="preserve">Total Gross Current Replacement Cost
</t>
    </r>
    <r>
      <rPr>
        <i/>
        <sz val="10"/>
        <color theme="1"/>
        <rFont val="Calibri"/>
        <family val="2"/>
        <scheme val="minor"/>
      </rPr>
      <t>(INR)</t>
    </r>
  </si>
  <si>
    <r>
      <t xml:space="preserve">Total Fair Market Value 
</t>
    </r>
    <r>
      <rPr>
        <i/>
        <sz val="10"/>
        <color theme="1"/>
        <rFont val="Calibri"/>
        <family val="2"/>
        <scheme val="minor"/>
      </rPr>
      <t>(INR)</t>
    </r>
  </si>
  <si>
    <t>Plant &amp; Machinery and other equipments</t>
  </si>
  <si>
    <t>Important Notes-</t>
  </si>
  <si>
    <t>2. For evaluating useful life of assets, chart of Companies Act-2013 and generally accepted market standards are referred in this assessment to reach the final economical life of a particular asset.</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</si>
  <si>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</si>
  <si>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Final valuation includes Design, erection, procurement, installation &amp; commissioning charges as well.</t>
  </si>
  <si>
    <t>7. The plant was operational at the time of site inspection.</t>
  </si>
  <si>
    <t>8. Overall physical condition of the Plant and machinery is good and there is no maintenance issue found at the time of site inspection.</t>
  </si>
  <si>
    <r>
      <rPr>
        <b/>
        <sz val="12"/>
        <color theme="1"/>
        <rFont val="Calibri"/>
        <family val="2"/>
        <scheme val="minor"/>
      </rPr>
      <t>GROSS BLOCK VALUE</t>
    </r>
    <r>
      <rPr>
        <b/>
        <sz val="12"/>
        <color rgb="FFFF0000"/>
        <rFont val="Calibri"/>
        <family val="2"/>
        <scheme val="minor"/>
      </rPr>
      <t xml:space="preserve">
</t>
    </r>
    <r>
      <rPr>
        <i/>
        <sz val="10"/>
        <color theme="1"/>
        <rFont val="Calibri"/>
        <family val="2"/>
        <scheme val="minor"/>
      </rPr>
      <t>(INR)</t>
    </r>
  </si>
  <si>
    <r>
      <t xml:space="preserve">NET BLOCK VALUE
</t>
    </r>
    <r>
      <rPr>
        <i/>
        <sz val="10"/>
        <color theme="1"/>
        <rFont val="Calibri"/>
        <family val="2"/>
        <scheme val="minor"/>
      </rPr>
      <t>(INR)</t>
    </r>
  </si>
  <si>
    <r>
      <t xml:space="preserve"> VALUATION SUMMARY | PLANT &amp; MACHINERY &amp; OTHER EQUIPMENTS
M/S KOHINOOR FOODS LIMITED
</t>
    </r>
    <r>
      <rPr>
        <sz val="10"/>
        <color theme="0"/>
        <rFont val="Arial"/>
        <family val="2"/>
      </rPr>
      <t>(HASAMABAD &amp; SULTANPUR, SONEPAT, HARYANA)</t>
    </r>
  </si>
  <si>
    <t>1. Asset like Plant &amp; Machinery and other related equipments pertaining to M/s Kohinoor Foods Limited located at Hasamabad &amp; Sultanpur, Sonepat, Haryana are considered in this section of valuation report.</t>
  </si>
  <si>
    <t xml:space="preserve">3.During the site visit conducted by our engineering team on 20/09/2023, the plant was physically inspected by our team. Different sections set up inside the M/s Kohinoor Foods Limited located were visually inspected. As per the information available in the public domain, such industries have a useful life of 20 years. </t>
  </si>
  <si>
    <t>4.Main machines capitalized in the FAR are Heat Exchanger, Retort Machine, Vegetable Cutting Machine, Grinding Machine , etc.</t>
  </si>
  <si>
    <t>total</t>
  </si>
  <si>
    <t>RV</t>
  </si>
  <si>
    <t>DSV</t>
  </si>
  <si>
    <t>Acres</t>
  </si>
  <si>
    <t xml:space="preserve">Guideline rate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</si>
</sst>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quot;\ * #,##0.00_ ;_ &quot;₹&quot;\ * \-#,##0.00_ ;_ &quot;₹&quot;\ * &quot;-&quot;??_ ;_ @_ "/>
    <numFmt numFmtId="43" formatCode="_ * #,##0.00_ ;_ * \-#,##0.00_ ;_ * &quot;-&quot;??_ ;_ @_ "/>
    <numFmt numFmtId="164" formatCode="_ * #,##0_ ;_ * \-#,##0_ ;_ * &quot;-&quot;??_ ;_ @_ "/>
    <numFmt numFmtId="165" formatCode="_ &quot;₹&quot;\ * #,##0_ ;_ &quot;₹&quot;\ * \-#,##0_ ;_ &quot;₹&quot;\ * &quot;-&quot;??_ ;_ @_ "/>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9"/>
      <color rgb="FF202124"/>
      <name val="Arial"/>
      <family val="2"/>
    </font>
    <font>
      <sz val="12"/>
      <color rgb="FF222222"/>
      <name val="Arial"/>
      <family val="2"/>
    </font>
    <font>
      <sz val="12"/>
      <color theme="1"/>
      <name val="Calibri"/>
      <family val="2"/>
      <scheme val="minor"/>
    </font>
    <font>
      <b/>
      <sz val="12"/>
      <color theme="1"/>
      <name val="Calibri"/>
      <family val="2"/>
      <scheme val="minor"/>
    </font>
    <font>
      <b/>
      <i/>
      <sz val="11"/>
      <color theme="1"/>
      <name val="Calibri"/>
      <family val="2"/>
      <scheme val="minor"/>
    </font>
    <font>
      <sz val="11"/>
      <color theme="0"/>
      <name val="Calibri"/>
      <family val="2"/>
      <scheme val="minor"/>
    </font>
    <font>
      <b/>
      <sz val="11"/>
      <name val="Calibri"/>
      <family val="2"/>
      <scheme val="minor"/>
    </font>
    <font>
      <b/>
      <sz val="10"/>
      <color theme="0"/>
      <name val="Calibri"/>
      <family val="2"/>
      <scheme val="minor"/>
    </font>
    <font>
      <b/>
      <i/>
      <sz val="10"/>
      <color indexed="9"/>
      <name val="Calibri"/>
      <family val="2"/>
    </font>
    <font>
      <b/>
      <sz val="10"/>
      <color indexed="9"/>
      <name val="Calibri"/>
      <family val="2"/>
    </font>
    <font>
      <sz val="10"/>
      <name val="Arial"/>
      <family val="2"/>
    </font>
    <font>
      <b/>
      <sz val="14"/>
      <color theme="0"/>
      <name val="Calibri"/>
      <family val="2"/>
      <scheme val="minor"/>
    </font>
    <font>
      <sz val="10"/>
      <color theme="0"/>
      <name val="Arial"/>
      <family val="2"/>
    </font>
    <font>
      <b/>
      <sz val="12"/>
      <color rgb="FFFF0000"/>
      <name val="Calibri"/>
      <family val="2"/>
      <scheme val="minor"/>
    </font>
    <font>
      <i/>
      <sz val="10"/>
      <color theme="1"/>
      <name val="Calibri"/>
      <family val="2"/>
      <scheme val="minor"/>
    </font>
    <font>
      <i/>
      <sz val="11"/>
      <color theme="1"/>
      <name val="Calibri"/>
      <family val="2"/>
      <scheme val="minor"/>
    </font>
    <font>
      <b/>
      <sz val="10"/>
      <name val="Arial"/>
      <family val="2"/>
    </font>
    <font>
      <b/>
      <i/>
      <sz val="9"/>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8"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4" fillId="0" borderId="0"/>
  </cellStyleXfs>
  <cellXfs count="108">
    <xf numFmtId="0" fontId="0" fillId="0" borderId="0" xfId="0"/>
    <xf numFmtId="43" fontId="0" fillId="0" borderId="0" xfId="1" applyFont="1"/>
    <xf numFmtId="164" fontId="0" fillId="0" borderId="0" xfId="1" applyNumberFormat="1" applyFont="1"/>
    <xf numFmtId="43" fontId="0" fillId="0" borderId="0" xfId="0" applyNumberFormat="1"/>
    <xf numFmtId="43" fontId="3" fillId="0" borderId="0" xfId="1" applyFont="1" applyAlignment="1">
      <alignment horizontal="center" vertical="center"/>
    </xf>
    <xf numFmtId="164" fontId="3" fillId="0" borderId="0" xfId="1" applyNumberFormat="1" applyFont="1"/>
    <xf numFmtId="0" fontId="3" fillId="0" borderId="0" xfId="0" applyFont="1" applyAlignment="1">
      <alignment horizontal="center" vertical="center"/>
    </xf>
    <xf numFmtId="164" fontId="3" fillId="0" borderId="0" xfId="1" applyNumberFormat="1" applyFont="1" applyAlignment="1">
      <alignment horizontal="center"/>
    </xf>
    <xf numFmtId="0" fontId="3" fillId="0" borderId="0" xfId="0" applyFont="1" applyAlignment="1">
      <alignment horizontal="center"/>
    </xf>
    <xf numFmtId="0" fontId="0" fillId="0" borderId="0" xfId="0" applyAlignment="1">
      <alignment horizontal="center" vertical="center"/>
    </xf>
    <xf numFmtId="164" fontId="0" fillId="0" borderId="0" xfId="0" applyNumberFormat="1"/>
    <xf numFmtId="164" fontId="4" fillId="0" borderId="0" xfId="1" applyNumberFormat="1" applyFont="1"/>
    <xf numFmtId="164" fontId="0" fillId="0" borderId="0" xfId="1" applyNumberFormat="1" applyFont="1" applyAlignment="1">
      <alignment horizontal="center" vertical="center"/>
    </xf>
    <xf numFmtId="164" fontId="3" fillId="0" borderId="0" xfId="1" applyNumberFormat="1" applyFont="1" applyAlignment="1">
      <alignment horizontal="center" vertical="center"/>
    </xf>
    <xf numFmtId="0" fontId="0" fillId="0" borderId="1" xfId="0" applyBorder="1"/>
    <xf numFmtId="43" fontId="0" fillId="0" borderId="1" xfId="1" applyFont="1" applyBorder="1"/>
    <xf numFmtId="9" fontId="0" fillId="0" borderId="0" xfId="2" applyFont="1"/>
    <xf numFmtId="10" fontId="0" fillId="0" borderId="0" xfId="2" applyNumberFormat="1" applyFont="1"/>
    <xf numFmtId="0" fontId="5" fillId="0" borderId="0" xfId="0" applyFont="1" applyAlignment="1">
      <alignment vertical="center"/>
    </xf>
    <xf numFmtId="0" fontId="5" fillId="0" borderId="0" xfId="0" applyFont="1" applyAlignment="1">
      <alignment horizontal="left" vertical="center"/>
    </xf>
    <xf numFmtId="43" fontId="3" fillId="3" borderId="1" xfId="1" applyFont="1" applyFill="1" applyBorder="1"/>
    <xf numFmtId="0" fontId="3" fillId="3" borderId="1" xfId="0" applyFont="1" applyFill="1" applyBorder="1" applyAlignment="1"/>
    <xf numFmtId="0" fontId="6" fillId="0" borderId="1" xfId="0" applyFont="1" applyBorder="1"/>
    <xf numFmtId="0" fontId="7" fillId="4" borderId="1" xfId="0" applyFont="1" applyFill="1" applyBorder="1" applyAlignment="1"/>
    <xf numFmtId="43" fontId="7" fillId="4" borderId="1" xfId="1" applyFont="1" applyFill="1" applyBorder="1"/>
    <xf numFmtId="0" fontId="6" fillId="0" borderId="0" xfId="0" applyFont="1"/>
    <xf numFmtId="0" fontId="2" fillId="2" borderId="1" xfId="0" applyFont="1" applyFill="1" applyBorder="1" applyAlignment="1">
      <alignment horizontal="center" vertical="center" wrapText="1"/>
    </xf>
    <xf numFmtId="43" fontId="2" fillId="2" borderId="1" xfId="1" applyFont="1" applyFill="1" applyBorder="1" applyAlignment="1">
      <alignment horizontal="center" vertical="center" wrapText="1"/>
    </xf>
    <xf numFmtId="0" fontId="0" fillId="0" borderId="0" xfId="0" applyAlignment="1">
      <alignment wrapText="1"/>
    </xf>
    <xf numFmtId="43" fontId="0" fillId="0" borderId="1" xfId="0" applyNumberFormat="1" applyBorder="1"/>
    <xf numFmtId="0" fontId="3" fillId="0" borderId="0" xfId="0" applyFont="1"/>
    <xf numFmtId="9" fontId="0" fillId="0" borderId="0" xfId="0" applyNumberFormat="1"/>
    <xf numFmtId="0" fontId="0" fillId="0" borderId="1" xfId="0" applyBorder="1" applyAlignment="1">
      <alignment horizontal="center" vertical="center"/>
    </xf>
    <xf numFmtId="0" fontId="11" fillId="2" borderId="1" xfId="0" applyFont="1" applyFill="1" applyBorder="1" applyAlignment="1">
      <alignment horizontal="center" vertical="center"/>
    </xf>
    <xf numFmtId="44"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43" fontId="11" fillId="2" borderId="1" xfId="1" applyFont="1" applyFill="1" applyBorder="1" applyAlignment="1">
      <alignment horizontal="center" vertical="center" wrapText="1"/>
    </xf>
    <xf numFmtId="0" fontId="11" fillId="2" borderId="1" xfId="3" applyNumberFormat="1" applyFont="1" applyFill="1" applyBorder="1" applyAlignment="1">
      <alignment horizontal="center" vertical="center" wrapText="1"/>
    </xf>
    <xf numFmtId="0" fontId="11" fillId="2" borderId="4" xfId="3" applyNumberFormat="1" applyFont="1" applyFill="1" applyBorder="1" applyAlignment="1">
      <alignment horizontal="center" vertical="center" wrapText="1"/>
    </xf>
    <xf numFmtId="165" fontId="11" fillId="2" borderId="1" xfId="0" applyNumberFormat="1" applyFont="1" applyFill="1" applyBorder="1" applyAlignment="1">
      <alignment horizontal="center" vertical="center" wrapText="1"/>
    </xf>
    <xf numFmtId="0" fontId="3" fillId="8" borderId="1" xfId="0" applyFont="1" applyFill="1" applyBorder="1" applyAlignment="1">
      <alignment wrapText="1"/>
    </xf>
    <xf numFmtId="0" fontId="3" fillId="8" borderId="1" xfId="0" applyFont="1" applyFill="1" applyBorder="1"/>
    <xf numFmtId="0" fontId="0" fillId="0" borderId="1" xfId="0" applyBorder="1" applyAlignment="1">
      <alignment horizontal="center" vertical="center" wrapText="1"/>
    </xf>
    <xf numFmtId="43" fontId="0" fillId="0" borderId="1" xfId="1"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9" fontId="0" fillId="0" borderId="6" xfId="0" applyNumberFormat="1" applyBorder="1" applyAlignment="1">
      <alignment horizontal="center" vertical="center"/>
    </xf>
    <xf numFmtId="165" fontId="0" fillId="0" borderId="6" xfId="0" applyNumberFormat="1" applyBorder="1" applyAlignment="1">
      <alignment horizontal="center" vertical="center"/>
    </xf>
    <xf numFmtId="0" fontId="0" fillId="0" borderId="1" xfId="0" applyBorder="1" applyAlignment="1">
      <alignment wrapText="1"/>
    </xf>
    <xf numFmtId="43" fontId="3" fillId="0" borderId="1" xfId="0" applyNumberFormat="1" applyFont="1" applyBorder="1" applyAlignment="1">
      <alignment vertical="center"/>
    </xf>
    <xf numFmtId="0" fontId="3" fillId="0" borderId="3" xfId="0" applyFont="1" applyBorder="1" applyAlignment="1">
      <alignment vertical="center"/>
    </xf>
    <xf numFmtId="165" fontId="3" fillId="0" borderId="1" xfId="0" applyNumberFormat="1" applyFont="1" applyBorder="1" applyAlignment="1">
      <alignment vertical="center"/>
    </xf>
    <xf numFmtId="0" fontId="3" fillId="9" borderId="1" xfId="0" applyFont="1" applyFill="1" applyBorder="1"/>
    <xf numFmtId="165" fontId="0" fillId="0" borderId="0" xfId="0" applyNumberFormat="1"/>
    <xf numFmtId="0" fontId="0" fillId="0" borderId="0" xfId="1" applyNumberFormat="1" applyFont="1"/>
    <xf numFmtId="44" fontId="0" fillId="0" borderId="0" xfId="0" applyNumberFormat="1"/>
    <xf numFmtId="0" fontId="2" fillId="2" borderId="1" xfId="0" applyFont="1" applyFill="1" applyBorder="1" applyAlignment="1">
      <alignment horizontal="center" vertical="center"/>
    </xf>
    <xf numFmtId="164" fontId="2" fillId="2" borderId="1" xfId="1" applyNumberFormat="1" applyFont="1" applyFill="1" applyBorder="1" applyAlignment="1">
      <alignment horizontal="center" vertical="center"/>
    </xf>
    <xf numFmtId="164" fontId="0" fillId="0" borderId="1" xfId="1" applyNumberFormat="1" applyFont="1" applyBorder="1" applyAlignment="1">
      <alignment horizontal="center" vertical="center"/>
    </xf>
    <xf numFmtId="43" fontId="3" fillId="0" borderId="1" xfId="1" applyFont="1" applyBorder="1" applyAlignment="1">
      <alignment horizontal="center" vertical="center"/>
    </xf>
    <xf numFmtId="164" fontId="3" fillId="0" borderId="1" xfId="1" applyNumberFormat="1" applyFont="1" applyBorder="1" applyAlignment="1">
      <alignment horizontal="center" vertical="center"/>
    </xf>
    <xf numFmtId="0" fontId="3" fillId="6" borderId="10" xfId="4" applyFont="1" applyFill="1" applyBorder="1" applyAlignment="1">
      <alignment horizontal="center" vertical="center" wrapText="1"/>
    </xf>
    <xf numFmtId="0" fontId="3" fillId="6" borderId="1" xfId="4" applyFont="1" applyFill="1" applyBorder="1" applyAlignment="1">
      <alignment horizontal="center" vertical="center" wrapText="1"/>
    </xf>
    <xf numFmtId="164" fontId="3" fillId="6" borderId="1" xfId="1" applyNumberFormat="1" applyFont="1" applyFill="1" applyBorder="1" applyAlignment="1">
      <alignment horizontal="center" vertical="center" wrapText="1"/>
    </xf>
    <xf numFmtId="164" fontId="3" fillId="6" borderId="11" xfId="1" applyNumberFormat="1" applyFont="1" applyFill="1" applyBorder="1" applyAlignment="1">
      <alignment horizontal="center" vertical="center" wrapText="1"/>
    </xf>
    <xf numFmtId="0" fontId="14" fillId="0" borderId="10" xfId="4" applyBorder="1" applyAlignment="1">
      <alignment horizontal="center" vertical="center"/>
    </xf>
    <xf numFmtId="0" fontId="19" fillId="0" borderId="1" xfId="4" applyFont="1" applyBorder="1" applyAlignment="1">
      <alignment horizontal="left" vertical="center"/>
    </xf>
    <xf numFmtId="164" fontId="20" fillId="0" borderId="0" xfId="1" applyNumberFormat="1" applyFont="1" applyAlignment="1">
      <alignment vertical="top"/>
    </xf>
    <xf numFmtId="164" fontId="20" fillId="0" borderId="12" xfId="1" applyNumberFormat="1" applyFont="1" applyBorder="1" applyAlignment="1">
      <alignment vertical="top"/>
    </xf>
    <xf numFmtId="164" fontId="20" fillId="0" borderId="1" xfId="1" applyNumberFormat="1" applyFont="1" applyBorder="1" applyAlignment="1">
      <alignment vertical="top"/>
    </xf>
    <xf numFmtId="0" fontId="8" fillId="7" borderId="2" xfId="0" applyFont="1" applyFill="1" applyBorder="1" applyAlignment="1">
      <alignment horizontal="center"/>
    </xf>
    <xf numFmtId="0" fontId="8" fillId="7" borderId="3" xfId="0" applyFont="1" applyFill="1" applyBorder="1" applyAlignment="1">
      <alignment horizontal="center"/>
    </xf>
    <xf numFmtId="0" fontId="8" fillId="7" borderId="4" xfId="0" applyFont="1" applyFill="1" applyBorder="1" applyAlignment="1">
      <alignment horizontal="center"/>
    </xf>
    <xf numFmtId="0" fontId="3" fillId="0" borderId="1" xfId="0" applyFont="1" applyBorder="1" applyAlignment="1">
      <alignment horizontal="center" vertical="center"/>
    </xf>
    <xf numFmtId="0" fontId="8" fillId="0" borderId="2" xfId="0" applyFont="1" applyBorder="1" applyAlignment="1">
      <alignment horizontal="left"/>
    </xf>
    <xf numFmtId="0" fontId="8" fillId="0" borderId="3" xfId="0" applyFont="1" applyBorder="1" applyAlignment="1">
      <alignment horizontal="left"/>
    </xf>
    <xf numFmtId="0" fontId="8" fillId="0" borderId="4" xfId="0" applyFont="1"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wrapText="1"/>
    </xf>
    <xf numFmtId="0" fontId="0" fillId="0" borderId="0" xfId="0" applyAlignment="1">
      <alignment horizontal="center"/>
    </xf>
    <xf numFmtId="0" fontId="10" fillId="6" borderId="1" xfId="0" applyFont="1" applyFill="1" applyBorder="1" applyAlignment="1">
      <alignment horizontal="center" wrapText="1"/>
    </xf>
    <xf numFmtId="0" fontId="9" fillId="0" borderId="1"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0" fillId="0" borderId="1" xfId="0" applyBorder="1" applyAlignment="1">
      <alignment horizontal="center" vertical="center"/>
    </xf>
    <xf numFmtId="0" fontId="3" fillId="5" borderId="1" xfId="0" applyFont="1" applyFill="1" applyBorder="1" applyAlignment="1">
      <alignment horizontal="center"/>
    </xf>
    <xf numFmtId="43" fontId="2" fillId="2" borderId="1" xfId="1" applyFont="1" applyFill="1" applyBorder="1" applyAlignment="1">
      <alignment horizontal="center"/>
    </xf>
    <xf numFmtId="43" fontId="8" fillId="0" borderId="0" xfId="1" applyFont="1" applyBorder="1" applyAlignment="1">
      <alignment horizontal="right"/>
    </xf>
    <xf numFmtId="0" fontId="18" fillId="0" borderId="10" xfId="4" applyFont="1" applyBorder="1" applyAlignment="1">
      <alignment horizontal="left" vertical="center" wrapText="1"/>
    </xf>
    <xf numFmtId="0" fontId="18" fillId="0" borderId="1" xfId="4" applyFont="1" applyBorder="1" applyAlignment="1">
      <alignment horizontal="left" vertical="center" wrapText="1"/>
    </xf>
    <xf numFmtId="0" fontId="18" fillId="0" borderId="14" xfId="4" applyFont="1" applyBorder="1" applyAlignment="1">
      <alignment horizontal="left" vertical="center" wrapText="1"/>
    </xf>
    <xf numFmtId="0" fontId="18" fillId="0" borderId="15" xfId="4" applyFont="1" applyBorder="1" applyAlignment="1">
      <alignment horizontal="left" vertical="center" wrapText="1"/>
    </xf>
    <xf numFmtId="0" fontId="18" fillId="0" borderId="6" xfId="4" applyFont="1" applyBorder="1" applyAlignment="1">
      <alignment horizontal="left" vertical="center" wrapText="1"/>
    </xf>
    <xf numFmtId="0" fontId="18" fillId="0" borderId="11" xfId="4" applyFont="1" applyBorder="1" applyAlignment="1">
      <alignment horizontal="left" vertical="center" wrapText="1"/>
    </xf>
    <xf numFmtId="0" fontId="18" fillId="0" borderId="7" xfId="4" applyFont="1" applyBorder="1" applyAlignment="1">
      <alignment horizontal="left" vertical="center" wrapText="1"/>
    </xf>
    <xf numFmtId="0" fontId="18" fillId="0" borderId="8" xfId="4" applyFont="1" applyBorder="1" applyAlignment="1">
      <alignment horizontal="left" vertical="center" wrapText="1"/>
    </xf>
    <xf numFmtId="0" fontId="18" fillId="0" borderId="9" xfId="4" applyFont="1" applyBorder="1" applyAlignment="1">
      <alignment horizontal="left" vertical="center" wrapText="1"/>
    </xf>
    <xf numFmtId="0" fontId="15" fillId="10" borderId="7" xfId="4" applyFont="1" applyFill="1" applyBorder="1" applyAlignment="1">
      <alignment horizontal="center" vertical="center" wrapText="1"/>
    </xf>
    <xf numFmtId="0" fontId="15" fillId="10" borderId="8" xfId="4" applyFont="1" applyFill="1" applyBorder="1" applyAlignment="1">
      <alignment horizontal="center" vertical="center"/>
    </xf>
    <xf numFmtId="0" fontId="15" fillId="10" borderId="9" xfId="4" applyFont="1" applyFill="1" applyBorder="1" applyAlignment="1">
      <alignment horizontal="center" vertical="center"/>
    </xf>
    <xf numFmtId="0" fontId="3" fillId="0" borderId="10" xfId="4" applyFont="1" applyBorder="1" applyAlignment="1">
      <alignment horizontal="center" vertical="center"/>
    </xf>
    <xf numFmtId="0" fontId="3" fillId="0" borderId="1" xfId="4" applyFont="1" applyBorder="1" applyAlignment="1">
      <alignment horizontal="center" vertical="center"/>
    </xf>
    <xf numFmtId="0" fontId="3" fillId="0" borderId="13" xfId="4" applyFont="1" applyBorder="1" applyAlignment="1">
      <alignment horizontal="center" vertical="center"/>
    </xf>
    <xf numFmtId="0" fontId="21" fillId="0" borderId="10" xfId="4" applyFont="1" applyBorder="1" applyAlignment="1">
      <alignment horizontal="left" vertical="center"/>
    </xf>
    <xf numFmtId="0" fontId="21" fillId="0" borderId="1" xfId="4" applyFont="1" applyBorder="1" applyAlignment="1">
      <alignment horizontal="left" vertical="center"/>
    </xf>
    <xf numFmtId="0" fontId="21" fillId="0" borderId="14" xfId="4" applyFont="1" applyBorder="1" applyAlignment="1">
      <alignment horizontal="left" vertical="center"/>
    </xf>
  </cellXfs>
  <cellStyles count="5">
    <cellStyle name="Comma" xfId="1" builtinId="3"/>
    <cellStyle name="Currency" xfId="3" builtinId="4"/>
    <cellStyle name="Normal" xfId="0" builtinId="0"/>
    <cellStyle name="Normal 3" xfId="4"/>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494400</xdr:colOff>
      <xdr:row>6</xdr:row>
      <xdr:rowOff>114292</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00000" cy="1257292"/>
        </a:xfrm>
        <a:prstGeom prst="rect">
          <a:avLst/>
        </a:prstGeom>
        <a:ln>
          <a:solidFill>
            <a:schemeClr val="tx1"/>
          </a:solidFill>
        </a:ln>
      </xdr:spPr>
    </xdr:pic>
    <xdr:clientData/>
  </xdr:twoCellAnchor>
  <xdr:twoCellAnchor editAs="oneCell">
    <xdr:from>
      <xdr:col>0</xdr:col>
      <xdr:colOff>0</xdr:colOff>
      <xdr:row>7</xdr:row>
      <xdr:rowOff>133351</xdr:rowOff>
    </xdr:from>
    <xdr:to>
      <xdr:col>11</xdr:col>
      <xdr:colOff>494400</xdr:colOff>
      <xdr:row>25</xdr:row>
      <xdr:rowOff>58626</xdr:rowOff>
    </xdr:to>
    <xdr:pic>
      <xdr:nvPicPr>
        <xdr:cNvPr id="3" name="Picture 2" descr="Screen Clippi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66851"/>
          <a:ext cx="7200000" cy="3354275"/>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38100</xdr:colOff>
      <xdr:row>25</xdr:row>
      <xdr:rowOff>13926</xdr:rowOff>
    </xdr:to>
    <xdr:pic>
      <xdr:nvPicPr>
        <xdr:cNvPr id="2" name="Picture 1"/>
        <xdr:cNvPicPr>
          <a:picLocks noChangeAspect="1"/>
        </xdr:cNvPicPr>
      </xdr:nvPicPr>
      <xdr:blipFill rotWithShape="1">
        <a:blip xmlns:r="http://schemas.openxmlformats.org/officeDocument/2006/relationships" r:embed="rId1"/>
        <a:srcRect l="14288" t="7761" b="7337"/>
        <a:stretch/>
      </xdr:blipFill>
      <xdr:spPr>
        <a:xfrm>
          <a:off x="0" y="0"/>
          <a:ext cx="8572500" cy="47764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AA29"/>
  <sheetViews>
    <sheetView topLeftCell="G1" workbookViewId="0">
      <selection activeCell="F1" sqref="F1:U1048576"/>
    </sheetView>
  </sheetViews>
  <sheetFormatPr defaultRowHeight="15" x14ac:dyDescent="0.25"/>
  <cols>
    <col min="3" max="3" width="4.85546875" customWidth="1"/>
    <col min="4" max="4" width="14.7109375" bestFit="1" customWidth="1"/>
    <col min="5" max="5" width="22.7109375" customWidth="1"/>
    <col min="6" max="7" width="12.42578125" customWidth="1"/>
    <col min="8" max="8" width="10.140625" customWidth="1"/>
    <col min="9" max="9" width="13.85546875" style="1" bestFit="1" customWidth="1"/>
    <col min="10" max="10" width="13.85546875" style="1" customWidth="1"/>
    <col min="11" max="11" width="13" customWidth="1"/>
    <col min="12" max="12" width="11.42578125" customWidth="1"/>
    <col min="13" max="13" width="16" customWidth="1"/>
    <col min="14" max="14" width="12.85546875" customWidth="1"/>
    <col min="15" max="15" width="15.42578125" customWidth="1"/>
    <col min="16" max="16" width="14" customWidth="1"/>
    <col min="17" max="17" width="14.7109375" customWidth="1"/>
    <col min="18" max="18" width="13" style="53" customWidth="1"/>
    <col min="19" max="19" width="15.28515625" style="53" customWidth="1"/>
    <col min="20" max="20" width="13.28515625" customWidth="1"/>
    <col min="21" max="21" width="14.5703125" customWidth="1"/>
    <col min="24" max="24" width="10.5703125" bestFit="1" customWidth="1"/>
    <col min="25" max="25" width="12" customWidth="1"/>
    <col min="26" max="26" width="10.28515625" customWidth="1"/>
  </cols>
  <sheetData>
    <row r="3" spans="3:27" ht="28.5" customHeight="1" x14ac:dyDescent="0.25">
      <c r="C3" s="82"/>
      <c r="D3" s="82"/>
      <c r="E3" s="82"/>
      <c r="F3" s="82"/>
      <c r="G3" s="82"/>
      <c r="H3" s="82"/>
      <c r="I3" s="82"/>
      <c r="J3" s="82"/>
      <c r="K3" s="82"/>
      <c r="L3" s="82"/>
      <c r="M3" s="82"/>
      <c r="N3" s="82"/>
      <c r="O3" s="82"/>
      <c r="P3" s="82"/>
      <c r="Q3" s="82"/>
      <c r="R3" s="82"/>
      <c r="S3" s="82"/>
      <c r="T3" s="82"/>
      <c r="U3" s="82"/>
    </row>
    <row r="4" spans="3:27" x14ac:dyDescent="0.25">
      <c r="C4" s="83"/>
      <c r="D4" s="83"/>
      <c r="E4" s="83"/>
      <c r="F4" s="83"/>
      <c r="G4" s="83"/>
      <c r="H4" s="83"/>
      <c r="I4" s="83"/>
      <c r="J4" s="83"/>
      <c r="K4" s="83"/>
      <c r="L4" s="83"/>
      <c r="M4" s="83"/>
      <c r="N4" s="83"/>
      <c r="O4" s="83"/>
      <c r="P4" s="83"/>
      <c r="Q4" s="83"/>
      <c r="R4" s="83"/>
      <c r="S4" s="83"/>
      <c r="T4" s="83"/>
      <c r="U4" s="83"/>
      <c r="X4" s="70" t="s">
        <v>121</v>
      </c>
      <c r="Y4" s="71"/>
      <c r="Z4" s="71"/>
      <c r="AA4" s="72"/>
    </row>
    <row r="5" spans="3:27" ht="54.75" customHeight="1" x14ac:dyDescent="0.25">
      <c r="C5" s="33" t="s">
        <v>122</v>
      </c>
      <c r="D5" s="34" t="s">
        <v>123</v>
      </c>
      <c r="E5" s="35" t="s">
        <v>124</v>
      </c>
      <c r="F5" s="35" t="s">
        <v>125</v>
      </c>
      <c r="G5" s="35" t="s">
        <v>126</v>
      </c>
      <c r="H5" s="34" t="s">
        <v>127</v>
      </c>
      <c r="I5" s="36" t="s">
        <v>128</v>
      </c>
      <c r="J5" s="36" t="s">
        <v>129</v>
      </c>
      <c r="K5" s="37" t="s">
        <v>130</v>
      </c>
      <c r="L5" s="34" t="s">
        <v>131</v>
      </c>
      <c r="M5" s="38" t="s">
        <v>132</v>
      </c>
      <c r="N5" s="37" t="s">
        <v>133</v>
      </c>
      <c r="O5" s="34" t="s">
        <v>134</v>
      </c>
      <c r="P5" s="34" t="s">
        <v>135</v>
      </c>
      <c r="Q5" s="34" t="s">
        <v>136</v>
      </c>
      <c r="R5" s="39" t="s">
        <v>137</v>
      </c>
      <c r="S5" s="39" t="s">
        <v>138</v>
      </c>
      <c r="T5" s="34" t="s">
        <v>139</v>
      </c>
      <c r="U5" s="34" t="s">
        <v>140</v>
      </c>
      <c r="X5" s="40" t="s">
        <v>141</v>
      </c>
      <c r="Y5" s="41" t="s">
        <v>62</v>
      </c>
      <c r="Z5" s="40" t="s">
        <v>142</v>
      </c>
      <c r="AA5" s="40" t="s">
        <v>143</v>
      </c>
    </row>
    <row r="6" spans="3:27" x14ac:dyDescent="0.25">
      <c r="C6" s="32">
        <v>1</v>
      </c>
      <c r="D6" s="32" t="s">
        <v>169</v>
      </c>
      <c r="E6" s="42" t="s">
        <v>171</v>
      </c>
      <c r="F6" s="42" t="s">
        <v>144</v>
      </c>
      <c r="G6" s="42" t="s">
        <v>145</v>
      </c>
      <c r="H6" s="32" t="s">
        <v>146</v>
      </c>
      <c r="I6" s="43">
        <f>10.76*J6</f>
        <v>24143.288</v>
      </c>
      <c r="J6" s="43">
        <v>2243.8000000000002</v>
      </c>
      <c r="K6" s="32">
        <v>1999</v>
      </c>
      <c r="L6" s="32">
        <v>2023</v>
      </c>
      <c r="M6" s="44">
        <f>L6-K6</f>
        <v>24</v>
      </c>
      <c r="N6" s="45">
        <v>60</v>
      </c>
      <c r="O6" s="45"/>
      <c r="P6" s="46">
        <v>0.1</v>
      </c>
      <c r="Q6" s="45">
        <f>(1-P6)/N6</f>
        <v>1.5000000000000001E-2</v>
      </c>
      <c r="R6" s="47">
        <v>1300</v>
      </c>
      <c r="S6" s="47">
        <f>R6*I6</f>
        <v>31386274.400000002</v>
      </c>
      <c r="T6" s="47">
        <f>S6*Q6*IF(M6&gt;N6,N6,M6)</f>
        <v>11299058.784000002</v>
      </c>
      <c r="U6" s="47">
        <f>S6-T6</f>
        <v>20087215.616</v>
      </c>
      <c r="X6" s="14" t="s">
        <v>147</v>
      </c>
      <c r="Y6" s="14" t="s">
        <v>148</v>
      </c>
      <c r="Z6" s="14">
        <f>62*59*3</f>
        <v>10974</v>
      </c>
      <c r="AA6" s="14">
        <f>Z6/10.76</f>
        <v>1019.8884758364312</v>
      </c>
    </row>
    <row r="7" spans="3:27" x14ac:dyDescent="0.25">
      <c r="C7" s="32">
        <v>2</v>
      </c>
      <c r="D7" s="32" t="s">
        <v>170</v>
      </c>
      <c r="E7" s="42" t="s">
        <v>9</v>
      </c>
      <c r="F7" s="42" t="s">
        <v>173</v>
      </c>
      <c r="G7" s="42"/>
      <c r="H7" s="32" t="s">
        <v>146</v>
      </c>
      <c r="I7" s="43">
        <f t="shared" ref="I7:I8" si="0">10.76*J7</f>
        <v>2077.3256000000001</v>
      </c>
      <c r="J7" s="43">
        <v>193.06</v>
      </c>
      <c r="K7" s="32">
        <v>1999</v>
      </c>
      <c r="L7" s="32">
        <v>2023</v>
      </c>
      <c r="M7" s="44">
        <f t="shared" ref="M7:M8" si="1">L7-K7</f>
        <v>24</v>
      </c>
      <c r="N7" s="45">
        <v>45</v>
      </c>
      <c r="O7" s="45"/>
      <c r="P7" s="46">
        <v>0.1</v>
      </c>
      <c r="Q7" s="45">
        <f>(1-P7)/N7</f>
        <v>0.02</v>
      </c>
      <c r="R7" s="47">
        <v>900</v>
      </c>
      <c r="S7" s="47">
        <f>R7*I7</f>
        <v>1869593.04</v>
      </c>
      <c r="T7" s="47">
        <f>S7*Q7*IF(M7&gt;N7,N7,M7)</f>
        <v>897404.65920000011</v>
      </c>
      <c r="U7" s="47">
        <f t="shared" ref="U7:U8" si="2">S7-T7</f>
        <v>972188.38079999993</v>
      </c>
      <c r="X7" s="14"/>
      <c r="Y7" s="14"/>
      <c r="Z7" s="14"/>
      <c r="AA7" s="14"/>
    </row>
    <row r="8" spans="3:27" x14ac:dyDescent="0.25">
      <c r="C8" s="32">
        <v>3</v>
      </c>
      <c r="D8" s="32" t="s">
        <v>4</v>
      </c>
      <c r="E8" s="42" t="s">
        <v>9</v>
      </c>
      <c r="F8" s="42" t="s">
        <v>173</v>
      </c>
      <c r="G8" s="42"/>
      <c r="H8" s="32" t="s">
        <v>146</v>
      </c>
      <c r="I8" s="43">
        <f t="shared" si="0"/>
        <v>2972.0195999999996</v>
      </c>
      <c r="J8" s="43">
        <v>276.20999999999998</v>
      </c>
      <c r="K8" s="32">
        <v>1999</v>
      </c>
      <c r="L8" s="32">
        <v>2023</v>
      </c>
      <c r="M8" s="44">
        <f t="shared" si="1"/>
        <v>24</v>
      </c>
      <c r="N8" s="45">
        <v>45</v>
      </c>
      <c r="O8" s="45"/>
      <c r="P8" s="46">
        <v>0.1</v>
      </c>
      <c r="Q8" s="45">
        <f>(1-P8)/N8</f>
        <v>0.02</v>
      </c>
      <c r="R8" s="47">
        <v>900</v>
      </c>
      <c r="S8" s="47">
        <f>R8*I8</f>
        <v>2674817.6399999997</v>
      </c>
      <c r="T8" s="47">
        <f>S8*Q8*IF(M8&gt;N8,N8,M8)</f>
        <v>1283912.4671999998</v>
      </c>
      <c r="U8" s="47">
        <f t="shared" si="2"/>
        <v>1390905.1727999998</v>
      </c>
      <c r="X8" s="14"/>
      <c r="Y8" s="14"/>
      <c r="Z8" s="14"/>
      <c r="AA8" s="14"/>
    </row>
    <row r="9" spans="3:27" ht="15" customHeight="1" x14ac:dyDescent="0.25">
      <c r="C9" s="32">
        <v>4</v>
      </c>
      <c r="D9" s="32" t="s">
        <v>1</v>
      </c>
      <c r="E9" s="42" t="s">
        <v>172</v>
      </c>
      <c r="F9" s="42" t="s">
        <v>149</v>
      </c>
      <c r="G9" s="42">
        <v>16</v>
      </c>
      <c r="H9" s="32" t="s">
        <v>146</v>
      </c>
      <c r="I9" s="43">
        <f>10.76*J9</f>
        <v>441.15999999999997</v>
      </c>
      <c r="J9" s="43">
        <v>41</v>
      </c>
      <c r="K9" s="32">
        <v>1999</v>
      </c>
      <c r="L9" s="32">
        <v>2023</v>
      </c>
      <c r="M9" s="44">
        <f>L9-K9</f>
        <v>24</v>
      </c>
      <c r="N9" s="45">
        <v>60</v>
      </c>
      <c r="O9" s="45"/>
      <c r="P9" s="46">
        <v>0.1</v>
      </c>
      <c r="Q9" s="45">
        <f>(1-P9)/N9</f>
        <v>1.5000000000000001E-2</v>
      </c>
      <c r="R9" s="47">
        <v>1300</v>
      </c>
      <c r="S9" s="47">
        <f>R9*I9</f>
        <v>573508</v>
      </c>
      <c r="T9" s="47">
        <f>S9*Q9*IF(M9&gt;N9,N9,M9)</f>
        <v>206462.88</v>
      </c>
      <c r="U9" s="47">
        <f>S9-T9</f>
        <v>367045.12</v>
      </c>
      <c r="X9" s="48" t="s">
        <v>150</v>
      </c>
      <c r="Y9" s="14" t="s">
        <v>151</v>
      </c>
      <c r="Z9" s="14">
        <f>27*74*2</f>
        <v>3996</v>
      </c>
      <c r="AA9" s="14">
        <f t="shared" ref="AA9:AA10" si="3">Z9/10.76</f>
        <v>371.3754646840149</v>
      </c>
    </row>
    <row r="10" spans="3:27" ht="30" x14ac:dyDescent="0.25">
      <c r="C10" s="73" t="s">
        <v>152</v>
      </c>
      <c r="D10" s="73"/>
      <c r="E10" s="73"/>
      <c r="F10" s="73"/>
      <c r="G10" s="73"/>
      <c r="H10" s="73"/>
      <c r="I10" s="49">
        <f>SUM(I6:I9)</f>
        <v>29633.7932</v>
      </c>
      <c r="J10" s="49">
        <f>SUM(J6:J9)</f>
        <v>2754.07</v>
      </c>
      <c r="K10" s="73"/>
      <c r="L10" s="73"/>
      <c r="M10" s="50"/>
      <c r="N10" s="50"/>
      <c r="O10" s="50"/>
      <c r="P10" s="50"/>
      <c r="Q10" s="50"/>
      <c r="R10" s="50"/>
      <c r="S10" s="51">
        <f t="shared" ref="S10:U10" si="4">SUM(S6:S9)</f>
        <v>36504193.079999998</v>
      </c>
      <c r="T10" s="51">
        <f t="shared" si="4"/>
        <v>13686838.790400002</v>
      </c>
      <c r="U10" s="51">
        <f t="shared" si="4"/>
        <v>22817354.289600004</v>
      </c>
      <c r="X10" s="48" t="s">
        <v>153</v>
      </c>
      <c r="Y10" s="14" t="s">
        <v>148</v>
      </c>
      <c r="Z10" s="14">
        <f>86*65*3</f>
        <v>16770</v>
      </c>
      <c r="AA10" s="14">
        <f t="shared" si="3"/>
        <v>1558.5501858736059</v>
      </c>
    </row>
    <row r="11" spans="3:27" x14ac:dyDescent="0.25">
      <c r="C11" s="74" t="s">
        <v>154</v>
      </c>
      <c r="D11" s="75"/>
      <c r="E11" s="75"/>
      <c r="F11" s="75"/>
      <c r="G11" s="75"/>
      <c r="H11" s="75"/>
      <c r="I11" s="75"/>
      <c r="J11" s="75"/>
      <c r="K11" s="75"/>
      <c r="L11" s="75"/>
      <c r="M11" s="75"/>
      <c r="N11" s="75"/>
      <c r="O11" s="75"/>
      <c r="P11" s="75"/>
      <c r="Q11" s="75"/>
      <c r="R11" s="75"/>
      <c r="S11" s="75"/>
      <c r="T11" s="75"/>
      <c r="U11" s="76"/>
      <c r="X11" s="52"/>
      <c r="Y11" s="52" t="s">
        <v>155</v>
      </c>
      <c r="Z11" s="52">
        <f>SUM(Z6:Z10)</f>
        <v>31740</v>
      </c>
      <c r="AA11" s="52">
        <f>SUM(AA6:AA10)</f>
        <v>2949.814126394052</v>
      </c>
    </row>
    <row r="12" spans="3:27" x14ac:dyDescent="0.25">
      <c r="C12" s="77" t="s">
        <v>156</v>
      </c>
      <c r="D12" s="78"/>
      <c r="E12" s="78"/>
      <c r="F12" s="78"/>
      <c r="G12" s="78"/>
      <c r="H12" s="78"/>
      <c r="I12" s="78"/>
      <c r="J12" s="78"/>
      <c r="K12" s="78"/>
      <c r="L12" s="78"/>
      <c r="M12" s="78"/>
      <c r="N12" s="78"/>
      <c r="O12" s="78"/>
      <c r="P12" s="78"/>
      <c r="Q12" s="78"/>
      <c r="R12" s="78"/>
      <c r="S12" s="78"/>
      <c r="T12" s="78"/>
      <c r="U12" s="79"/>
    </row>
    <row r="13" spans="3:27" ht="33.75" customHeight="1" x14ac:dyDescent="0.25">
      <c r="C13" s="80" t="s">
        <v>174</v>
      </c>
      <c r="D13" s="78"/>
      <c r="E13" s="78"/>
      <c r="F13" s="78"/>
      <c r="G13" s="78"/>
      <c r="H13" s="78"/>
      <c r="I13" s="78"/>
      <c r="J13" s="78"/>
      <c r="K13" s="78"/>
      <c r="L13" s="78"/>
      <c r="M13" s="78"/>
      <c r="N13" s="78"/>
      <c r="O13" s="78"/>
      <c r="P13" s="78"/>
      <c r="Q13" s="78"/>
      <c r="R13" s="78"/>
      <c r="S13" s="78"/>
      <c r="T13" s="78"/>
      <c r="U13" s="79"/>
      <c r="Y13" s="40" t="s">
        <v>143</v>
      </c>
    </row>
    <row r="14" spans="3:27" ht="28.5" customHeight="1" x14ac:dyDescent="0.25">
      <c r="C14" s="80"/>
      <c r="D14" s="78"/>
      <c r="E14" s="78"/>
      <c r="F14" s="78"/>
      <c r="G14" s="78"/>
      <c r="H14" s="78"/>
      <c r="I14" s="78"/>
      <c r="J14" s="78"/>
      <c r="K14" s="78"/>
      <c r="L14" s="78"/>
      <c r="M14" s="78"/>
      <c r="N14" s="78"/>
      <c r="O14" s="78"/>
      <c r="P14" s="78"/>
      <c r="Q14" s="78"/>
      <c r="R14" s="78"/>
      <c r="S14" s="78"/>
      <c r="T14" s="78"/>
      <c r="U14" s="79"/>
      <c r="X14" s="28" t="s">
        <v>157</v>
      </c>
      <c r="Y14">
        <v>1842.5</v>
      </c>
    </row>
    <row r="15" spans="3:27" x14ac:dyDescent="0.25">
      <c r="G15" t="s">
        <v>158</v>
      </c>
    </row>
    <row r="16" spans="3:27" ht="60" x14ac:dyDescent="0.25">
      <c r="E16">
        <v>4650</v>
      </c>
      <c r="G16">
        <f>0.1875+0.0208</f>
        <v>0.20829999999999999</v>
      </c>
      <c r="Q16">
        <f>15500000/720</f>
        <v>21527.777777777777</v>
      </c>
      <c r="S16" s="53">
        <v>2700</v>
      </c>
      <c r="X16" s="28" t="s">
        <v>159</v>
      </c>
      <c r="Y16">
        <f>AA11/Y14</f>
        <v>1.6009846004852386</v>
      </c>
    </row>
    <row r="17" spans="4:25" ht="60" x14ac:dyDescent="0.25">
      <c r="E17" s="35" t="s">
        <v>124</v>
      </c>
      <c r="F17" s="35" t="s">
        <v>160</v>
      </c>
      <c r="G17" s="35" t="s">
        <v>126</v>
      </c>
      <c r="H17" s="34" t="s">
        <v>127</v>
      </c>
      <c r="I17" s="37" t="s">
        <v>130</v>
      </c>
      <c r="J17" s="34" t="s">
        <v>131</v>
      </c>
      <c r="K17" s="38" t="s">
        <v>132</v>
      </c>
      <c r="L17" s="37" t="s">
        <v>133</v>
      </c>
      <c r="M17" s="34" t="s">
        <v>135</v>
      </c>
      <c r="N17" s="34" t="s">
        <v>136</v>
      </c>
      <c r="O17" s="39" t="s">
        <v>161</v>
      </c>
      <c r="P17" s="39" t="s">
        <v>138</v>
      </c>
      <c r="Q17" s="34" t="s">
        <v>139</v>
      </c>
      <c r="R17" s="34" t="s">
        <v>140</v>
      </c>
      <c r="U17" s="34" t="s">
        <v>162</v>
      </c>
      <c r="X17" s="28" t="s">
        <v>163</v>
      </c>
      <c r="Y17">
        <v>0.51400000000000001</v>
      </c>
    </row>
    <row r="19" spans="4:25" x14ac:dyDescent="0.25">
      <c r="D19" t="s">
        <v>164</v>
      </c>
      <c r="E19" t="s">
        <v>165</v>
      </c>
      <c r="F19">
        <v>317</v>
      </c>
      <c r="G19">
        <v>11</v>
      </c>
      <c r="H19" t="s">
        <v>146</v>
      </c>
      <c r="I19" s="54">
        <v>1999</v>
      </c>
      <c r="J19" s="54">
        <v>2023</v>
      </c>
      <c r="K19">
        <f>J19-I19</f>
        <v>24</v>
      </c>
      <c r="L19">
        <v>70</v>
      </c>
      <c r="M19" s="31">
        <v>0.1</v>
      </c>
      <c r="N19">
        <f>(1-M19)/L19</f>
        <v>1.2857142857142857E-2</v>
      </c>
      <c r="O19">
        <v>5000</v>
      </c>
      <c r="P19" s="55">
        <f>O19*F19</f>
        <v>1585000</v>
      </c>
      <c r="Q19" s="55">
        <f>P19*N19*IF(K19&gt;L19,L19,K19)</f>
        <v>489085.71428571426</v>
      </c>
      <c r="R19" s="53">
        <f>P19-Q19</f>
        <v>1095914.2857142857</v>
      </c>
      <c r="U19">
        <f>540000</f>
        <v>540000</v>
      </c>
    </row>
    <row r="21" spans="4:25" x14ac:dyDescent="0.25">
      <c r="P21" s="2">
        <f>P19+S10</f>
        <v>38089193.079999998</v>
      </c>
      <c r="R21" s="2">
        <f>R19+U10</f>
        <v>23913268.575314291</v>
      </c>
      <c r="Y21">
        <f>24.38*23.5</f>
        <v>572.92999999999995</v>
      </c>
    </row>
    <row r="22" spans="4:25" x14ac:dyDescent="0.25">
      <c r="F22" s="81"/>
      <c r="G22" s="81"/>
      <c r="H22" s="81"/>
      <c r="M22" t="s">
        <v>166</v>
      </c>
      <c r="N22">
        <f>3200*4</f>
        <v>12800</v>
      </c>
    </row>
    <row r="23" spans="4:25" ht="30" x14ac:dyDescent="0.25">
      <c r="M23" s="28" t="s">
        <v>167</v>
      </c>
      <c r="N23">
        <f>4000+4335+3500+2000</f>
        <v>13835</v>
      </c>
    </row>
    <row r="25" spans="4:25" x14ac:dyDescent="0.25">
      <c r="D25" t="s">
        <v>168</v>
      </c>
      <c r="E25" s="55">
        <f>0.8*U10</f>
        <v>18253883.431680005</v>
      </c>
    </row>
    <row r="29" spans="4:25" x14ac:dyDescent="0.25">
      <c r="D29" s="28"/>
      <c r="F29" s="28"/>
      <c r="G29" s="28"/>
    </row>
  </sheetData>
  <mergeCells count="10">
    <mergeCell ref="C13:U13"/>
    <mergeCell ref="C14:U14"/>
    <mergeCell ref="F22:H22"/>
    <mergeCell ref="C3:U3"/>
    <mergeCell ref="C4:U4"/>
    <mergeCell ref="X4:AA4"/>
    <mergeCell ref="C10:H10"/>
    <mergeCell ref="K10:L10"/>
    <mergeCell ref="C11:U11"/>
    <mergeCell ref="C12:U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3:R14"/>
  <sheetViews>
    <sheetView workbookViewId="0">
      <selection activeCell="R14" sqref="R14"/>
    </sheetView>
  </sheetViews>
  <sheetFormatPr defaultRowHeight="15" x14ac:dyDescent="0.25"/>
  <cols>
    <col min="18" max="18" width="14.28515625" style="2" bestFit="1" customWidth="1"/>
  </cols>
  <sheetData>
    <row r="13" spans="18:18" x14ac:dyDescent="0.25">
      <c r="R13" s="2">
        <v>16000000</v>
      </c>
    </row>
    <row r="14" spans="18:18" x14ac:dyDescent="0.25">
      <c r="R14" s="2">
        <f>R13/4046.84</f>
        <v>3953.7021478486918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K23"/>
  <sheetViews>
    <sheetView topLeftCell="A7" workbookViewId="0">
      <selection activeCell="J27" sqref="J27"/>
    </sheetView>
  </sheetViews>
  <sheetFormatPr defaultRowHeight="15" x14ac:dyDescent="0.25"/>
  <cols>
    <col min="7" max="7" width="38.42578125" bestFit="1" customWidth="1"/>
    <col min="8" max="11" width="12.85546875" bestFit="1" customWidth="1"/>
  </cols>
  <sheetData>
    <row r="4" spans="6:11" ht="15.75" thickBot="1" x14ac:dyDescent="0.3"/>
    <row r="5" spans="6:11" ht="52.5" customHeight="1" x14ac:dyDescent="0.25">
      <c r="F5" s="99" t="s">
        <v>193</v>
      </c>
      <c r="G5" s="100"/>
      <c r="H5" s="100"/>
      <c r="I5" s="100"/>
      <c r="J5" s="100"/>
      <c r="K5" s="101"/>
    </row>
    <row r="6" spans="6:11" ht="75.75" thickBot="1" x14ac:dyDescent="0.3">
      <c r="F6" s="61" t="s">
        <v>181</v>
      </c>
      <c r="G6" s="62" t="s">
        <v>15</v>
      </c>
      <c r="H6" s="63" t="s">
        <v>191</v>
      </c>
      <c r="I6" s="63" t="s">
        <v>192</v>
      </c>
      <c r="J6" s="63" t="s">
        <v>182</v>
      </c>
      <c r="K6" s="64" t="s">
        <v>183</v>
      </c>
    </row>
    <row r="7" spans="6:11" ht="15.75" thickBot="1" x14ac:dyDescent="0.3">
      <c r="F7" s="65">
        <v>1</v>
      </c>
      <c r="G7" s="66" t="s">
        <v>184</v>
      </c>
      <c r="H7" s="69">
        <f>10^7*Summary!E6</f>
        <v>85960006.189999998</v>
      </c>
      <c r="I7" s="69">
        <f>10^7*Summary!F6</f>
        <v>23516661.189999998</v>
      </c>
      <c r="J7" s="67">
        <f>10^7*Summary!G6</f>
        <v>106234156.68525897</v>
      </c>
      <c r="K7" s="68">
        <f>10^7*Summary!H6</f>
        <v>56768833.75251548</v>
      </c>
    </row>
    <row r="8" spans="6:11" x14ac:dyDescent="0.25">
      <c r="F8" s="102"/>
      <c r="G8" s="103"/>
      <c r="H8" s="103"/>
      <c r="I8" s="103"/>
      <c r="J8" s="103"/>
      <c r="K8" s="104"/>
    </row>
    <row r="9" spans="6:11" x14ac:dyDescent="0.25">
      <c r="F9" s="105" t="s">
        <v>185</v>
      </c>
      <c r="G9" s="106"/>
      <c r="H9" s="106"/>
      <c r="I9" s="106"/>
      <c r="J9" s="106"/>
      <c r="K9" s="107"/>
    </row>
    <row r="10" spans="6:11" ht="37.5" customHeight="1" x14ac:dyDescent="0.25">
      <c r="F10" s="90" t="s">
        <v>194</v>
      </c>
      <c r="G10" s="91"/>
      <c r="H10" s="91"/>
      <c r="I10" s="91"/>
      <c r="J10" s="91"/>
      <c r="K10" s="92"/>
    </row>
    <row r="11" spans="6:11" ht="27" customHeight="1" x14ac:dyDescent="0.25">
      <c r="F11" s="90" t="s">
        <v>186</v>
      </c>
      <c r="G11" s="91"/>
      <c r="H11" s="91"/>
      <c r="I11" s="91"/>
      <c r="J11" s="91"/>
      <c r="K11" s="92"/>
    </row>
    <row r="12" spans="6:11" ht="36.75" customHeight="1" x14ac:dyDescent="0.25">
      <c r="F12" s="90" t="s">
        <v>195</v>
      </c>
      <c r="G12" s="91"/>
      <c r="H12" s="91"/>
      <c r="I12" s="91"/>
      <c r="J12" s="91"/>
      <c r="K12" s="92"/>
    </row>
    <row r="13" spans="6:11" ht="21" customHeight="1" x14ac:dyDescent="0.25">
      <c r="F13" s="90" t="s">
        <v>196</v>
      </c>
      <c r="G13" s="91"/>
      <c r="H13" s="91"/>
      <c r="I13" s="91"/>
      <c r="J13" s="91"/>
      <c r="K13" s="92"/>
    </row>
    <row r="14" spans="6:11" ht="35.25" customHeight="1" x14ac:dyDescent="0.25">
      <c r="F14" s="90" t="s">
        <v>187</v>
      </c>
      <c r="G14" s="91"/>
      <c r="H14" s="91"/>
      <c r="I14" s="91"/>
      <c r="J14" s="91"/>
      <c r="K14" s="92"/>
    </row>
    <row r="15" spans="6:11" ht="15.75" thickBot="1" x14ac:dyDescent="0.3">
      <c r="F15" s="93" t="s">
        <v>188</v>
      </c>
      <c r="G15" s="94"/>
      <c r="H15" s="94"/>
      <c r="I15" s="94"/>
      <c r="J15" s="94"/>
      <c r="K15" s="95"/>
    </row>
    <row r="16" spans="6:11" x14ac:dyDescent="0.25">
      <c r="F16" s="96" t="s">
        <v>189</v>
      </c>
      <c r="G16" s="97"/>
      <c r="H16" s="97"/>
      <c r="I16" s="97"/>
      <c r="J16" s="97"/>
      <c r="K16" s="98"/>
    </row>
    <row r="17" spans="6:11" ht="31.5" customHeight="1" x14ac:dyDescent="0.25">
      <c r="F17" s="90" t="s">
        <v>190</v>
      </c>
      <c r="G17" s="91"/>
      <c r="H17" s="91"/>
      <c r="I17" s="91"/>
      <c r="J17" s="91"/>
      <c r="K17" s="92"/>
    </row>
    <row r="20" spans="6:11" x14ac:dyDescent="0.25">
      <c r="G20" t="s">
        <v>197</v>
      </c>
      <c r="H20" s="10">
        <f>K7+'Bahal Building'!K8+'Bahal Land'!F22+'Bahal Building'!K17</f>
        <v>181673995.09139544</v>
      </c>
    </row>
    <row r="21" spans="6:11" x14ac:dyDescent="0.25">
      <c r="G21" t="s">
        <v>162</v>
      </c>
      <c r="H21">
        <v>180000000</v>
      </c>
    </row>
    <row r="22" spans="6:11" x14ac:dyDescent="0.25">
      <c r="G22" t="s">
        <v>198</v>
      </c>
      <c r="H22">
        <f>0.85*H21</f>
        <v>153000000</v>
      </c>
    </row>
    <row r="23" spans="6:11" x14ac:dyDescent="0.25">
      <c r="G23" t="s">
        <v>199</v>
      </c>
      <c r="H23">
        <f>0.75*H21</f>
        <v>135000000</v>
      </c>
    </row>
  </sheetData>
  <mergeCells count="11">
    <mergeCell ref="F12:K12"/>
    <mergeCell ref="F5:K5"/>
    <mergeCell ref="F8:K8"/>
    <mergeCell ref="F9:K9"/>
    <mergeCell ref="F10:K10"/>
    <mergeCell ref="F11:K11"/>
    <mergeCell ref="F13:K13"/>
    <mergeCell ref="F14:K14"/>
    <mergeCell ref="F15:K15"/>
    <mergeCell ref="F16:K16"/>
    <mergeCell ref="F17:K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0"/>
  <sheetViews>
    <sheetView workbookViewId="0">
      <selection activeCell="Q8" sqref="Q8"/>
    </sheetView>
  </sheetViews>
  <sheetFormatPr defaultRowHeight="15" x14ac:dyDescent="0.25"/>
  <cols>
    <col min="2" max="2" width="5.140625" customWidth="1"/>
    <col min="3" max="3" width="14.28515625" bestFit="1" customWidth="1"/>
    <col min="4" max="4" width="10.5703125" style="1" customWidth="1"/>
    <col min="5" max="5" width="10" style="2" customWidth="1"/>
    <col min="6" max="6" width="13.140625" customWidth="1"/>
    <col min="7" max="7" width="12.28515625" bestFit="1" customWidth="1"/>
    <col min="8" max="8" width="12.5703125" customWidth="1"/>
    <col min="9" max="9" width="11.5703125" style="2" customWidth="1"/>
    <col min="10" max="10" width="14.28515625" style="2" hidden="1" customWidth="1"/>
    <col min="11" max="11" width="11.5703125" style="2" customWidth="1"/>
  </cols>
  <sheetData>
    <row r="2" spans="2:14" x14ac:dyDescent="0.25">
      <c r="D2" s="2">
        <f>SUM(D4:D7)</f>
        <v>2754.07</v>
      </c>
      <c r="E2" s="2">
        <f>SUM(E4:E7)</f>
        <v>29644.80948</v>
      </c>
      <c r="G2">
        <v>2023</v>
      </c>
      <c r="I2" s="2">
        <f>SUM(I4:I7)</f>
        <v>59606489.592</v>
      </c>
      <c r="J2" s="2">
        <f t="shared" ref="J2:K2" si="0">SUM(J4:J7)</f>
        <v>21458336.253119998</v>
      </c>
      <c r="K2" s="2">
        <f t="shared" si="0"/>
        <v>38148153.338879995</v>
      </c>
    </row>
    <row r="3" spans="2:14" ht="32.25" customHeight="1" x14ac:dyDescent="0.25">
      <c r="B3" s="26" t="s">
        <v>180</v>
      </c>
      <c r="C3" s="56" t="s">
        <v>15</v>
      </c>
      <c r="D3" s="27" t="s">
        <v>175</v>
      </c>
      <c r="E3" s="27" t="s">
        <v>176</v>
      </c>
      <c r="F3" s="26" t="s">
        <v>177</v>
      </c>
      <c r="G3" s="26" t="s">
        <v>178</v>
      </c>
      <c r="H3" s="26" t="s">
        <v>179</v>
      </c>
      <c r="I3" s="57" t="s">
        <v>12</v>
      </c>
      <c r="J3" s="57" t="s">
        <v>139</v>
      </c>
      <c r="K3" s="57" t="s">
        <v>14</v>
      </c>
    </row>
    <row r="4" spans="2:14" x14ac:dyDescent="0.25">
      <c r="B4" s="14">
        <v>1</v>
      </c>
      <c r="C4" s="32" t="s">
        <v>0</v>
      </c>
      <c r="D4" s="43">
        <v>2243.8000000000002</v>
      </c>
      <c r="E4" s="58">
        <f>D4*10.764</f>
        <v>24152.263200000001</v>
      </c>
      <c r="F4" s="32" t="s">
        <v>8</v>
      </c>
      <c r="G4" s="32">
        <v>1999</v>
      </c>
      <c r="H4" s="32">
        <v>2200</v>
      </c>
      <c r="I4" s="58">
        <f>H4*E4</f>
        <v>53134979.039999999</v>
      </c>
      <c r="J4" s="58">
        <f>I4*($G$2-G4)*1.5%</f>
        <v>19128592.454399999</v>
      </c>
      <c r="K4" s="58">
        <f>I4-J4</f>
        <v>34006386.585600004</v>
      </c>
    </row>
    <row r="5" spans="2:14" x14ac:dyDescent="0.25">
      <c r="B5" s="14">
        <v>2</v>
      </c>
      <c r="C5" s="32" t="s">
        <v>3</v>
      </c>
      <c r="D5" s="43">
        <v>193.06</v>
      </c>
      <c r="E5" s="58">
        <f t="shared" ref="E5:E7" si="1">D5*10.764</f>
        <v>2078.0978399999999</v>
      </c>
      <c r="F5" s="32" t="s">
        <v>9</v>
      </c>
      <c r="G5" s="32">
        <v>1999</v>
      </c>
      <c r="H5" s="32">
        <v>1100</v>
      </c>
      <c r="I5" s="58">
        <f t="shared" ref="I5:I7" si="2">H5*E5</f>
        <v>2285907.6239999998</v>
      </c>
      <c r="J5" s="58">
        <f t="shared" ref="J5:J7" si="3">I5*($G$2-G5)*1.5%</f>
        <v>822926.74463999993</v>
      </c>
      <c r="K5" s="58">
        <f t="shared" ref="K5:K7" si="4">I5-J5</f>
        <v>1462980.8793599999</v>
      </c>
    </row>
    <row r="6" spans="2:14" x14ac:dyDescent="0.25">
      <c r="B6" s="14">
        <v>3</v>
      </c>
      <c r="C6" s="32" t="s">
        <v>4</v>
      </c>
      <c r="D6" s="43">
        <v>276.20999999999998</v>
      </c>
      <c r="E6" s="58">
        <f t="shared" si="1"/>
        <v>2973.1244399999996</v>
      </c>
      <c r="F6" s="32" t="s">
        <v>9</v>
      </c>
      <c r="G6" s="32">
        <v>1999</v>
      </c>
      <c r="H6" s="32">
        <v>1200</v>
      </c>
      <c r="I6" s="58">
        <f t="shared" si="2"/>
        <v>3567749.3279999997</v>
      </c>
      <c r="J6" s="58">
        <f t="shared" si="3"/>
        <v>1284389.7580799998</v>
      </c>
      <c r="K6" s="58">
        <f t="shared" si="4"/>
        <v>2283359.5699199997</v>
      </c>
    </row>
    <row r="7" spans="2:14" x14ac:dyDescent="0.25">
      <c r="B7" s="14">
        <v>4</v>
      </c>
      <c r="C7" s="32" t="s">
        <v>1</v>
      </c>
      <c r="D7" s="43">
        <v>41</v>
      </c>
      <c r="E7" s="58">
        <f t="shared" si="1"/>
        <v>441.32399999999996</v>
      </c>
      <c r="F7" s="32" t="s">
        <v>7</v>
      </c>
      <c r="G7" s="32">
        <v>1999</v>
      </c>
      <c r="H7" s="32">
        <v>1400</v>
      </c>
      <c r="I7" s="58">
        <f t="shared" si="2"/>
        <v>617853.6</v>
      </c>
      <c r="J7" s="58">
        <f t="shared" si="3"/>
        <v>222427.29599999997</v>
      </c>
      <c r="K7" s="58">
        <f t="shared" si="4"/>
        <v>395426.304</v>
      </c>
    </row>
    <row r="8" spans="2:14" x14ac:dyDescent="0.25">
      <c r="B8" s="84" t="s">
        <v>152</v>
      </c>
      <c r="C8" s="85"/>
      <c r="D8" s="59">
        <f>SUM(D4:D7)</f>
        <v>2754.07</v>
      </c>
      <c r="E8" s="60">
        <f>SUM(E4:E7)</f>
        <v>29644.80948</v>
      </c>
      <c r="F8" s="32"/>
      <c r="G8" s="32"/>
      <c r="H8" s="32"/>
      <c r="I8" s="60">
        <f>SUM(I4:I7)</f>
        <v>59606489.592</v>
      </c>
      <c r="J8" s="60">
        <f t="shared" ref="J8:K8" si="5">SUM(J4:J7)</f>
        <v>21458336.253119998</v>
      </c>
      <c r="K8" s="60">
        <f t="shared" si="5"/>
        <v>38148153.338879995</v>
      </c>
    </row>
    <row r="15" spans="2:14" x14ac:dyDescent="0.25">
      <c r="G15" s="4"/>
      <c r="H15" s="7" t="s">
        <v>18</v>
      </c>
      <c r="I15" s="8" t="s">
        <v>12</v>
      </c>
      <c r="J15" s="8" t="s">
        <v>13</v>
      </c>
      <c r="K15" s="8" t="s">
        <v>14</v>
      </c>
      <c r="N15" s="17">
        <f>100%/30</f>
        <v>3.3333333333333333E-2</v>
      </c>
    </row>
    <row r="16" spans="2:14" x14ac:dyDescent="0.25">
      <c r="C16" t="s">
        <v>16</v>
      </c>
      <c r="F16" s="6" t="s">
        <v>17</v>
      </c>
      <c r="G16" s="2">
        <v>320</v>
      </c>
      <c r="H16" s="2">
        <v>10870</v>
      </c>
      <c r="I16" s="2">
        <f>H16*G16</f>
        <v>3478400</v>
      </c>
      <c r="J16" s="2">
        <f>I16*(G2-G4)*3%</f>
        <v>2504448</v>
      </c>
      <c r="K16" s="2">
        <f>I16-J16</f>
        <v>973952</v>
      </c>
    </row>
    <row r="17" spans="3:11" x14ac:dyDescent="0.25">
      <c r="C17" t="s">
        <v>19</v>
      </c>
      <c r="F17" s="9" t="s">
        <v>20</v>
      </c>
      <c r="G17" s="2">
        <v>5830</v>
      </c>
      <c r="H17" s="2">
        <v>200</v>
      </c>
      <c r="I17" s="2">
        <f>H17*G17</f>
        <v>1166000</v>
      </c>
      <c r="K17" s="2">
        <f>H17*G17</f>
        <v>1166000</v>
      </c>
    </row>
    <row r="18" spans="3:11" x14ac:dyDescent="0.25">
      <c r="I18" s="2">
        <f>I17+I16+I2</f>
        <v>64250889.592</v>
      </c>
      <c r="J18" s="2">
        <f>J17+J16+J2</f>
        <v>23962784.253119998</v>
      </c>
      <c r="K18" s="2">
        <f>K17+K16+K2</f>
        <v>40288105.338879995</v>
      </c>
    </row>
    <row r="19" spans="3:11" x14ac:dyDescent="0.25">
      <c r="K19" s="2">
        <f>'Bahal Land'!F22</f>
        <v>85591007.999999985</v>
      </c>
    </row>
    <row r="20" spans="3:11" x14ac:dyDescent="0.25">
      <c r="K20" s="2">
        <f>K19+K18</f>
        <v>125879113.33887997</v>
      </c>
    </row>
  </sheetData>
  <mergeCells count="1">
    <mergeCell ref="B8:C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S26"/>
  <sheetViews>
    <sheetView tabSelected="1" workbookViewId="0">
      <selection activeCell="P24" sqref="P24"/>
    </sheetView>
  </sheetViews>
  <sheetFormatPr defaultRowHeight="15" x14ac:dyDescent="0.25"/>
  <cols>
    <col min="3" max="3" width="10" style="2" bestFit="1" customWidth="1"/>
    <col min="4" max="4" width="9.28515625" style="2" bestFit="1" customWidth="1"/>
    <col min="5" max="5" width="17.85546875" style="2" bestFit="1" customWidth="1"/>
    <col min="6" max="6" width="12.5703125" style="2" bestFit="1" customWidth="1"/>
    <col min="7" max="7" width="10" bestFit="1" customWidth="1"/>
    <col min="12" max="12" width="10" bestFit="1" customWidth="1"/>
    <col min="13" max="13" width="14.28515625" bestFit="1" customWidth="1"/>
  </cols>
  <sheetData>
    <row r="2" spans="3:19" x14ac:dyDescent="0.25">
      <c r="C2" s="2" t="s">
        <v>5</v>
      </c>
      <c r="D2" s="2" t="s">
        <v>2</v>
      </c>
      <c r="E2" s="2" t="s">
        <v>21</v>
      </c>
      <c r="F2" s="2" t="s">
        <v>22</v>
      </c>
    </row>
    <row r="3" spans="3:19" x14ac:dyDescent="0.25">
      <c r="C3" s="2">
        <v>29952</v>
      </c>
      <c r="D3" s="2">
        <f>C3/10.764</f>
        <v>2782.608695652174</v>
      </c>
      <c r="E3" s="2">
        <f>5.99*10^7</f>
        <v>59900000</v>
      </c>
      <c r="F3" s="2">
        <f>E3/D3</f>
        <v>21526.5625</v>
      </c>
      <c r="G3" s="2">
        <f>F3*0.85</f>
        <v>18297.578125</v>
      </c>
      <c r="H3" t="s">
        <v>23</v>
      </c>
    </row>
    <row r="4" spans="3:19" x14ac:dyDescent="0.25">
      <c r="C4" s="2">
        <v>11700</v>
      </c>
      <c r="D4" s="2">
        <f>C4/10.764</f>
        <v>1086.9565217391305</v>
      </c>
      <c r="E4" s="2">
        <f>2.6*10^7</f>
        <v>26000000</v>
      </c>
      <c r="F4" s="2">
        <f t="shared" ref="F4:F9" si="0">E4/D4</f>
        <v>23920</v>
      </c>
      <c r="G4" s="2">
        <f t="shared" ref="G4:G9" si="1">F4*0.85</f>
        <v>20332</v>
      </c>
      <c r="H4" t="s">
        <v>24</v>
      </c>
    </row>
    <row r="5" spans="3:19" x14ac:dyDescent="0.25">
      <c r="D5" s="2">
        <v>1672.2550000000001</v>
      </c>
      <c r="E5" s="2">
        <f>3.8*10^7</f>
        <v>38000000</v>
      </c>
      <c r="F5" s="2">
        <f t="shared" si="0"/>
        <v>22723.807074877932</v>
      </c>
      <c r="G5" s="2">
        <f t="shared" si="1"/>
        <v>19315.236013646241</v>
      </c>
      <c r="H5" t="s">
        <v>25</v>
      </c>
    </row>
    <row r="6" spans="3:19" x14ac:dyDescent="0.25">
      <c r="D6" s="2">
        <v>1630.4480000000001</v>
      </c>
      <c r="E6" s="2">
        <f>3.6*10^7</f>
        <v>36000000</v>
      </c>
      <c r="F6" s="2">
        <f t="shared" si="0"/>
        <v>22079.821006251041</v>
      </c>
      <c r="G6" s="2">
        <f t="shared" si="1"/>
        <v>18767.847855313383</v>
      </c>
      <c r="H6" t="s">
        <v>26</v>
      </c>
    </row>
    <row r="7" spans="3:19" x14ac:dyDescent="0.25">
      <c r="D7" s="2">
        <v>2782.6320000000001</v>
      </c>
      <c r="E7" s="2">
        <f>5.9*10^7</f>
        <v>59000000</v>
      </c>
      <c r="F7" s="2">
        <f t="shared" si="0"/>
        <v>21202.947425315313</v>
      </c>
      <c r="G7" s="2">
        <f t="shared" si="1"/>
        <v>18022.505311518016</v>
      </c>
      <c r="H7" t="s">
        <v>27</v>
      </c>
    </row>
    <row r="8" spans="3:19" x14ac:dyDescent="0.25">
      <c r="D8" s="2">
        <f>6*4047</f>
        <v>24282</v>
      </c>
      <c r="E8" s="2">
        <f>36*10^7</f>
        <v>360000000</v>
      </c>
      <c r="F8" s="2">
        <f t="shared" si="0"/>
        <v>14825.796886582653</v>
      </c>
      <c r="G8" s="2">
        <f t="shared" si="1"/>
        <v>12601.927353595254</v>
      </c>
      <c r="H8" t="s">
        <v>28</v>
      </c>
    </row>
    <row r="9" spans="3:19" x14ac:dyDescent="0.25">
      <c r="D9" s="2">
        <v>1672.2550000000001</v>
      </c>
      <c r="E9" s="2">
        <f>3.6*10^7</f>
        <v>36000000</v>
      </c>
      <c r="F9" s="2">
        <f t="shared" si="0"/>
        <v>21527.817228831726</v>
      </c>
      <c r="G9" s="2">
        <f t="shared" si="1"/>
        <v>18298.644644506967</v>
      </c>
      <c r="H9" t="s">
        <v>30</v>
      </c>
    </row>
    <row r="10" spans="3:19" x14ac:dyDescent="0.25">
      <c r="F10" s="2">
        <f>AVERAGE(F3:F9)</f>
        <v>21115.250303122662</v>
      </c>
      <c r="G10" s="2">
        <f>AVERAGE(G3:G9)</f>
        <v>17947.962757654266</v>
      </c>
    </row>
    <row r="12" spans="3:19" x14ac:dyDescent="0.25">
      <c r="D12" s="2">
        <v>769.23699999999997</v>
      </c>
      <c r="E12" s="2">
        <f>1.56*10^7</f>
        <v>15600000</v>
      </c>
      <c r="F12" s="2">
        <f>E12/D12</f>
        <v>20279.835733330561</v>
      </c>
      <c r="G12" t="s">
        <v>29</v>
      </c>
    </row>
    <row r="13" spans="3:19" x14ac:dyDescent="0.25">
      <c r="F13" s="2">
        <v>16000</v>
      </c>
      <c r="G13" t="s">
        <v>31</v>
      </c>
    </row>
    <row r="16" spans="3:19" x14ac:dyDescent="0.25">
      <c r="R16" s="30" t="s">
        <v>114</v>
      </c>
      <c r="S16" s="30" t="s">
        <v>117</v>
      </c>
    </row>
    <row r="17" spans="5:19" x14ac:dyDescent="0.25">
      <c r="E17" s="2" t="s">
        <v>32</v>
      </c>
      <c r="F17" s="2">
        <v>18000</v>
      </c>
      <c r="G17" t="s">
        <v>33</v>
      </c>
      <c r="Q17" t="s">
        <v>113</v>
      </c>
      <c r="R17">
        <f>6070.28+151.757</f>
        <v>6222.0369999999994</v>
      </c>
      <c r="S17">
        <f>1.195*R17</f>
        <v>7435.3342149999999</v>
      </c>
    </row>
    <row r="18" spans="5:19" x14ac:dyDescent="0.25">
      <c r="Q18" t="s">
        <v>115</v>
      </c>
      <c r="R18">
        <f>455.272+1011.71</f>
        <v>1466.982</v>
      </c>
      <c r="S18">
        <f t="shared" ref="S18:S19" si="2">1.195*R18</f>
        <v>1753.04349</v>
      </c>
    </row>
    <row r="19" spans="5:19" x14ac:dyDescent="0.25">
      <c r="E19" s="2" t="s">
        <v>34</v>
      </c>
      <c r="F19" s="2">
        <v>5891.9553900000001</v>
      </c>
      <c r="G19" t="s">
        <v>2</v>
      </c>
      <c r="H19" s="3">
        <f>F19*1.195</f>
        <v>7040.8866910500001</v>
      </c>
      <c r="I19" t="s">
        <v>112</v>
      </c>
      <c r="J19" t="s">
        <v>200</v>
      </c>
      <c r="L19" t="s">
        <v>201</v>
      </c>
      <c r="Q19" t="s">
        <v>116</v>
      </c>
      <c r="R19">
        <f>4552.71+202.343</f>
        <v>4755.0529999999999</v>
      </c>
      <c r="S19">
        <f t="shared" si="2"/>
        <v>5682.2883350000002</v>
      </c>
    </row>
    <row r="20" spans="5:19" x14ac:dyDescent="0.25">
      <c r="E20" s="2" t="s">
        <v>35</v>
      </c>
      <c r="F20" s="2">
        <v>4755.0559999999996</v>
      </c>
      <c r="G20" t="s">
        <v>2</v>
      </c>
      <c r="H20" s="3">
        <f>F20*1.195</f>
        <v>5682.2919199999997</v>
      </c>
      <c r="I20" t="s">
        <v>112</v>
      </c>
      <c r="J20" s="3">
        <f>F20/4046.86</f>
        <v>1.1749988880267663</v>
      </c>
      <c r="L20">
        <v>10000000</v>
      </c>
      <c r="M20" s="3">
        <f>L20*J20</f>
        <v>11749988.880267663</v>
      </c>
      <c r="R20">
        <v>5866</v>
      </c>
      <c r="S20">
        <f>1.195*R20</f>
        <v>7009.8700000000008</v>
      </c>
    </row>
    <row r="21" spans="5:19" x14ac:dyDescent="0.25">
      <c r="L21">
        <v>71087500</v>
      </c>
    </row>
    <row r="22" spans="5:19" x14ac:dyDescent="0.25">
      <c r="E22" s="2" t="s">
        <v>36</v>
      </c>
      <c r="F22" s="2">
        <f>F20*F17</f>
        <v>85591007.999999985</v>
      </c>
      <c r="L22">
        <v>5687</v>
      </c>
      <c r="S22">
        <f>5866.52*1.195</f>
        <v>7010.4914000000008</v>
      </c>
    </row>
    <row r="23" spans="5:19" x14ac:dyDescent="0.25">
      <c r="L23" s="1">
        <v>4755.0559999999996</v>
      </c>
    </row>
    <row r="24" spans="5:19" x14ac:dyDescent="0.25">
      <c r="L24" s="2">
        <f>L21/L23</f>
        <v>14949.876510392309</v>
      </c>
    </row>
    <row r="26" spans="5:19" x14ac:dyDescent="0.25">
      <c r="F26" s="2">
        <f>F20*1.25</f>
        <v>5943.82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 sqref="Q3"/>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2"/>
  <sheetViews>
    <sheetView workbookViewId="0">
      <selection activeCell="M35" sqref="M35"/>
    </sheetView>
  </sheetViews>
  <sheetFormatPr defaultRowHeight="15" x14ac:dyDescent="0.25"/>
  <cols>
    <col min="1" max="1" width="9.140625" style="9"/>
    <col min="2" max="2" width="16.28515625" bestFit="1" customWidth="1"/>
    <col min="3" max="3" width="0" style="2" hidden="1" customWidth="1"/>
    <col min="4" max="4" width="0" hidden="1" customWidth="1"/>
    <col min="5" max="5" width="12.28515625" style="2" hidden="1" customWidth="1"/>
    <col min="6" max="6" width="11.5703125" style="2" customWidth="1"/>
    <col min="7" max="7" width="12.7109375" style="2" customWidth="1"/>
    <col min="9" max="9" width="11" style="2" customWidth="1"/>
    <col min="10" max="10" width="9.140625" customWidth="1"/>
    <col min="11" max="11" width="14.28515625" style="2" bestFit="1" customWidth="1"/>
    <col min="12" max="13" width="12.5703125" style="2" bestFit="1" customWidth="1"/>
    <col min="14" max="14" width="11.5703125" style="2" bestFit="1" customWidth="1"/>
    <col min="15" max="15" width="10" style="2" bestFit="1" customWidth="1"/>
  </cols>
  <sheetData>
    <row r="2" spans="1:16" x14ac:dyDescent="0.25">
      <c r="E2" s="5">
        <f>SUM(E4:E30)</f>
        <v>51998.399999999994</v>
      </c>
      <c r="F2" s="5">
        <f>SUM(F4:F30)</f>
        <v>559710.77760000003</v>
      </c>
      <c r="G2" s="12"/>
      <c r="I2" s="2">
        <v>2023</v>
      </c>
      <c r="K2" s="5">
        <f t="shared" ref="K2:M2" si="0">SUM(K4:K30)</f>
        <v>541140681.74400008</v>
      </c>
      <c r="L2" s="5">
        <f t="shared" si="0"/>
        <v>327538286.6845752</v>
      </c>
      <c r="M2" s="5">
        <f t="shared" si="0"/>
        <v>213602395.05942482</v>
      </c>
    </row>
    <row r="3" spans="1:16" x14ac:dyDescent="0.25">
      <c r="A3" s="9" t="s">
        <v>120</v>
      </c>
      <c r="B3" s="6" t="s">
        <v>66</v>
      </c>
      <c r="C3" s="13" t="s">
        <v>2</v>
      </c>
      <c r="D3" s="6" t="s">
        <v>62</v>
      </c>
      <c r="E3" s="13" t="s">
        <v>63</v>
      </c>
      <c r="F3" s="13" t="s">
        <v>64</v>
      </c>
      <c r="G3" s="13" t="s">
        <v>6</v>
      </c>
      <c r="H3" s="13" t="s">
        <v>10</v>
      </c>
      <c r="I3" s="13" t="s">
        <v>67</v>
      </c>
      <c r="J3" s="13" t="s">
        <v>11</v>
      </c>
      <c r="K3" s="5" t="s">
        <v>12</v>
      </c>
      <c r="L3" s="5" t="s">
        <v>13</v>
      </c>
      <c r="M3" s="5" t="s">
        <v>14</v>
      </c>
    </row>
    <row r="4" spans="1:16" x14ac:dyDescent="0.25">
      <c r="A4" s="9">
        <v>1</v>
      </c>
      <c r="B4" t="s">
        <v>57</v>
      </c>
      <c r="C4" s="2">
        <v>5967.52</v>
      </c>
      <c r="D4">
        <v>1</v>
      </c>
      <c r="E4" s="2">
        <f t="shared" ref="E4:E30" si="1">D4*C4</f>
        <v>5967.52</v>
      </c>
      <c r="F4" s="2">
        <f t="shared" ref="F4:F30" si="2">E4*10.764</f>
        <v>64234.385280000002</v>
      </c>
      <c r="G4" s="2" t="s">
        <v>8</v>
      </c>
      <c r="H4">
        <v>1990</v>
      </c>
      <c r="I4" s="1">
        <f t="shared" ref="I4:I30" si="3">$I$2-H4</f>
        <v>33</v>
      </c>
      <c r="J4">
        <v>1000</v>
      </c>
      <c r="K4" s="2">
        <f t="shared" ref="K4:K30" si="4">J4*F4</f>
        <v>64234385.280000001</v>
      </c>
      <c r="L4" s="2">
        <f t="shared" ref="L4:L30" si="5">K4*I4*2.11%</f>
        <v>44726402.470463991</v>
      </c>
      <c r="M4" s="2">
        <f t="shared" ref="M4:M30" si="6">K4-L4</f>
        <v>19507982.80953601</v>
      </c>
      <c r="P4" s="17"/>
    </row>
    <row r="5" spans="1:16" x14ac:dyDescent="0.25">
      <c r="A5" s="9">
        <f>A4+1</f>
        <v>2</v>
      </c>
      <c r="B5" t="s">
        <v>56</v>
      </c>
      <c r="C5" s="2">
        <v>5967.52</v>
      </c>
      <c r="D5">
        <v>1</v>
      </c>
      <c r="E5" s="2">
        <f t="shared" si="1"/>
        <v>5967.52</v>
      </c>
      <c r="F5" s="2">
        <f t="shared" si="2"/>
        <v>64234.385280000002</v>
      </c>
      <c r="G5" s="2" t="s">
        <v>8</v>
      </c>
      <c r="H5">
        <v>1990</v>
      </c>
      <c r="I5" s="1">
        <f t="shared" si="3"/>
        <v>33</v>
      </c>
      <c r="J5">
        <v>1000</v>
      </c>
      <c r="K5" s="2">
        <f t="shared" si="4"/>
        <v>64234385.280000001</v>
      </c>
      <c r="L5" s="2">
        <f t="shared" si="5"/>
        <v>44726402.470463991</v>
      </c>
      <c r="M5" s="2">
        <f t="shared" si="6"/>
        <v>19507982.80953601</v>
      </c>
    </row>
    <row r="6" spans="1:16" x14ac:dyDescent="0.25">
      <c r="A6" s="9">
        <f t="shared" ref="A6:A30" si="7">A5+1</f>
        <v>3</v>
      </c>
      <c r="B6" t="s">
        <v>40</v>
      </c>
      <c r="C6" s="2">
        <v>5703.18</v>
      </c>
      <c r="D6">
        <v>1</v>
      </c>
      <c r="E6" s="2">
        <f t="shared" si="1"/>
        <v>5703.18</v>
      </c>
      <c r="F6" s="2">
        <f t="shared" si="2"/>
        <v>61389.029519999996</v>
      </c>
      <c r="G6" s="2" t="s">
        <v>8</v>
      </c>
      <c r="H6">
        <v>1990</v>
      </c>
      <c r="I6" s="1">
        <f t="shared" si="3"/>
        <v>33</v>
      </c>
      <c r="J6">
        <v>1000</v>
      </c>
      <c r="K6" s="2">
        <f t="shared" si="4"/>
        <v>61389029.519999996</v>
      </c>
      <c r="L6" s="2">
        <f t="shared" si="5"/>
        <v>42745181.254775994</v>
      </c>
      <c r="M6" s="2">
        <f t="shared" si="6"/>
        <v>18643848.265224002</v>
      </c>
    </row>
    <row r="7" spans="1:16" x14ac:dyDescent="0.25">
      <c r="A7" s="9">
        <f t="shared" si="7"/>
        <v>4</v>
      </c>
      <c r="B7" t="s">
        <v>41</v>
      </c>
      <c r="C7" s="2">
        <v>5703.18</v>
      </c>
      <c r="D7">
        <v>1</v>
      </c>
      <c r="E7" s="2">
        <f t="shared" si="1"/>
        <v>5703.18</v>
      </c>
      <c r="F7" s="2">
        <f t="shared" si="2"/>
        <v>61389.029519999996</v>
      </c>
      <c r="G7" s="2" t="s">
        <v>8</v>
      </c>
      <c r="H7">
        <v>1990</v>
      </c>
      <c r="I7" s="1">
        <f t="shared" si="3"/>
        <v>33</v>
      </c>
      <c r="J7">
        <v>1000</v>
      </c>
      <c r="K7" s="2">
        <f t="shared" si="4"/>
        <v>61389029.519999996</v>
      </c>
      <c r="L7" s="2">
        <f t="shared" si="5"/>
        <v>42745181.254775994</v>
      </c>
      <c r="M7" s="2">
        <f t="shared" si="6"/>
        <v>18643848.265224002</v>
      </c>
    </row>
    <row r="8" spans="1:16" x14ac:dyDescent="0.25">
      <c r="A8" s="9">
        <f t="shared" si="7"/>
        <v>5</v>
      </c>
      <c r="B8" t="s">
        <v>58</v>
      </c>
      <c r="C8" s="2">
        <v>4177.46</v>
      </c>
      <c r="D8">
        <v>1</v>
      </c>
      <c r="E8" s="2">
        <f t="shared" si="1"/>
        <v>4177.46</v>
      </c>
      <c r="F8" s="2">
        <f t="shared" si="2"/>
        <v>44966.17944</v>
      </c>
      <c r="G8" s="2" t="s">
        <v>8</v>
      </c>
      <c r="H8">
        <v>2010</v>
      </c>
      <c r="I8" s="1">
        <f t="shared" si="3"/>
        <v>13</v>
      </c>
      <c r="J8">
        <v>1000</v>
      </c>
      <c r="K8" s="2">
        <f t="shared" si="4"/>
        <v>44966179.439999998</v>
      </c>
      <c r="L8" s="2">
        <f t="shared" si="5"/>
        <v>12334223.020391999</v>
      </c>
      <c r="M8" s="2">
        <f t="shared" si="6"/>
        <v>32631956.419607997</v>
      </c>
    </row>
    <row r="9" spans="1:16" x14ac:dyDescent="0.25">
      <c r="A9" s="9">
        <f t="shared" si="7"/>
        <v>6</v>
      </c>
      <c r="B9" t="s">
        <v>59</v>
      </c>
      <c r="C9" s="2">
        <v>3121.55</v>
      </c>
      <c r="D9">
        <v>1</v>
      </c>
      <c r="E9" s="2">
        <f t="shared" si="1"/>
        <v>3121.55</v>
      </c>
      <c r="F9" s="2">
        <f t="shared" si="2"/>
        <v>33600.364199999996</v>
      </c>
      <c r="G9" s="2" t="s">
        <v>8</v>
      </c>
      <c r="H9">
        <v>2010</v>
      </c>
      <c r="I9" s="1">
        <f t="shared" si="3"/>
        <v>13</v>
      </c>
      <c r="J9">
        <v>1000</v>
      </c>
      <c r="K9" s="2">
        <f t="shared" si="4"/>
        <v>33600364.199999996</v>
      </c>
      <c r="L9" s="2">
        <f t="shared" si="5"/>
        <v>9216579.900059998</v>
      </c>
      <c r="M9" s="2">
        <f t="shared" si="6"/>
        <v>24383784.299939997</v>
      </c>
    </row>
    <row r="10" spans="1:16" x14ac:dyDescent="0.25">
      <c r="A10" s="9">
        <f t="shared" si="7"/>
        <v>7</v>
      </c>
      <c r="B10" t="s">
        <v>53</v>
      </c>
      <c r="C10" s="2">
        <v>2514.08</v>
      </c>
      <c r="D10">
        <v>1</v>
      </c>
      <c r="E10" s="2">
        <f t="shared" si="1"/>
        <v>2514.08</v>
      </c>
      <c r="F10" s="2">
        <f t="shared" si="2"/>
        <v>27061.557119999998</v>
      </c>
      <c r="G10" s="2" t="s">
        <v>8</v>
      </c>
      <c r="H10">
        <v>1990</v>
      </c>
      <c r="I10" s="1">
        <f t="shared" si="3"/>
        <v>33</v>
      </c>
      <c r="J10">
        <v>1000</v>
      </c>
      <c r="K10" s="2">
        <f t="shared" si="4"/>
        <v>27061557.119999997</v>
      </c>
      <c r="L10" s="2">
        <f t="shared" si="5"/>
        <v>18842962.222655997</v>
      </c>
      <c r="M10" s="2">
        <f t="shared" si="6"/>
        <v>8218594.8973440006</v>
      </c>
    </row>
    <row r="11" spans="1:16" x14ac:dyDescent="0.25">
      <c r="A11" s="9">
        <f t="shared" si="7"/>
        <v>8</v>
      </c>
      <c r="B11" t="s">
        <v>45</v>
      </c>
      <c r="C11" s="2">
        <v>2073.27</v>
      </c>
      <c r="D11">
        <v>1</v>
      </c>
      <c r="E11" s="2">
        <f t="shared" si="1"/>
        <v>2073.27</v>
      </c>
      <c r="F11" s="2">
        <f t="shared" si="2"/>
        <v>22316.67828</v>
      </c>
      <c r="G11" s="2" t="s">
        <v>8</v>
      </c>
      <c r="H11">
        <v>1990</v>
      </c>
      <c r="I11" s="1">
        <f t="shared" si="3"/>
        <v>33</v>
      </c>
      <c r="J11">
        <v>1000</v>
      </c>
      <c r="K11" s="2">
        <f t="shared" si="4"/>
        <v>22316678.280000001</v>
      </c>
      <c r="L11" s="2">
        <f t="shared" si="5"/>
        <v>15539103.086363997</v>
      </c>
      <c r="M11" s="2">
        <f t="shared" si="6"/>
        <v>6777575.1936360039</v>
      </c>
    </row>
    <row r="12" spans="1:16" x14ac:dyDescent="0.25">
      <c r="A12" s="9">
        <f t="shared" si="7"/>
        <v>9</v>
      </c>
      <c r="B12" t="s">
        <v>39</v>
      </c>
      <c r="C12" s="2">
        <v>1979.1</v>
      </c>
      <c r="D12">
        <v>1</v>
      </c>
      <c r="E12" s="2">
        <f t="shared" si="1"/>
        <v>1979.1</v>
      </c>
      <c r="F12" s="2">
        <f t="shared" si="2"/>
        <v>21303.032399999996</v>
      </c>
      <c r="G12" s="2" t="s">
        <v>8</v>
      </c>
      <c r="H12">
        <v>2005</v>
      </c>
      <c r="I12" s="1">
        <f t="shared" si="3"/>
        <v>18</v>
      </c>
      <c r="J12">
        <v>1000</v>
      </c>
      <c r="K12" s="2">
        <f t="shared" si="4"/>
        <v>21303032.399999995</v>
      </c>
      <c r="L12" s="2">
        <f t="shared" si="5"/>
        <v>8090891.7055199975</v>
      </c>
      <c r="M12" s="2">
        <f t="shared" si="6"/>
        <v>13212140.694479998</v>
      </c>
    </row>
    <row r="13" spans="1:16" x14ac:dyDescent="0.25">
      <c r="A13" s="9">
        <f t="shared" si="7"/>
        <v>10</v>
      </c>
      <c r="B13" t="s">
        <v>46</v>
      </c>
      <c r="C13" s="2">
        <v>1809.33</v>
      </c>
      <c r="D13">
        <v>1</v>
      </c>
      <c r="E13" s="2">
        <f t="shared" si="1"/>
        <v>1809.33</v>
      </c>
      <c r="F13" s="2">
        <f t="shared" si="2"/>
        <v>19475.628119999998</v>
      </c>
      <c r="G13" s="2" t="s">
        <v>8</v>
      </c>
      <c r="H13">
        <v>1990</v>
      </c>
      <c r="I13" s="1">
        <f t="shared" si="3"/>
        <v>33</v>
      </c>
      <c r="J13">
        <v>1000</v>
      </c>
      <c r="K13" s="2">
        <f t="shared" si="4"/>
        <v>19475628.119999997</v>
      </c>
      <c r="L13" s="2">
        <f t="shared" si="5"/>
        <v>13560879.859955996</v>
      </c>
      <c r="M13" s="2">
        <f t="shared" si="6"/>
        <v>5914748.260044001</v>
      </c>
    </row>
    <row r="14" spans="1:16" x14ac:dyDescent="0.25">
      <c r="A14" s="9">
        <f t="shared" si="7"/>
        <v>11</v>
      </c>
      <c r="B14" t="s">
        <v>37</v>
      </c>
      <c r="C14" s="2">
        <v>1263.24</v>
      </c>
      <c r="D14">
        <v>1</v>
      </c>
      <c r="E14" s="2">
        <f t="shared" si="1"/>
        <v>1263.24</v>
      </c>
      <c r="F14" s="2">
        <f t="shared" si="2"/>
        <v>13597.515359999999</v>
      </c>
      <c r="G14" s="2" t="s">
        <v>8</v>
      </c>
      <c r="H14">
        <v>1990</v>
      </c>
      <c r="I14" s="1">
        <f t="shared" si="3"/>
        <v>33</v>
      </c>
      <c r="J14">
        <v>1000</v>
      </c>
      <c r="K14" s="2">
        <f t="shared" si="4"/>
        <v>13597515.359999999</v>
      </c>
      <c r="L14" s="2">
        <f t="shared" si="5"/>
        <v>9467949.9451679979</v>
      </c>
      <c r="M14" s="2">
        <f t="shared" si="6"/>
        <v>4129565.4148320016</v>
      </c>
    </row>
    <row r="15" spans="1:16" x14ac:dyDescent="0.25">
      <c r="A15" s="9">
        <f t="shared" si="7"/>
        <v>12</v>
      </c>
      <c r="B15" t="s">
        <v>38</v>
      </c>
      <c r="C15" s="2">
        <v>1263.24</v>
      </c>
      <c r="D15">
        <v>1</v>
      </c>
      <c r="E15" s="2">
        <f t="shared" si="1"/>
        <v>1263.24</v>
      </c>
      <c r="F15" s="2">
        <f t="shared" si="2"/>
        <v>13597.515359999999</v>
      </c>
      <c r="G15" s="2" t="s">
        <v>8</v>
      </c>
      <c r="H15">
        <v>1990</v>
      </c>
      <c r="I15" s="1">
        <f t="shared" si="3"/>
        <v>33</v>
      </c>
      <c r="J15">
        <v>1000</v>
      </c>
      <c r="K15" s="2">
        <f t="shared" si="4"/>
        <v>13597515.359999999</v>
      </c>
      <c r="L15" s="2">
        <f t="shared" si="5"/>
        <v>9467949.9451679979</v>
      </c>
      <c r="M15" s="2">
        <f t="shared" si="6"/>
        <v>4129565.4148320016</v>
      </c>
    </row>
    <row r="16" spans="1:16" x14ac:dyDescent="0.25">
      <c r="A16" s="9">
        <f t="shared" si="7"/>
        <v>13</v>
      </c>
      <c r="B16" t="s">
        <v>61</v>
      </c>
      <c r="C16" s="2">
        <v>1167.46</v>
      </c>
      <c r="D16">
        <v>1</v>
      </c>
      <c r="E16" s="2">
        <f t="shared" si="1"/>
        <v>1167.46</v>
      </c>
      <c r="F16" s="2">
        <f t="shared" si="2"/>
        <v>12566.53944</v>
      </c>
      <c r="G16" s="2" t="s">
        <v>8</v>
      </c>
      <c r="H16">
        <v>1990</v>
      </c>
      <c r="I16" s="1">
        <f t="shared" si="3"/>
        <v>33</v>
      </c>
      <c r="J16">
        <v>600</v>
      </c>
      <c r="K16" s="2">
        <f t="shared" si="4"/>
        <v>7539923.6639999999</v>
      </c>
      <c r="L16" s="2">
        <f t="shared" si="5"/>
        <v>5250048.8472431991</v>
      </c>
      <c r="M16" s="2">
        <f t="shared" si="6"/>
        <v>2289874.8167568007</v>
      </c>
    </row>
    <row r="17" spans="1:13" x14ac:dyDescent="0.25">
      <c r="A17" s="9">
        <f t="shared" si="7"/>
        <v>14</v>
      </c>
      <c r="B17" t="s">
        <v>42</v>
      </c>
      <c r="C17" s="2">
        <v>1117.95</v>
      </c>
      <c r="D17">
        <v>1</v>
      </c>
      <c r="E17" s="2">
        <f t="shared" si="1"/>
        <v>1117.95</v>
      </c>
      <c r="F17" s="2">
        <f t="shared" si="2"/>
        <v>12033.613799999999</v>
      </c>
      <c r="G17" s="2" t="s">
        <v>8</v>
      </c>
      <c r="H17">
        <v>1990</v>
      </c>
      <c r="I17" s="1">
        <f t="shared" si="3"/>
        <v>33</v>
      </c>
      <c r="J17">
        <v>1000</v>
      </c>
      <c r="K17" s="2">
        <f t="shared" si="4"/>
        <v>12033613.799999999</v>
      </c>
      <c r="L17" s="2">
        <f t="shared" si="5"/>
        <v>8379005.2889399985</v>
      </c>
      <c r="M17" s="2">
        <f t="shared" si="6"/>
        <v>3654608.5110600004</v>
      </c>
    </row>
    <row r="18" spans="1:13" x14ac:dyDescent="0.25">
      <c r="A18" s="9">
        <f t="shared" si="7"/>
        <v>15</v>
      </c>
      <c r="B18" t="s">
        <v>54</v>
      </c>
      <c r="C18" s="11">
        <v>1102.2</v>
      </c>
      <c r="D18">
        <v>1</v>
      </c>
      <c r="E18" s="2">
        <f t="shared" si="1"/>
        <v>1102.2</v>
      </c>
      <c r="F18" s="2">
        <f t="shared" si="2"/>
        <v>11864.0808</v>
      </c>
      <c r="G18" s="2" t="s">
        <v>9</v>
      </c>
      <c r="H18">
        <v>1990</v>
      </c>
      <c r="I18" s="1">
        <f t="shared" si="3"/>
        <v>33</v>
      </c>
      <c r="J18">
        <v>600</v>
      </c>
      <c r="K18" s="2">
        <f t="shared" si="4"/>
        <v>7118448.4799999995</v>
      </c>
      <c r="L18" s="2">
        <f t="shared" si="5"/>
        <v>4956575.6766239991</v>
      </c>
      <c r="M18" s="2">
        <f t="shared" si="6"/>
        <v>2161872.8033760004</v>
      </c>
    </row>
    <row r="19" spans="1:13" x14ac:dyDescent="0.25">
      <c r="A19" s="9">
        <f t="shared" si="7"/>
        <v>16</v>
      </c>
      <c r="B19" t="s">
        <v>47</v>
      </c>
      <c r="C19" s="2">
        <v>1080.55</v>
      </c>
      <c r="D19">
        <v>1</v>
      </c>
      <c r="E19" s="2">
        <f t="shared" si="1"/>
        <v>1080.55</v>
      </c>
      <c r="F19" s="2">
        <f t="shared" si="2"/>
        <v>11631.040199999999</v>
      </c>
      <c r="G19" s="2" t="s">
        <v>8</v>
      </c>
      <c r="H19">
        <v>1990</v>
      </c>
      <c r="I19" s="1">
        <f t="shared" si="3"/>
        <v>33</v>
      </c>
      <c r="J19">
        <v>1000</v>
      </c>
      <c r="K19" s="2">
        <f t="shared" si="4"/>
        <v>11631040.199999999</v>
      </c>
      <c r="L19" s="2">
        <f t="shared" si="5"/>
        <v>8098693.2912599985</v>
      </c>
      <c r="M19" s="2">
        <f t="shared" si="6"/>
        <v>3532346.9087400008</v>
      </c>
    </row>
    <row r="20" spans="1:13" x14ac:dyDescent="0.25">
      <c r="A20" s="9">
        <f t="shared" si="7"/>
        <v>17</v>
      </c>
      <c r="B20" t="s">
        <v>60</v>
      </c>
      <c r="C20" s="2">
        <v>1042.92</v>
      </c>
      <c r="D20">
        <v>1</v>
      </c>
      <c r="E20" s="2">
        <f t="shared" si="1"/>
        <v>1042.92</v>
      </c>
      <c r="F20" s="2">
        <f t="shared" si="2"/>
        <v>11225.990879999999</v>
      </c>
      <c r="G20" s="2" t="s">
        <v>8</v>
      </c>
      <c r="H20">
        <v>1990</v>
      </c>
      <c r="I20" s="1">
        <f t="shared" si="3"/>
        <v>33</v>
      </c>
      <c r="J20">
        <v>600</v>
      </c>
      <c r="K20" s="2">
        <f t="shared" si="4"/>
        <v>6735594.5279999999</v>
      </c>
      <c r="L20" s="2">
        <f t="shared" si="5"/>
        <v>4689994.4698463995</v>
      </c>
      <c r="M20" s="2">
        <f t="shared" si="6"/>
        <v>2045600.0581536004</v>
      </c>
    </row>
    <row r="21" spans="1:13" x14ac:dyDescent="0.25">
      <c r="A21" s="9">
        <f t="shared" si="7"/>
        <v>18</v>
      </c>
      <c r="B21" t="s">
        <v>44</v>
      </c>
      <c r="C21" s="2">
        <v>976.68</v>
      </c>
      <c r="D21">
        <v>1</v>
      </c>
      <c r="E21" s="2">
        <f t="shared" si="1"/>
        <v>976.68</v>
      </c>
      <c r="F21" s="2">
        <f t="shared" si="2"/>
        <v>10512.983519999998</v>
      </c>
      <c r="G21" s="2" t="s">
        <v>8</v>
      </c>
      <c r="H21">
        <v>1990</v>
      </c>
      <c r="I21" s="1">
        <f t="shared" si="3"/>
        <v>33</v>
      </c>
      <c r="J21">
        <v>1000</v>
      </c>
      <c r="K21" s="2">
        <f t="shared" si="4"/>
        <v>10512983.519999998</v>
      </c>
      <c r="L21" s="2">
        <f t="shared" si="5"/>
        <v>7320190.4249759968</v>
      </c>
      <c r="M21" s="2">
        <f t="shared" si="6"/>
        <v>3192793.0950240009</v>
      </c>
    </row>
    <row r="22" spans="1:13" x14ac:dyDescent="0.25">
      <c r="A22" s="9">
        <f t="shared" si="7"/>
        <v>19</v>
      </c>
      <c r="B22" t="s">
        <v>43</v>
      </c>
      <c r="C22" s="2">
        <v>912.55</v>
      </c>
      <c r="D22">
        <v>1</v>
      </c>
      <c r="E22" s="2">
        <f t="shared" si="1"/>
        <v>912.55</v>
      </c>
      <c r="F22" s="2">
        <f t="shared" si="2"/>
        <v>9822.6881999999987</v>
      </c>
      <c r="G22" s="2" t="s">
        <v>8</v>
      </c>
      <c r="H22">
        <v>2005</v>
      </c>
      <c r="I22" s="1">
        <f t="shared" si="3"/>
        <v>18</v>
      </c>
      <c r="J22">
        <v>1000</v>
      </c>
      <c r="K22" s="2">
        <f t="shared" si="4"/>
        <v>9822688.1999999993</v>
      </c>
      <c r="L22" s="2">
        <f t="shared" si="5"/>
        <v>3730656.9783599996</v>
      </c>
      <c r="M22" s="2">
        <f t="shared" si="6"/>
        <v>6092031.2216400001</v>
      </c>
    </row>
    <row r="23" spans="1:13" x14ac:dyDescent="0.25">
      <c r="A23" s="9">
        <f t="shared" si="7"/>
        <v>20</v>
      </c>
      <c r="B23" t="s">
        <v>52</v>
      </c>
      <c r="C23" s="2">
        <v>355</v>
      </c>
      <c r="D23">
        <v>2</v>
      </c>
      <c r="E23" s="2">
        <f t="shared" si="1"/>
        <v>710</v>
      </c>
      <c r="F23" s="2">
        <f t="shared" si="2"/>
        <v>7642.44</v>
      </c>
      <c r="G23" s="2" t="s">
        <v>7</v>
      </c>
      <c r="H23">
        <v>2005</v>
      </c>
      <c r="I23" s="1">
        <f t="shared" si="3"/>
        <v>18</v>
      </c>
      <c r="J23">
        <v>1200</v>
      </c>
      <c r="K23" s="2">
        <f t="shared" si="4"/>
        <v>9170928</v>
      </c>
      <c r="L23" s="2">
        <f t="shared" si="5"/>
        <v>3483118.4543999997</v>
      </c>
      <c r="M23" s="2">
        <f t="shared" si="6"/>
        <v>5687809.5456000008</v>
      </c>
    </row>
    <row r="24" spans="1:13" x14ac:dyDescent="0.25">
      <c r="A24" s="9">
        <f t="shared" si="7"/>
        <v>21</v>
      </c>
      <c r="B24" t="s">
        <v>47</v>
      </c>
      <c r="C24" s="2">
        <v>588.87</v>
      </c>
      <c r="D24">
        <v>1</v>
      </c>
      <c r="E24" s="2">
        <f t="shared" si="1"/>
        <v>588.87</v>
      </c>
      <c r="F24" s="2">
        <f t="shared" si="2"/>
        <v>6338.5966799999997</v>
      </c>
      <c r="G24" s="2" t="s">
        <v>8</v>
      </c>
      <c r="H24">
        <v>1990</v>
      </c>
      <c r="I24" s="1">
        <f t="shared" si="3"/>
        <v>33</v>
      </c>
      <c r="J24">
        <v>1000</v>
      </c>
      <c r="K24" s="2">
        <f t="shared" si="4"/>
        <v>6338596.6799999997</v>
      </c>
      <c r="L24" s="2">
        <f t="shared" si="5"/>
        <v>4413564.8682839992</v>
      </c>
      <c r="M24" s="2">
        <f t="shared" si="6"/>
        <v>1925031.8117160005</v>
      </c>
    </row>
    <row r="25" spans="1:13" x14ac:dyDescent="0.25">
      <c r="A25" s="9">
        <f t="shared" si="7"/>
        <v>22</v>
      </c>
      <c r="B25" t="s">
        <v>55</v>
      </c>
      <c r="C25" s="11">
        <v>498.79</v>
      </c>
      <c r="D25">
        <v>1</v>
      </c>
      <c r="E25" s="2">
        <f t="shared" si="1"/>
        <v>498.79</v>
      </c>
      <c r="F25" s="2">
        <f t="shared" si="2"/>
        <v>5368.9755599999999</v>
      </c>
      <c r="G25" s="2" t="s">
        <v>9</v>
      </c>
      <c r="H25">
        <v>2010</v>
      </c>
      <c r="I25" s="1">
        <f t="shared" si="3"/>
        <v>13</v>
      </c>
      <c r="J25">
        <v>600</v>
      </c>
      <c r="K25" s="2">
        <f t="shared" si="4"/>
        <v>3221385.3360000001</v>
      </c>
      <c r="L25" s="2">
        <f t="shared" si="5"/>
        <v>883625.99766479991</v>
      </c>
      <c r="M25" s="2">
        <f t="shared" si="6"/>
        <v>2337759.3383352002</v>
      </c>
    </row>
    <row r="26" spans="1:13" x14ac:dyDescent="0.25">
      <c r="A26" s="9">
        <f t="shared" si="7"/>
        <v>23</v>
      </c>
      <c r="B26" t="s">
        <v>51</v>
      </c>
      <c r="C26" s="2">
        <v>450</v>
      </c>
      <c r="D26">
        <v>1</v>
      </c>
      <c r="E26" s="2">
        <f t="shared" si="1"/>
        <v>450</v>
      </c>
      <c r="F26" s="2">
        <f t="shared" si="2"/>
        <v>4843.7999999999993</v>
      </c>
      <c r="G26" s="2" t="s">
        <v>9</v>
      </c>
      <c r="H26">
        <v>1990</v>
      </c>
      <c r="I26" s="1">
        <f t="shared" si="3"/>
        <v>33</v>
      </c>
      <c r="J26">
        <v>400</v>
      </c>
      <c r="K26" s="2">
        <f t="shared" si="4"/>
        <v>1937519.9999999998</v>
      </c>
      <c r="L26" s="2">
        <f t="shared" si="5"/>
        <v>1349095.1759999997</v>
      </c>
      <c r="M26" s="2">
        <f t="shared" si="6"/>
        <v>588424.82400000002</v>
      </c>
    </row>
    <row r="27" spans="1:13" x14ac:dyDescent="0.25">
      <c r="A27" s="9">
        <f t="shared" si="7"/>
        <v>24</v>
      </c>
      <c r="B27" t="s">
        <v>48</v>
      </c>
      <c r="C27" s="2">
        <v>340</v>
      </c>
      <c r="D27">
        <v>1</v>
      </c>
      <c r="E27" s="2">
        <f t="shared" si="1"/>
        <v>340</v>
      </c>
      <c r="F27" s="2">
        <f t="shared" si="2"/>
        <v>3659.7599999999998</v>
      </c>
      <c r="G27" s="2" t="s">
        <v>7</v>
      </c>
      <c r="H27">
        <v>2005</v>
      </c>
      <c r="I27" s="1">
        <f t="shared" si="3"/>
        <v>18</v>
      </c>
      <c r="J27">
        <v>1400</v>
      </c>
      <c r="K27" s="2">
        <f t="shared" si="4"/>
        <v>5123664</v>
      </c>
      <c r="L27" s="2">
        <f t="shared" si="5"/>
        <v>1945967.5871999997</v>
      </c>
      <c r="M27" s="2">
        <f t="shared" si="6"/>
        <v>3177696.4128</v>
      </c>
    </row>
    <row r="28" spans="1:13" x14ac:dyDescent="0.25">
      <c r="A28" s="9">
        <f t="shared" si="7"/>
        <v>25</v>
      </c>
      <c r="B28" t="s">
        <v>49</v>
      </c>
      <c r="C28" s="2">
        <v>240.76</v>
      </c>
      <c r="D28">
        <v>1</v>
      </c>
      <c r="E28" s="2">
        <f t="shared" si="1"/>
        <v>240.76</v>
      </c>
      <c r="F28" s="2">
        <f t="shared" si="2"/>
        <v>2591.5406399999997</v>
      </c>
      <c r="G28" s="2" t="s">
        <v>9</v>
      </c>
      <c r="H28">
        <v>1990</v>
      </c>
      <c r="I28" s="1">
        <f t="shared" si="3"/>
        <v>33</v>
      </c>
      <c r="J28">
        <v>400</v>
      </c>
      <c r="K28" s="2">
        <f t="shared" si="4"/>
        <v>1036616.2559999999</v>
      </c>
      <c r="L28" s="2">
        <f t="shared" si="5"/>
        <v>721795.89905279991</v>
      </c>
      <c r="M28" s="2">
        <f t="shared" si="6"/>
        <v>314820.35694720002</v>
      </c>
    </row>
    <row r="29" spans="1:13" x14ac:dyDescent="0.25">
      <c r="A29" s="9">
        <f t="shared" si="7"/>
        <v>26</v>
      </c>
      <c r="B29" t="s">
        <v>50</v>
      </c>
      <c r="C29" s="2">
        <v>137</v>
      </c>
      <c r="D29">
        <v>1</v>
      </c>
      <c r="E29" s="2">
        <f t="shared" si="1"/>
        <v>137</v>
      </c>
      <c r="F29" s="2">
        <f t="shared" si="2"/>
        <v>1474.6679999999999</v>
      </c>
      <c r="G29" s="2" t="s">
        <v>9</v>
      </c>
      <c r="H29">
        <v>1990</v>
      </c>
      <c r="I29" s="1">
        <f t="shared" si="3"/>
        <v>33</v>
      </c>
      <c r="J29">
        <v>400</v>
      </c>
      <c r="K29" s="2">
        <f t="shared" si="4"/>
        <v>589867.19999999995</v>
      </c>
      <c r="L29" s="2">
        <f t="shared" si="5"/>
        <v>410724.53135999991</v>
      </c>
      <c r="M29" s="2">
        <f t="shared" si="6"/>
        <v>179142.66864000005</v>
      </c>
    </row>
    <row r="30" spans="1:13" x14ac:dyDescent="0.25">
      <c r="A30" s="9">
        <f t="shared" si="7"/>
        <v>27</v>
      </c>
      <c r="B30" t="s">
        <v>65</v>
      </c>
      <c r="C30" s="2">
        <v>90</v>
      </c>
      <c r="D30">
        <v>1</v>
      </c>
      <c r="E30" s="2">
        <f t="shared" si="1"/>
        <v>90</v>
      </c>
      <c r="F30" s="2">
        <f t="shared" si="2"/>
        <v>968.76</v>
      </c>
      <c r="G30" s="2" t="s">
        <v>7</v>
      </c>
      <c r="H30">
        <v>2005</v>
      </c>
      <c r="I30" s="1">
        <f t="shared" si="3"/>
        <v>18</v>
      </c>
      <c r="J30">
        <v>1200</v>
      </c>
      <c r="K30" s="2">
        <f t="shared" si="4"/>
        <v>1162512</v>
      </c>
      <c r="L30" s="2">
        <f t="shared" si="5"/>
        <v>441522.05759999994</v>
      </c>
      <c r="M30" s="2">
        <f t="shared" si="6"/>
        <v>720989.94240000006</v>
      </c>
    </row>
    <row r="34" spans="5:13" x14ac:dyDescent="0.25">
      <c r="E34"/>
      <c r="F34" s="1"/>
      <c r="I34" s="4"/>
      <c r="J34" s="7" t="s">
        <v>18</v>
      </c>
      <c r="K34" s="8" t="s">
        <v>12</v>
      </c>
      <c r="L34" s="8" t="s">
        <v>13</v>
      </c>
      <c r="M34" s="8" t="s">
        <v>14</v>
      </c>
    </row>
    <row r="35" spans="5:13" x14ac:dyDescent="0.25">
      <c r="E35" t="s">
        <v>16</v>
      </c>
      <c r="F35" s="1"/>
      <c r="H35" s="6" t="s">
        <v>17</v>
      </c>
      <c r="I35" s="2">
        <v>2500</v>
      </c>
      <c r="J35" s="2">
        <v>10870</v>
      </c>
      <c r="K35" s="2">
        <f>J35*I35</f>
        <v>27175000</v>
      </c>
      <c r="L35" s="2">
        <f>K35*(2023-2000)*3%</f>
        <v>18750750</v>
      </c>
      <c r="M35" s="2">
        <f>K35-L35</f>
        <v>8424250</v>
      </c>
    </row>
    <row r="36" spans="5:13" x14ac:dyDescent="0.25">
      <c r="H36" t="s">
        <v>2</v>
      </c>
      <c r="I36" s="2">
        <f>25.58*4046.84</f>
        <v>103518.1672</v>
      </c>
      <c r="J36">
        <v>150</v>
      </c>
      <c r="K36" s="2">
        <f>J36*I36</f>
        <v>15527725.08</v>
      </c>
      <c r="M36" s="2">
        <f>K36</f>
        <v>15527725.08</v>
      </c>
    </row>
    <row r="37" spans="5:13" x14ac:dyDescent="0.25">
      <c r="K37" s="2">
        <f>K36+K35+K2</f>
        <v>583843406.82400012</v>
      </c>
      <c r="M37" s="2">
        <f>M36+M35+M2</f>
        <v>237554370.1394248</v>
      </c>
    </row>
    <row r="38" spans="5:13" x14ac:dyDescent="0.25">
      <c r="M38" s="2">
        <f>'Murthal land'!E22</f>
        <v>724634792</v>
      </c>
    </row>
    <row r="40" spans="5:13" x14ac:dyDescent="0.25">
      <c r="I40" s="1">
        <v>1.18</v>
      </c>
      <c r="J40" t="s">
        <v>68</v>
      </c>
      <c r="K40" s="2">
        <f>I40*1000</f>
        <v>1180</v>
      </c>
      <c r="L40" s="2" t="s">
        <v>69</v>
      </c>
    </row>
    <row r="41" spans="5:13" x14ac:dyDescent="0.25">
      <c r="I41" s="1">
        <v>1.31</v>
      </c>
      <c r="J41" t="s">
        <v>68</v>
      </c>
      <c r="K41" s="2">
        <f>I41*1000</f>
        <v>1310</v>
      </c>
    </row>
    <row r="42" spans="5:13" x14ac:dyDescent="0.25">
      <c r="K42" s="2">
        <f>SUM(K40:K41)</f>
        <v>2490</v>
      </c>
    </row>
  </sheetData>
  <autoFilter ref="B3:M30">
    <sortState ref="B4:M30">
      <sortCondition descending="1" ref="F3:F30"/>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25"/>
  <sheetViews>
    <sheetView workbookViewId="0">
      <selection activeCell="E22" sqref="E22"/>
    </sheetView>
  </sheetViews>
  <sheetFormatPr defaultRowHeight="15" x14ac:dyDescent="0.25"/>
  <cols>
    <col min="3" max="3" width="11.5703125" bestFit="1" customWidth="1"/>
    <col min="4" max="4" width="7.42578125" bestFit="1" customWidth="1"/>
    <col min="5" max="5" width="15.28515625" bestFit="1" customWidth="1"/>
    <col min="6" max="6" width="10" bestFit="1" customWidth="1"/>
    <col min="8" max="8" width="18" bestFit="1" customWidth="1"/>
    <col min="9" max="9" width="7.140625" bestFit="1" customWidth="1"/>
    <col min="10" max="10" width="10" style="2" bestFit="1" customWidth="1"/>
  </cols>
  <sheetData>
    <row r="2" spans="3:8" x14ac:dyDescent="0.25">
      <c r="C2" s="2" t="s">
        <v>5</v>
      </c>
      <c r="D2" s="2" t="s">
        <v>2</v>
      </c>
      <c r="E2" s="2" t="s">
        <v>21</v>
      </c>
      <c r="F2" s="2" t="s">
        <v>22</v>
      </c>
    </row>
    <row r="3" spans="3:8" x14ac:dyDescent="0.25">
      <c r="C3" s="1">
        <v>2925</v>
      </c>
      <c r="D3" s="1">
        <f>C3/10.764</f>
        <v>271.73913043478262</v>
      </c>
      <c r="E3" s="2">
        <f>71.5*10^5</f>
        <v>7150000</v>
      </c>
      <c r="F3" s="2">
        <f>E3/D3</f>
        <v>26312</v>
      </c>
      <c r="G3" t="s">
        <v>70</v>
      </c>
      <c r="H3" t="s">
        <v>119</v>
      </c>
    </row>
    <row r="4" spans="3:8" x14ac:dyDescent="0.25">
      <c r="C4">
        <v>3528</v>
      </c>
      <c r="D4" s="1">
        <f>C4/10.764</f>
        <v>327.75919732441474</v>
      </c>
      <c r="E4" s="2">
        <f>1.1*10^7</f>
        <v>11000000</v>
      </c>
      <c r="F4" s="2">
        <f>E4/D4</f>
        <v>33561.224489795917</v>
      </c>
    </row>
    <row r="5" spans="3:8" x14ac:dyDescent="0.25">
      <c r="C5">
        <v>3690</v>
      </c>
      <c r="D5" s="1">
        <f t="shared" ref="D5:D10" si="0">C5/10.764</f>
        <v>342.80936454849501</v>
      </c>
      <c r="E5" s="2">
        <f>94.3*10^5</f>
        <v>9430000</v>
      </c>
      <c r="F5" s="2">
        <f t="shared" ref="F5:F10" si="1">E5/D5</f>
        <v>27507.999999999996</v>
      </c>
    </row>
    <row r="6" spans="3:8" x14ac:dyDescent="0.25">
      <c r="C6">
        <v>4176</v>
      </c>
      <c r="D6" s="1">
        <f t="shared" si="0"/>
        <v>387.95986622073582</v>
      </c>
      <c r="E6" s="2">
        <f>1.21*10^7</f>
        <v>12100000</v>
      </c>
      <c r="F6" s="2">
        <f t="shared" si="1"/>
        <v>31188.793103448272</v>
      </c>
    </row>
    <row r="7" spans="3:8" x14ac:dyDescent="0.25">
      <c r="C7">
        <v>4500</v>
      </c>
      <c r="D7" s="1">
        <f t="shared" si="0"/>
        <v>418.06020066889636</v>
      </c>
      <c r="E7" s="2">
        <f>1.4*10^7</f>
        <v>14000000</v>
      </c>
      <c r="F7" s="2">
        <f t="shared" si="1"/>
        <v>33488</v>
      </c>
    </row>
    <row r="8" spans="3:8" x14ac:dyDescent="0.25">
      <c r="D8" s="1">
        <v>428.93299999999999</v>
      </c>
      <c r="E8" s="2">
        <f>3.2*10^7</f>
        <v>32000000</v>
      </c>
      <c r="F8" s="2">
        <f t="shared" si="1"/>
        <v>74603.725989839906</v>
      </c>
    </row>
    <row r="9" spans="3:8" x14ac:dyDescent="0.25">
      <c r="D9" s="1">
        <f>D8</f>
        <v>428.93299999999999</v>
      </c>
      <c r="E9" s="2">
        <f>1.79*10^7</f>
        <v>17900000</v>
      </c>
      <c r="F9" s="2">
        <f t="shared" si="1"/>
        <v>41731.459225566701</v>
      </c>
    </row>
    <row r="10" spans="3:8" x14ac:dyDescent="0.25">
      <c r="D10" s="1">
        <f t="shared" si="0"/>
        <v>0</v>
      </c>
      <c r="E10" s="2">
        <f t="shared" ref="E10" si="2">1.1*10^7</f>
        <v>11000000</v>
      </c>
      <c r="F10" s="2" t="e">
        <f t="shared" si="1"/>
        <v>#DIV/0!</v>
      </c>
    </row>
    <row r="18" spans="3:10" x14ac:dyDescent="0.25">
      <c r="C18">
        <v>103519.25599999999</v>
      </c>
      <c r="J18" s="2">
        <v>30000</v>
      </c>
    </row>
    <row r="19" spans="3:10" x14ac:dyDescent="0.25">
      <c r="C19" s="1">
        <f>C18/4046.84</f>
        <v>25.580269049431159</v>
      </c>
      <c r="E19" s="2">
        <f>74.28*10^7</f>
        <v>742800000</v>
      </c>
      <c r="H19" t="s">
        <v>71</v>
      </c>
      <c r="I19" s="16">
        <v>0.2</v>
      </c>
      <c r="J19" s="2">
        <f>J18*(1-I19)</f>
        <v>24000</v>
      </c>
    </row>
    <row r="20" spans="3:10" x14ac:dyDescent="0.25">
      <c r="E20" s="2">
        <f>E19/C18</f>
        <v>7175.4766089122595</v>
      </c>
      <c r="H20" t="s">
        <v>72</v>
      </c>
      <c r="I20" s="16">
        <v>0.3</v>
      </c>
      <c r="J20" s="2">
        <f>J19*(1-I20)</f>
        <v>16800</v>
      </c>
    </row>
    <row r="21" spans="3:10" x14ac:dyDescent="0.25">
      <c r="H21" t="s">
        <v>73</v>
      </c>
      <c r="I21" s="16">
        <v>0.3</v>
      </c>
      <c r="J21" s="2">
        <f>J20*(1-I21)</f>
        <v>11760</v>
      </c>
    </row>
    <row r="22" spans="3:10" x14ac:dyDescent="0.25">
      <c r="C22" s="2">
        <f>C19*4046.84</f>
        <v>103519.25599999999</v>
      </c>
      <c r="D22">
        <v>7000</v>
      </c>
      <c r="E22" s="10">
        <f>D22*C22</f>
        <v>724634792</v>
      </c>
      <c r="H22" t="s">
        <v>74</v>
      </c>
      <c r="I22" s="16">
        <v>0.3</v>
      </c>
      <c r="J22" s="2">
        <f>J21*(1-I22)</f>
        <v>8232</v>
      </c>
    </row>
    <row r="23" spans="3:10" x14ac:dyDescent="0.25">
      <c r="C23" s="2">
        <f>C22</f>
        <v>103519.25599999999</v>
      </c>
      <c r="D23" s="2">
        <v>7000</v>
      </c>
      <c r="E23" s="10">
        <f>D23*C23</f>
        <v>724634792</v>
      </c>
      <c r="H23" t="s">
        <v>118</v>
      </c>
      <c r="I23" s="31">
        <v>0.15</v>
      </c>
      <c r="J23" s="2">
        <f>J22*(1-I23)</f>
        <v>6997.2</v>
      </c>
    </row>
    <row r="24" spans="3:10" x14ac:dyDescent="0.25">
      <c r="I24" s="2"/>
      <c r="J24" s="16">
        <f>J23/J22</f>
        <v>0.85</v>
      </c>
    </row>
    <row r="25" spans="3:10" x14ac:dyDescent="0.25">
      <c r="I25" s="1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J21"/>
  <sheetViews>
    <sheetView workbookViewId="0">
      <selection activeCell="H6" sqref="H6"/>
    </sheetView>
  </sheetViews>
  <sheetFormatPr defaultRowHeight="15" x14ac:dyDescent="0.25"/>
  <cols>
    <col min="2" max="2" width="9.140625" customWidth="1"/>
    <col min="3" max="3" width="12.85546875" customWidth="1"/>
    <col min="4" max="4" width="17.42578125" bestFit="1" customWidth="1"/>
    <col min="5" max="6" width="8.42578125" style="1" bestFit="1" customWidth="1"/>
    <col min="7" max="7" width="17.28515625" style="1" bestFit="1" customWidth="1"/>
    <col min="8" max="8" width="8.42578125" style="1" bestFit="1" customWidth="1"/>
    <col min="9" max="9" width="10.5703125" customWidth="1"/>
  </cols>
  <sheetData>
    <row r="1" spans="3:10" x14ac:dyDescent="0.25">
      <c r="H1" s="89" t="s">
        <v>110</v>
      </c>
      <c r="I1" s="89"/>
      <c r="J1" s="89"/>
    </row>
    <row r="2" spans="3:10" x14ac:dyDescent="0.25">
      <c r="C2" s="87" t="s">
        <v>108</v>
      </c>
      <c r="D2" s="87"/>
      <c r="E2" s="87"/>
      <c r="F2" s="87"/>
      <c r="G2" s="88" t="s">
        <v>109</v>
      </c>
      <c r="H2" s="88"/>
      <c r="I2" s="88"/>
      <c r="J2" s="88"/>
    </row>
    <row r="3" spans="3:10" s="28" customFormat="1" ht="37.5" customHeight="1" x14ac:dyDescent="0.25">
      <c r="C3" s="26" t="s">
        <v>104</v>
      </c>
      <c r="D3" s="26" t="s">
        <v>103</v>
      </c>
      <c r="E3" s="27" t="s">
        <v>78</v>
      </c>
      <c r="F3" s="27" t="s">
        <v>79</v>
      </c>
      <c r="G3" s="27" t="s">
        <v>105</v>
      </c>
      <c r="H3" s="27" t="s">
        <v>106</v>
      </c>
      <c r="I3" s="27" t="s">
        <v>111</v>
      </c>
      <c r="J3" s="27" t="s">
        <v>107</v>
      </c>
    </row>
    <row r="4" spans="3:10" x14ac:dyDescent="0.25">
      <c r="C4" s="86" t="s">
        <v>80</v>
      </c>
      <c r="D4" s="14" t="s">
        <v>75</v>
      </c>
      <c r="E4" s="15">
        <v>7.8135750000000002</v>
      </c>
      <c r="F4" s="15">
        <v>7.8135750000000002</v>
      </c>
      <c r="G4" s="15">
        <f>'Bahal Land'!F22/10^7</f>
        <v>8.5591007999999977</v>
      </c>
      <c r="H4" s="15">
        <f>G4</f>
        <v>8.5591007999999977</v>
      </c>
      <c r="I4" s="29">
        <f>H4*0.85</f>
        <v>7.275235679999998</v>
      </c>
      <c r="J4" s="29">
        <f>H4*0.7</f>
        <v>5.9913705599999982</v>
      </c>
    </row>
    <row r="5" spans="3:10" x14ac:dyDescent="0.25">
      <c r="C5" s="86"/>
      <c r="D5" s="14" t="s">
        <v>76</v>
      </c>
      <c r="E5" s="15">
        <v>9.2947986999999994</v>
      </c>
      <c r="F5" s="15">
        <v>5.1613341999999998</v>
      </c>
      <c r="G5" s="15">
        <f>'Bahal Building'!I18/10^7</f>
        <v>6.4250889592</v>
      </c>
      <c r="H5" s="15">
        <f>'Bahal Building'!K18/10^7</f>
        <v>4.0288105338879996</v>
      </c>
      <c r="I5" s="29">
        <f>H5*0.85</f>
        <v>3.4244889538047993</v>
      </c>
      <c r="J5" s="29">
        <f t="shared" ref="J5:J6" si="0">H5*0.7</f>
        <v>2.8201673737215995</v>
      </c>
    </row>
    <row r="6" spans="3:10" x14ac:dyDescent="0.25">
      <c r="C6" s="86"/>
      <c r="D6" s="14" t="s">
        <v>77</v>
      </c>
      <c r="E6" s="15">
        <v>8.5960006189999998</v>
      </c>
      <c r="F6" s="15">
        <v>2.3516661189999999</v>
      </c>
      <c r="G6" s="15">
        <v>10.623415668525897</v>
      </c>
      <c r="H6" s="15">
        <v>5.6768833752515482</v>
      </c>
      <c r="I6" s="29">
        <f>H6*0.85</f>
        <v>4.8253508689638158</v>
      </c>
      <c r="J6" s="29">
        <f t="shared" si="0"/>
        <v>3.9738183626760835</v>
      </c>
    </row>
    <row r="7" spans="3:10" x14ac:dyDescent="0.25">
      <c r="C7" s="14"/>
      <c r="D7" s="21" t="s">
        <v>100</v>
      </c>
      <c r="E7" s="20">
        <f>SUM(E4:E6)</f>
        <v>25.704374319000003</v>
      </c>
      <c r="F7" s="20">
        <f t="shared" ref="F7:J7" si="1">SUM(F4:F6)</f>
        <v>15.326575319</v>
      </c>
      <c r="G7" s="20">
        <f t="shared" si="1"/>
        <v>25.607605427725893</v>
      </c>
      <c r="H7" s="20">
        <f t="shared" si="1"/>
        <v>18.264794709139547</v>
      </c>
      <c r="I7" s="20">
        <f t="shared" si="1"/>
        <v>15.525075502768612</v>
      </c>
      <c r="J7" s="20">
        <f t="shared" si="1"/>
        <v>12.78535629639768</v>
      </c>
    </row>
    <row r="8" spans="3:10" x14ac:dyDescent="0.25">
      <c r="C8" s="86" t="s">
        <v>81</v>
      </c>
      <c r="D8" s="14" t="s">
        <v>75</v>
      </c>
      <c r="E8" s="15">
        <v>81.157634999999999</v>
      </c>
      <c r="F8" s="15">
        <v>81.157634999999999</v>
      </c>
      <c r="G8" s="15">
        <v>72.463479199999995</v>
      </c>
      <c r="H8" s="15">
        <v>72.463479199999995</v>
      </c>
      <c r="I8" s="29">
        <f>H8*0.85</f>
        <v>61.593957319999994</v>
      </c>
      <c r="J8" s="29">
        <f t="shared" ref="J8:J10" si="2">H8*0.7</f>
        <v>50.724435439999993</v>
      </c>
    </row>
    <row r="9" spans="3:10" x14ac:dyDescent="0.25">
      <c r="C9" s="86"/>
      <c r="D9" s="14" t="s">
        <v>76</v>
      </c>
      <c r="E9" s="15">
        <v>77.766874417000025</v>
      </c>
      <c r="F9" s="15">
        <v>26.064159207999985</v>
      </c>
      <c r="G9" s="15">
        <v>58.384340682400001</v>
      </c>
      <c r="H9" s="15">
        <v>23.755437013942487</v>
      </c>
      <c r="I9" s="29">
        <f>H9*0.85</f>
        <v>20.192121461851112</v>
      </c>
      <c r="J9" s="29">
        <f t="shared" si="2"/>
        <v>16.628805909759741</v>
      </c>
    </row>
    <row r="10" spans="3:10" x14ac:dyDescent="0.25">
      <c r="C10" s="86"/>
      <c r="D10" s="14" t="s">
        <v>77</v>
      </c>
      <c r="E10" s="15">
        <v>114.91521564338308</v>
      </c>
      <c r="F10" s="15">
        <v>5.153306983192862</v>
      </c>
      <c r="G10" s="15">
        <v>176.87615497205562</v>
      </c>
      <c r="H10" s="15">
        <v>41.87902197860825</v>
      </c>
      <c r="I10" s="29">
        <f>H10*0.85</f>
        <v>35.59716868181701</v>
      </c>
      <c r="J10" s="29">
        <f t="shared" si="2"/>
        <v>29.315315385025773</v>
      </c>
    </row>
    <row r="11" spans="3:10" x14ac:dyDescent="0.25">
      <c r="C11" s="14"/>
      <c r="D11" s="21" t="s">
        <v>102</v>
      </c>
      <c r="E11" s="20">
        <f>SUM(E8:E10)</f>
        <v>273.8397250603831</v>
      </c>
      <c r="F11" s="20">
        <f t="shared" ref="F11:I11" si="3">SUM(F8:F10)</f>
        <v>112.37510119119284</v>
      </c>
      <c r="G11" s="20">
        <f t="shared" si="3"/>
        <v>307.72397485445561</v>
      </c>
      <c r="H11" s="20">
        <f t="shared" si="3"/>
        <v>138.09793819255071</v>
      </c>
      <c r="I11" s="20">
        <f t="shared" si="3"/>
        <v>117.38324746366811</v>
      </c>
      <c r="J11" s="20">
        <f t="shared" ref="J11" si="4">SUM(J8:J10)</f>
        <v>96.668556734785511</v>
      </c>
    </row>
    <row r="12" spans="3:10" s="25" customFormat="1" ht="15.75" x14ac:dyDescent="0.25">
      <c r="C12" s="22"/>
      <c r="D12" s="23" t="s">
        <v>101</v>
      </c>
      <c r="E12" s="24">
        <f>E11+E7</f>
        <v>299.54409937938311</v>
      </c>
      <c r="F12" s="24">
        <f t="shared" ref="F12:I12" si="5">F11+F7</f>
        <v>127.70167651019284</v>
      </c>
      <c r="G12" s="24">
        <f t="shared" si="5"/>
        <v>333.33158028218151</v>
      </c>
      <c r="H12" s="24">
        <f t="shared" si="5"/>
        <v>156.36273290169026</v>
      </c>
      <c r="I12" s="24">
        <f t="shared" si="5"/>
        <v>132.90832296643671</v>
      </c>
      <c r="J12" s="24">
        <f t="shared" ref="J12" si="6">J11+J7</f>
        <v>109.45391303118319</v>
      </c>
    </row>
    <row r="16" spans="3:10" x14ac:dyDescent="0.25">
      <c r="D16" s="2"/>
      <c r="G16" s="2"/>
    </row>
    <row r="21" spans="9:9" x14ac:dyDescent="0.25">
      <c r="I21" s="1"/>
    </row>
  </sheetData>
  <mergeCells count="5">
    <mergeCell ref="C4:C6"/>
    <mergeCell ref="C8:C10"/>
    <mergeCell ref="C2:F2"/>
    <mergeCell ref="G2:J2"/>
    <mergeCell ref="H1:J1"/>
  </mergeCells>
  <pageMargins left="0.7" right="0.7" top="0.75" bottom="0.75" header="0.3" footer="0.3"/>
  <pageSetup orientation="portrait" r:id="rId1"/>
  <ignoredErrors>
    <ignoredError sqref="I7:J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21"/>
  <sheetViews>
    <sheetView workbookViewId="0">
      <selection activeCell="C13" sqref="C13"/>
    </sheetView>
  </sheetViews>
  <sheetFormatPr defaultRowHeight="15" x14ac:dyDescent="0.25"/>
  <cols>
    <col min="3" max="3" width="255.7109375" bestFit="1" customWidth="1"/>
  </cols>
  <sheetData>
    <row r="3" spans="3:3" x14ac:dyDescent="0.25">
      <c r="C3" s="18" t="s">
        <v>82</v>
      </c>
    </row>
    <row r="4" spans="3:3" x14ac:dyDescent="0.25">
      <c r="C4" s="18" t="s">
        <v>83</v>
      </c>
    </row>
    <row r="5" spans="3:3" x14ac:dyDescent="0.25">
      <c r="C5" s="18"/>
    </row>
    <row r="6" spans="3:3" x14ac:dyDescent="0.25">
      <c r="C6" s="19" t="s">
        <v>84</v>
      </c>
    </row>
    <row r="7" spans="3:3" x14ac:dyDescent="0.25">
      <c r="C7" s="19" t="s">
        <v>85</v>
      </c>
    </row>
    <row r="8" spans="3:3" x14ac:dyDescent="0.25">
      <c r="C8" s="19" t="s">
        <v>86</v>
      </c>
    </row>
    <row r="9" spans="3:3" x14ac:dyDescent="0.25">
      <c r="C9" s="19" t="s">
        <v>87</v>
      </c>
    </row>
    <row r="10" spans="3:3" x14ac:dyDescent="0.25">
      <c r="C10" s="19" t="s">
        <v>88</v>
      </c>
    </row>
    <row r="11" spans="3:3" x14ac:dyDescent="0.25">
      <c r="C11" s="19" t="s">
        <v>89</v>
      </c>
    </row>
    <row r="12" spans="3:3" x14ac:dyDescent="0.25">
      <c r="C12" s="19" t="s">
        <v>90</v>
      </c>
    </row>
    <row r="13" spans="3:3" x14ac:dyDescent="0.25">
      <c r="C13" s="19" t="s">
        <v>91</v>
      </c>
    </row>
    <row r="14" spans="3:3" x14ac:dyDescent="0.25">
      <c r="C14" s="19" t="s">
        <v>92</v>
      </c>
    </row>
    <row r="15" spans="3:3" x14ac:dyDescent="0.25">
      <c r="C15" s="19" t="s">
        <v>93</v>
      </c>
    </row>
    <row r="16" spans="3:3" x14ac:dyDescent="0.25">
      <c r="C16" s="19" t="s">
        <v>94</v>
      </c>
    </row>
    <row r="17" spans="3:3" x14ac:dyDescent="0.25">
      <c r="C17" s="19" t="s">
        <v>95</v>
      </c>
    </row>
    <row r="18" spans="3:3" x14ac:dyDescent="0.25">
      <c r="C18" s="19" t="s">
        <v>96</v>
      </c>
    </row>
    <row r="19" spans="3:3" x14ac:dyDescent="0.25">
      <c r="C19" s="19" t="s">
        <v>97</v>
      </c>
    </row>
    <row r="20" spans="3:3" x14ac:dyDescent="0.25">
      <c r="C20" s="19" t="s">
        <v>98</v>
      </c>
    </row>
    <row r="21" spans="3:3" x14ac:dyDescent="0.25">
      <c r="C21" s="19" t="s">
        <v>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Building</vt:lpstr>
      <vt:lpstr>Bahal Building</vt:lpstr>
      <vt:lpstr>Sheet3</vt:lpstr>
      <vt:lpstr>Bahal Land</vt:lpstr>
      <vt:lpstr>bahal guideline rate</vt:lpstr>
      <vt:lpstr>Murthal Building</vt:lpstr>
      <vt:lpstr>Murthal land</vt:lpstr>
      <vt:lpstr>Summary</vt:lpstr>
      <vt:lpstr>Sheet2</vt:lpstr>
      <vt:lpstr>Sheet1</vt:lpstr>
      <vt:lpstr>bahalgarh summary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Abhinav Chaturvedi</dc:creator>
  <cp:lastModifiedBy>Anirban Roy</cp:lastModifiedBy>
  <dcterms:created xsi:type="dcterms:W3CDTF">2023-09-27T04:46:15Z</dcterms:created>
  <dcterms:modified xsi:type="dcterms:W3CDTF">2023-09-29T10:41:21Z</dcterms:modified>
</cp:coreProperties>
</file>