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Y:\In Progress Files\Vishal Singh\Review\VIS(2023-24)-PL280-237-342parmar\"/>
    </mc:Choice>
  </mc:AlternateContent>
  <xr:revisionPtr revIDLastSave="0" documentId="13_ncr:1_{C9E334C1-D6F7-4A1C-9F21-653053E4082A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Sheet3" sheetId="3" r:id="rId1"/>
    <sheet name="Site" sheetId="5" r:id="rId2"/>
    <sheet name="Sheet4" sheetId="6" r:id="rId3"/>
    <sheet name="Calculations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4" l="1"/>
  <c r="F6" i="4" s="1"/>
  <c r="Y7" i="5"/>
  <c r="Y8" i="5" s="1"/>
  <c r="G15" i="5"/>
  <c r="F15" i="6"/>
  <c r="S15" i="5"/>
  <c r="X5" i="5"/>
  <c r="K6" i="5" l="1"/>
  <c r="K7" i="5"/>
  <c r="K8" i="5"/>
  <c r="K9" i="5"/>
  <c r="K10" i="5"/>
  <c r="K11" i="5"/>
  <c r="K12" i="5"/>
  <c r="K13" i="5"/>
  <c r="K14" i="5"/>
  <c r="N6" i="5"/>
  <c r="Q6" i="5" s="1"/>
  <c r="N7" i="5"/>
  <c r="N8" i="5"/>
  <c r="Q8" i="5" s="1"/>
  <c r="N9" i="5"/>
  <c r="N10" i="5"/>
  <c r="Q10" i="5" s="1"/>
  <c r="N11" i="5"/>
  <c r="N12" i="5"/>
  <c r="Q12" i="5" s="1"/>
  <c r="N13" i="5"/>
  <c r="N14" i="5"/>
  <c r="Q14" i="5" s="1"/>
  <c r="N5" i="5"/>
  <c r="P6" i="5"/>
  <c r="P7" i="5"/>
  <c r="P8" i="5"/>
  <c r="P9" i="5"/>
  <c r="P10" i="5"/>
  <c r="P12" i="5"/>
  <c r="P13" i="5"/>
  <c r="P14" i="5"/>
  <c r="P5" i="5"/>
  <c r="P11" i="5"/>
  <c r="J33" i="5"/>
  <c r="G27" i="5"/>
  <c r="Y18" i="5"/>
  <c r="Y17" i="5"/>
  <c r="Y16" i="5"/>
  <c r="K5" i="5"/>
  <c r="N23" i="5"/>
  <c r="AA4" i="5"/>
  <c r="AB4" i="5" s="1"/>
  <c r="V3" i="5"/>
  <c r="Q13" i="5" l="1"/>
  <c r="Q9" i="5"/>
  <c r="R9" i="5" s="1"/>
  <c r="T9" i="5" s="1"/>
  <c r="Q11" i="5"/>
  <c r="R11" i="5" s="1"/>
  <c r="T11" i="5" s="1"/>
  <c r="Q7" i="5"/>
  <c r="R7" i="5" s="1"/>
  <c r="T7" i="5" s="1"/>
  <c r="R14" i="5"/>
  <c r="T14" i="5" s="1"/>
  <c r="R13" i="5"/>
  <c r="T13" i="5" s="1"/>
  <c r="R8" i="5"/>
  <c r="T8" i="5" s="1"/>
  <c r="R12" i="5"/>
  <c r="T12" i="5" s="1"/>
  <c r="R10" i="5"/>
  <c r="T10" i="5" s="1"/>
  <c r="R6" i="5"/>
  <c r="T6" i="5" s="1"/>
  <c r="Q5" i="5"/>
  <c r="G9" i="4"/>
  <c r="P15" i="5" l="1"/>
  <c r="V13" i="5" s="1"/>
  <c r="R5" i="5"/>
  <c r="F9" i="4"/>
  <c r="G12" i="4"/>
  <c r="G11" i="4"/>
  <c r="C4" i="4"/>
  <c r="G3" i="4"/>
  <c r="T5" i="5" l="1"/>
  <c r="T15" i="5" s="1"/>
  <c r="W15" i="5" s="1"/>
  <c r="I25" i="5"/>
  <c r="P21" i="5"/>
  <c r="B16" i="4" l="1"/>
  <c r="B9" i="4"/>
  <c r="B10" i="4" s="1"/>
  <c r="B12" i="4" s="1"/>
  <c r="C3" i="4"/>
  <c r="G7" i="3"/>
  <c r="G6" i="3"/>
  <c r="D7" i="3"/>
  <c r="D6" i="3"/>
  <c r="H7" i="3" l="1"/>
  <c r="H6" i="3"/>
  <c r="F11" i="4"/>
  <c r="F12" i="4"/>
  <c r="B11" i="4"/>
  <c r="H8" i="3" l="1"/>
  <c r="H10" i="3" s="1"/>
</calcChain>
</file>

<file path=xl/sharedStrings.xml><?xml version="1.0" encoding="utf-8"?>
<sst xmlns="http://schemas.openxmlformats.org/spreadsheetml/2006/main" count="89" uniqueCount="67">
  <si>
    <t>SR. No.</t>
  </si>
  <si>
    <t>Floor</t>
  </si>
  <si>
    <t>Type of Structure</t>
  </si>
  <si>
    <r>
      <t xml:space="preserve">Area 
</t>
    </r>
    <r>
      <rPr>
        <b/>
        <i/>
        <sz val="10"/>
        <rFont val="Calibri"/>
        <family val="2"/>
        <scheme val="minor"/>
      </rPr>
      <t>(in sq.ft)</t>
    </r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</si>
  <si>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</si>
  <si>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t>Year of Construction</t>
  </si>
  <si>
    <t xml:space="preserve">Year of Valuation 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</si>
  <si>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</si>
  <si>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</si>
  <si>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Salvage value</t>
  </si>
  <si>
    <t>Depreciation Rate</t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</si>
  <si>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</si>
  <si>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Gross Replacement Value
(INR)</t>
  </si>
  <si>
    <t>Discounting Factor</t>
  </si>
  <si>
    <t>Depreciated Replacement Market Value
(INR)</t>
  </si>
  <si>
    <t>TOTAL</t>
  </si>
  <si>
    <r>
      <t>Area</t>
    </r>
    <r>
      <rPr>
        <b/>
        <sz val="10"/>
        <rFont val="Calibri"/>
        <family val="2"/>
        <scheme val="minor"/>
      </rPr>
      <t xml:space="preserve"> (in sq. mtr.)</t>
    </r>
  </si>
  <si>
    <t>RCC structure bounded by brick wall</t>
  </si>
  <si>
    <t>Depriciation Factor</t>
  </si>
  <si>
    <t>Particular</t>
  </si>
  <si>
    <t>Govt guidline rate for construction(Per SQM)</t>
  </si>
  <si>
    <t>Guidline Value</t>
  </si>
  <si>
    <t>Particulars</t>
  </si>
  <si>
    <t>R.C.C</t>
  </si>
  <si>
    <t>Tin Shed</t>
  </si>
  <si>
    <t>Tin Shed and Tin Sheet Roof</t>
  </si>
  <si>
    <t>Land</t>
  </si>
  <si>
    <t>Rate</t>
  </si>
  <si>
    <t>Value</t>
  </si>
  <si>
    <t xml:space="preserve"> -   </t>
  </si>
  <si>
    <t>land</t>
  </si>
  <si>
    <t>Building</t>
  </si>
  <si>
    <t>Aesthetic</t>
  </si>
  <si>
    <t>Fair market</t>
  </si>
  <si>
    <t>Round off</t>
  </si>
  <si>
    <t>Realizable</t>
  </si>
  <si>
    <t>Distress</t>
  </si>
  <si>
    <t>FMV</t>
  </si>
  <si>
    <t>Govt.</t>
  </si>
  <si>
    <t>Depreciation amount
(INR)</t>
  </si>
  <si>
    <t xml:space="preserve">Depreciation factor
 </t>
  </si>
  <si>
    <t>2. Construction year of the plant has been taken from the information provided by the client during site survey .</t>
  </si>
  <si>
    <t>RCC</t>
  </si>
  <si>
    <t>Tin</t>
  </si>
  <si>
    <t>First</t>
  </si>
  <si>
    <t>Ground</t>
  </si>
  <si>
    <t>G+1</t>
  </si>
  <si>
    <r>
      <t xml:space="preserve">Area 
</t>
    </r>
    <r>
      <rPr>
        <b/>
        <i/>
        <sz val="10"/>
        <rFont val="Calibri"/>
        <family val="2"/>
        <scheme val="minor"/>
      </rPr>
      <t>(in sq.mt)</t>
    </r>
  </si>
  <si>
    <r>
      <t xml:space="preserve">Area 
</t>
    </r>
    <r>
      <rPr>
        <b/>
        <i/>
        <sz val="10"/>
        <rFont val="Calibri"/>
        <family val="2"/>
        <scheme val="minor"/>
      </rPr>
      <t>(in sq.Ft)</t>
    </r>
  </si>
  <si>
    <t>Block-A</t>
  </si>
  <si>
    <t>Block-B (Ground Floor)</t>
  </si>
  <si>
    <t>Block-B (First Floor)</t>
  </si>
  <si>
    <t>Block-C</t>
  </si>
  <si>
    <t>Dry Chamber</t>
  </si>
  <si>
    <t>Block-D</t>
  </si>
  <si>
    <t>RO Shed</t>
  </si>
  <si>
    <t>Coal Shed</t>
  </si>
  <si>
    <t>Guard Room-1</t>
  </si>
  <si>
    <t>Guard Rooom-2</t>
  </si>
  <si>
    <t>GI shed over RCC load bearing structure with Iron Trusses and Column</t>
  </si>
  <si>
    <t>RCC load bearing structure with Beam Column and 9" Brick wall</t>
  </si>
  <si>
    <t>GI shed over RCC load bearing structure with Beam Column and 9" Brick wall</t>
  </si>
  <si>
    <t>GI shed over RCC load bearing structure with Beam Column</t>
  </si>
  <si>
    <t>RCC over 9" Brick wall</t>
  </si>
  <si>
    <t>1. All the details pertaining to the building area statement such as area, floor,type of structure etc. have been taken as per the measurements done on site, during site survey.</t>
  </si>
  <si>
    <t>3. The valuation is done by considering the depreciated replacement cost approach.</t>
  </si>
  <si>
    <t>BUILDING VALUATION FOR M/S. PARMAR THERMOPACK PRIVATE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</si>
</sst>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_ * #,##0.000_ ;_ * \-#,##0.000_ ;_ * &quot;-&quot;??_ ;_ @_ "/>
    <numFmt numFmtId="167" formatCode="_ * #,##0.0000_ ;_ * \-#,##0.000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4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5" fontId="0" fillId="0" borderId="0" xfId="1" applyNumberFormat="1" applyFont="1"/>
    <xf numFmtId="43" fontId="0" fillId="0" borderId="0" xfId="0" applyNumberFormat="1"/>
    <xf numFmtId="43" fontId="0" fillId="0" borderId="0" xfId="1" applyFont="1"/>
    <xf numFmtId="0" fontId="0" fillId="0" borderId="13" xfId="0" applyBorder="1" applyAlignment="1">
      <alignment horizontal="center" vertical="center" wrapText="1"/>
    </xf>
    <xf numFmtId="0" fontId="0" fillId="4" borderId="0" xfId="0" applyFill="1"/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43" fontId="4" fillId="3" borderId="16" xfId="1" applyFont="1" applyFill="1" applyBorder="1" applyAlignment="1">
      <alignment horizontal="center" vertical="center" wrapText="1"/>
    </xf>
    <xf numFmtId="165" fontId="4" fillId="3" borderId="17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43" fontId="0" fillId="0" borderId="10" xfId="1" applyFont="1" applyBorder="1" applyAlignment="1">
      <alignment horizontal="center" vertical="center"/>
    </xf>
    <xf numFmtId="43" fontId="1" fillId="0" borderId="10" xfId="1" applyFill="1" applyBorder="1" applyAlignment="1">
      <alignment horizontal="center" vertical="center" wrapText="1"/>
    </xf>
    <xf numFmtId="165" fontId="0" fillId="0" borderId="10" xfId="1" applyNumberFormat="1" applyFont="1" applyBorder="1" applyAlignment="1">
      <alignment horizontal="center" vertical="center" wrapText="1"/>
    </xf>
    <xf numFmtId="166" fontId="0" fillId="0" borderId="10" xfId="1" applyNumberFormat="1" applyFont="1" applyBorder="1" applyAlignment="1">
      <alignment horizontal="center" vertical="center" wrapText="1"/>
    </xf>
    <xf numFmtId="165" fontId="1" fillId="0" borderId="11" xfId="1" applyNumberFormat="1" applyFill="1" applyBorder="1" applyAlignment="1">
      <alignment horizontal="center" vertical="center" wrapText="1"/>
    </xf>
    <xf numFmtId="165" fontId="1" fillId="0" borderId="14" xfId="1" applyNumberFormat="1" applyFill="1" applyBorder="1" applyAlignment="1">
      <alignment horizontal="center" vertical="center" wrapText="1"/>
    </xf>
    <xf numFmtId="43" fontId="0" fillId="0" borderId="13" xfId="1" applyFont="1" applyBorder="1" applyAlignment="1">
      <alignment horizontal="center" vertical="center"/>
    </xf>
    <xf numFmtId="43" fontId="1" fillId="0" borderId="13" xfId="1" applyFill="1" applyBorder="1" applyAlignment="1">
      <alignment horizontal="center" vertical="center" wrapText="1"/>
    </xf>
    <xf numFmtId="165" fontId="0" fillId="0" borderId="13" xfId="1" applyNumberFormat="1" applyFont="1" applyBorder="1" applyAlignment="1">
      <alignment horizontal="center" vertical="center" wrapText="1"/>
    </xf>
    <xf numFmtId="166" fontId="0" fillId="0" borderId="13" xfId="1" applyNumberFormat="1" applyFont="1" applyBorder="1" applyAlignment="1">
      <alignment horizontal="center" vertical="center" wrapText="1"/>
    </xf>
    <xf numFmtId="167" fontId="0" fillId="0" borderId="0" xfId="0" applyNumberFormat="1"/>
    <xf numFmtId="0" fontId="0" fillId="0" borderId="12" xfId="0" applyBorder="1" applyAlignment="1">
      <alignment horizontal="center" vertical="center"/>
    </xf>
    <xf numFmtId="165" fontId="2" fillId="0" borderId="21" xfId="1" applyNumberFormat="1" applyFont="1" applyBorder="1"/>
    <xf numFmtId="0" fontId="2" fillId="0" borderId="0" xfId="0" applyFont="1"/>
    <xf numFmtId="0" fontId="2" fillId="0" borderId="0" xfId="0" applyFont="1" applyAlignment="1">
      <alignment wrapText="1"/>
    </xf>
    <xf numFmtId="0" fontId="2" fillId="4" borderId="0" xfId="0" applyFont="1" applyFill="1"/>
    <xf numFmtId="4" fontId="0" fillId="0" borderId="0" xfId="0" applyNumberFormat="1"/>
    <xf numFmtId="0" fontId="0" fillId="0" borderId="22" xfId="0" applyBorder="1"/>
    <xf numFmtId="0" fontId="0" fillId="0" borderId="24" xfId="0" applyBorder="1"/>
    <xf numFmtId="3" fontId="0" fillId="0" borderId="25" xfId="0" applyNumberFormat="1" applyBorder="1"/>
    <xf numFmtId="0" fontId="0" fillId="0" borderId="18" xfId="0" applyBorder="1"/>
    <xf numFmtId="3" fontId="0" fillId="0" borderId="26" xfId="0" applyNumberFormat="1" applyBorder="1"/>
    <xf numFmtId="0" fontId="0" fillId="0" borderId="27" xfId="0" applyBorder="1"/>
    <xf numFmtId="0" fontId="0" fillId="0" borderId="23" xfId="0" applyBorder="1"/>
    <xf numFmtId="3" fontId="0" fillId="0" borderId="19" xfId="0" applyNumberFormat="1" applyBorder="1"/>
    <xf numFmtId="9" fontId="0" fillId="0" borderId="0" xfId="0" applyNumberFormat="1"/>
    <xf numFmtId="3" fontId="10" fillId="0" borderId="0" xfId="0" applyNumberFormat="1" applyFont="1"/>
    <xf numFmtId="165" fontId="0" fillId="0" borderId="0" xfId="0" applyNumberFormat="1"/>
    <xf numFmtId="166" fontId="0" fillId="0" borderId="0" xfId="1" applyNumberFormat="1" applyFont="1"/>
    <xf numFmtId="164" fontId="0" fillId="0" borderId="0" xfId="0" applyNumberFormat="1"/>
    <xf numFmtId="165" fontId="10" fillId="0" borderId="0" xfId="1" applyNumberFormat="1" applyFont="1"/>
    <xf numFmtId="0" fontId="11" fillId="4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2" fontId="11" fillId="4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1" fontId="11" fillId="4" borderId="5" xfId="0" applyNumberFormat="1" applyFont="1" applyFill="1" applyBorder="1" applyAlignment="1">
      <alignment horizontal="center" vertical="center" wrapText="1"/>
    </xf>
    <xf numFmtId="1" fontId="11" fillId="4" borderId="4" xfId="0" applyNumberFormat="1" applyFont="1" applyFill="1" applyBorder="1" applyAlignment="1">
      <alignment horizontal="center" vertical="center" wrapText="1"/>
    </xf>
    <xf numFmtId="9" fontId="11" fillId="4" borderId="4" xfId="2" applyFont="1" applyFill="1" applyBorder="1" applyAlignment="1">
      <alignment horizontal="center" vertical="center" wrapText="1"/>
    </xf>
    <xf numFmtId="1" fontId="11" fillId="4" borderId="4" xfId="1" applyNumberFormat="1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43" fontId="8" fillId="0" borderId="5" xfId="1" applyFont="1" applyFill="1" applyBorder="1" applyAlignment="1">
      <alignment horizontal="center" vertical="center" wrapText="1"/>
    </xf>
    <xf numFmtId="43" fontId="8" fillId="4" borderId="5" xfId="1" applyFont="1" applyFill="1" applyBorder="1" applyAlignment="1">
      <alignment horizontal="center" vertical="center" wrapText="1"/>
    </xf>
    <xf numFmtId="43" fontId="8" fillId="4" borderId="4" xfId="1" applyFont="1" applyFill="1" applyBorder="1" applyAlignment="1">
      <alignment horizontal="center" vertical="center" wrapText="1"/>
    </xf>
    <xf numFmtId="165" fontId="8" fillId="4" borderId="5" xfId="1" applyNumberFormat="1" applyFont="1" applyFill="1" applyBorder="1" applyAlignment="1">
      <alignment horizontal="center" vertical="center" wrapText="1"/>
    </xf>
    <xf numFmtId="43" fontId="13" fillId="0" borderId="4" xfId="1" applyFont="1" applyFill="1" applyBorder="1" applyAlignment="1">
      <alignment horizontal="center" vertical="center"/>
    </xf>
    <xf numFmtId="43" fontId="11" fillId="0" borderId="4" xfId="1" applyFont="1" applyBorder="1" applyAlignment="1">
      <alignment horizontal="center" vertical="center" wrapText="1"/>
    </xf>
    <xf numFmtId="0" fontId="10" fillId="0" borderId="0" xfId="0" applyFont="1"/>
    <xf numFmtId="0" fontId="9" fillId="3" borderId="6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2" fillId="0" borderId="18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10"/>
  <sheetViews>
    <sheetView workbookViewId="0">
      <selection activeCell="J6" sqref="J6"/>
    </sheetView>
  </sheetViews>
  <sheetFormatPr defaultRowHeight="15" x14ac:dyDescent="0.25"/>
  <cols>
    <col min="1" max="1" width="5.85546875" customWidth="1"/>
    <col min="2" max="2" width="11.5703125" bestFit="1" customWidth="1"/>
    <col min="3" max="3" width="12.85546875" bestFit="1" customWidth="1"/>
    <col min="4" max="4" width="10" style="5" bestFit="1" customWidth="1"/>
    <col min="5" max="5" width="11.5703125" style="5" bestFit="1" customWidth="1"/>
    <col min="6" max="6" width="17.7109375" style="5" bestFit="1" customWidth="1"/>
    <col min="7" max="7" width="11.85546875" style="5" bestFit="1" customWidth="1"/>
    <col min="8" max="8" width="15.85546875" style="3" customWidth="1"/>
    <col min="17" max="17" width="15.28515625" bestFit="1" customWidth="1"/>
  </cols>
  <sheetData>
    <row r="3" spans="1:17" ht="15.75" thickBot="1" x14ac:dyDescent="0.3"/>
    <row r="4" spans="1:17" ht="16.5" thickBot="1" x14ac:dyDescent="0.3">
      <c r="A4" s="61" t="s">
        <v>21</v>
      </c>
      <c r="B4" s="62"/>
      <c r="C4" s="62"/>
      <c r="D4" s="62"/>
      <c r="E4" s="62"/>
      <c r="F4" s="62"/>
      <c r="G4" s="62"/>
      <c r="H4" s="63"/>
    </row>
    <row r="5" spans="1:17" ht="60.75" thickBot="1" x14ac:dyDescent="0.3">
      <c r="A5" s="8" t="s">
        <v>0</v>
      </c>
      <c r="B5" s="9" t="s">
        <v>19</v>
      </c>
      <c r="C5" s="9" t="s">
        <v>2</v>
      </c>
      <c r="D5" s="10" t="s">
        <v>16</v>
      </c>
      <c r="E5" s="10" t="s">
        <v>3</v>
      </c>
      <c r="F5" s="10" t="s">
        <v>20</v>
      </c>
      <c r="G5" s="10" t="s">
        <v>18</v>
      </c>
      <c r="H5" s="11" t="s">
        <v>21</v>
      </c>
    </row>
    <row r="6" spans="1:17" ht="50.1" customHeight="1" x14ac:dyDescent="0.25">
      <c r="A6" s="12">
        <v>1</v>
      </c>
      <c r="B6" s="13" t="s">
        <v>23</v>
      </c>
      <c r="C6" s="13" t="s">
        <v>17</v>
      </c>
      <c r="D6" s="14">
        <f>E6/10.764</f>
        <v>1568.0973615756225</v>
      </c>
      <c r="E6" s="15">
        <v>16879</v>
      </c>
      <c r="F6" s="16">
        <v>17000</v>
      </c>
      <c r="G6" s="17">
        <f>(1-0.0154)</f>
        <v>0.98460000000000003</v>
      </c>
      <c r="H6" s="18">
        <f>G6*F6*D6</f>
        <v>26247127.257525086</v>
      </c>
      <c r="P6" s="24"/>
      <c r="Q6" s="5"/>
    </row>
    <row r="7" spans="1:17" ht="50.1" customHeight="1" thickBot="1" x14ac:dyDescent="0.3">
      <c r="A7" s="25">
        <v>2</v>
      </c>
      <c r="B7" s="6" t="s">
        <v>24</v>
      </c>
      <c r="C7" s="6" t="s">
        <v>25</v>
      </c>
      <c r="D7" s="20">
        <f>E7/10.764</f>
        <v>24374.024526198442</v>
      </c>
      <c r="E7" s="21">
        <v>262362</v>
      </c>
      <c r="F7" s="22">
        <v>7000</v>
      </c>
      <c r="G7" s="23">
        <f>(1-0.0049)</f>
        <v>0.99509999999999998</v>
      </c>
      <c r="H7" s="19">
        <f>G7*F7*D7</f>
        <v>169782142.64214048</v>
      </c>
      <c r="P7" s="24"/>
      <c r="Q7" s="5"/>
    </row>
    <row r="8" spans="1:17" ht="15.75" thickBot="1" x14ac:dyDescent="0.3">
      <c r="A8" s="64" t="s">
        <v>15</v>
      </c>
      <c r="B8" s="65"/>
      <c r="C8" s="65"/>
      <c r="D8" s="65"/>
      <c r="E8" s="65"/>
      <c r="F8" s="65"/>
      <c r="G8" s="66"/>
      <c r="H8" s="26">
        <f>SUM(H6+H7)</f>
        <v>196029269.89966556</v>
      </c>
    </row>
    <row r="9" spans="1:17" x14ac:dyDescent="0.25">
      <c r="H9" s="3">
        <v>375582130</v>
      </c>
    </row>
    <row r="10" spans="1:17" x14ac:dyDescent="0.25">
      <c r="H10" s="3">
        <f>H8+H9</f>
        <v>571611399.89966559</v>
      </c>
    </row>
  </sheetData>
  <mergeCells count="2">
    <mergeCell ref="A4:H4"/>
    <mergeCell ref="A8:G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AH43"/>
  <sheetViews>
    <sheetView tabSelected="1" topLeftCell="A4" workbookViewId="0">
      <selection activeCell="S9" sqref="S9"/>
    </sheetView>
  </sheetViews>
  <sheetFormatPr defaultRowHeight="15" x14ac:dyDescent="0.25"/>
  <cols>
    <col min="1" max="1" width="7.42578125" customWidth="1"/>
    <col min="2" max="2" width="6.28515625" customWidth="1"/>
    <col min="3" max="3" width="13.85546875" bestFit="1" customWidth="1"/>
    <col min="4" max="4" width="11" hidden="1" customWidth="1"/>
    <col min="5" max="5" width="42.140625" style="2" customWidth="1"/>
    <col min="6" max="6" width="9" style="2" hidden="1" customWidth="1"/>
    <col min="7" max="7" width="10" bestFit="1" customWidth="1"/>
    <col min="8" max="8" width="12.28515625" style="7" customWidth="1"/>
    <col min="9" max="9" width="12.28515625" customWidth="1"/>
    <col min="10" max="10" width="9.5703125" customWidth="1"/>
    <col min="11" max="11" width="10.42578125" customWidth="1"/>
    <col min="12" max="12" width="11" customWidth="1"/>
    <col min="13" max="13" width="7.7109375" customWidth="1"/>
    <col min="14" max="14" width="11.28515625" customWidth="1"/>
    <col min="15" max="15" width="12.42578125" customWidth="1"/>
    <col min="16" max="16" width="14.28515625" customWidth="1"/>
    <col min="17" max="18" width="12.42578125" customWidth="1"/>
    <col min="19" max="19" width="11.42578125" customWidth="1"/>
    <col min="20" max="20" width="13.140625" bestFit="1" customWidth="1"/>
    <col min="21" max="21" width="10.28515625" bestFit="1" customWidth="1"/>
    <col min="22" max="22" width="14.28515625" style="3" bestFit="1" customWidth="1"/>
    <col min="23" max="23" width="15.42578125" bestFit="1" customWidth="1"/>
    <col min="24" max="24" width="14.42578125" bestFit="1" customWidth="1"/>
    <col min="25" max="25" width="15.42578125" bestFit="1" customWidth="1"/>
    <col min="26" max="26" width="22.28515625" customWidth="1"/>
    <col min="27" max="27" width="14.42578125" bestFit="1" customWidth="1"/>
    <col min="28" max="28" width="10.28515625" bestFit="1" customWidth="1"/>
    <col min="31" max="31" width="14.42578125" bestFit="1" customWidth="1"/>
  </cols>
  <sheetData>
    <row r="3" spans="2:28" ht="29.25" customHeight="1" x14ac:dyDescent="0.25">
      <c r="B3" s="67" t="s">
        <v>66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9"/>
      <c r="V3" s="42">
        <f>1.54*4</f>
        <v>6.16</v>
      </c>
    </row>
    <row r="4" spans="2:28" ht="60" x14ac:dyDescent="0.25">
      <c r="B4" s="1" t="s">
        <v>0</v>
      </c>
      <c r="C4" s="1" t="s">
        <v>22</v>
      </c>
      <c r="D4" s="1" t="s">
        <v>1</v>
      </c>
      <c r="E4" s="1" t="s">
        <v>2</v>
      </c>
      <c r="F4" s="1" t="s">
        <v>47</v>
      </c>
      <c r="G4" s="1" t="s">
        <v>48</v>
      </c>
      <c r="H4" s="1" t="s">
        <v>4</v>
      </c>
      <c r="I4" s="1" t="s">
        <v>5</v>
      </c>
      <c r="J4" s="1" t="s">
        <v>6</v>
      </c>
      <c r="K4" s="1" t="s">
        <v>7</v>
      </c>
      <c r="L4" s="1" t="s">
        <v>8</v>
      </c>
      <c r="M4" s="1" t="s">
        <v>9</v>
      </c>
      <c r="N4" s="1" t="s">
        <v>10</v>
      </c>
      <c r="O4" s="1" t="s">
        <v>11</v>
      </c>
      <c r="P4" s="1" t="s">
        <v>12</v>
      </c>
      <c r="Q4" s="1" t="s">
        <v>40</v>
      </c>
      <c r="R4" s="1" t="s">
        <v>39</v>
      </c>
      <c r="S4" s="1" t="s">
        <v>13</v>
      </c>
      <c r="T4" s="1" t="s">
        <v>14</v>
      </c>
      <c r="V4"/>
      <c r="Y4" s="39">
        <v>0.2</v>
      </c>
      <c r="Z4">
        <v>18000</v>
      </c>
      <c r="AA4">
        <f>Y4*Z4</f>
        <v>3600</v>
      </c>
      <c r="AB4">
        <f>Z4-AA4</f>
        <v>14400</v>
      </c>
    </row>
    <row r="5" spans="2:28" ht="25.5" x14ac:dyDescent="0.25">
      <c r="B5" s="45">
        <v>1</v>
      </c>
      <c r="C5" s="48" t="s">
        <v>49</v>
      </c>
      <c r="D5" s="45" t="s">
        <v>45</v>
      </c>
      <c r="E5" s="46" t="s">
        <v>59</v>
      </c>
      <c r="F5" s="58">
        <v>252</v>
      </c>
      <c r="G5" s="58">
        <v>2711.52</v>
      </c>
      <c r="H5" s="48">
        <v>51.95</v>
      </c>
      <c r="I5" s="49">
        <v>2016</v>
      </c>
      <c r="J5" s="50">
        <v>2023</v>
      </c>
      <c r="K5" s="50">
        <f>J5-I5</f>
        <v>7</v>
      </c>
      <c r="L5" s="50">
        <v>60</v>
      </c>
      <c r="M5" s="51">
        <v>0.1</v>
      </c>
      <c r="N5" s="47">
        <f>(1-M5)/L5</f>
        <v>1.5000000000000001E-2</v>
      </c>
      <c r="O5" s="50">
        <v>1250</v>
      </c>
      <c r="P5" s="52">
        <f>O5*G5</f>
        <v>3389400</v>
      </c>
      <c r="Q5" s="47">
        <f>N5*K5</f>
        <v>0.10500000000000001</v>
      </c>
      <c r="R5" s="47">
        <f>P5*Q5</f>
        <v>355887.00000000006</v>
      </c>
      <c r="S5" s="47"/>
      <c r="T5" s="59">
        <f>P5-R5</f>
        <v>3033513</v>
      </c>
      <c r="V5">
        <v>9992.44</v>
      </c>
      <c r="W5">
        <v>10000</v>
      </c>
      <c r="X5">
        <f>W5*V5</f>
        <v>99924400</v>
      </c>
    </row>
    <row r="6" spans="2:28" ht="25.5" x14ac:dyDescent="0.25">
      <c r="B6" s="45">
        <v>2</v>
      </c>
      <c r="C6" s="46" t="s">
        <v>50</v>
      </c>
      <c r="D6" s="45" t="s">
        <v>44</v>
      </c>
      <c r="E6" s="46" t="s">
        <v>60</v>
      </c>
      <c r="F6" s="58">
        <v>588</v>
      </c>
      <c r="G6" s="58">
        <v>6326.88</v>
      </c>
      <c r="H6" s="48">
        <v>16.47</v>
      </c>
      <c r="I6" s="49">
        <v>2016</v>
      </c>
      <c r="J6" s="50">
        <v>2023</v>
      </c>
      <c r="K6" s="50">
        <f t="shared" ref="K6:K14" si="0">J6-I6</f>
        <v>7</v>
      </c>
      <c r="L6" s="50">
        <v>65</v>
      </c>
      <c r="M6" s="51">
        <v>0.1</v>
      </c>
      <c r="N6" s="47">
        <f t="shared" ref="N6:N14" si="1">(1-M6)/L6</f>
        <v>1.3846153846153847E-2</v>
      </c>
      <c r="O6" s="50">
        <v>1200</v>
      </c>
      <c r="P6" s="52">
        <f t="shared" ref="P6:P14" si="2">O6*G6</f>
        <v>7592256</v>
      </c>
      <c r="Q6" s="47">
        <f t="shared" ref="Q6:Q14" si="3">N6*K6</f>
        <v>9.6923076923076931E-2</v>
      </c>
      <c r="R6" s="47">
        <f t="shared" ref="R6:R14" si="4">P6*Q6</f>
        <v>735864.81230769237</v>
      </c>
      <c r="S6" s="47"/>
      <c r="T6" s="59">
        <f t="shared" ref="T6:T14" si="5">P6-R6</f>
        <v>6856391.1876923079</v>
      </c>
      <c r="V6"/>
      <c r="Y6">
        <v>6050</v>
      </c>
    </row>
    <row r="7" spans="2:28" ht="25.5" x14ac:dyDescent="0.25">
      <c r="B7" s="45">
        <v>3</v>
      </c>
      <c r="C7" s="46" t="s">
        <v>51</v>
      </c>
      <c r="D7" s="45" t="s">
        <v>45</v>
      </c>
      <c r="E7" s="46" t="s">
        <v>61</v>
      </c>
      <c r="F7" s="58">
        <v>588</v>
      </c>
      <c r="G7" s="58">
        <v>6326.88</v>
      </c>
      <c r="H7" s="48">
        <v>24.64</v>
      </c>
      <c r="I7" s="49">
        <v>2016</v>
      </c>
      <c r="J7" s="50">
        <v>2023</v>
      </c>
      <c r="K7" s="50">
        <f t="shared" si="0"/>
        <v>7</v>
      </c>
      <c r="L7" s="50">
        <v>60</v>
      </c>
      <c r="M7" s="51">
        <v>0.1</v>
      </c>
      <c r="N7" s="47">
        <f t="shared" si="1"/>
        <v>1.5000000000000001E-2</v>
      </c>
      <c r="O7" s="50">
        <v>1100</v>
      </c>
      <c r="P7" s="52">
        <f t="shared" si="2"/>
        <v>6959568</v>
      </c>
      <c r="Q7" s="47">
        <f t="shared" si="3"/>
        <v>0.10500000000000001</v>
      </c>
      <c r="R7" s="47">
        <f t="shared" si="4"/>
        <v>730754.64</v>
      </c>
      <c r="S7" s="47"/>
      <c r="T7" s="59">
        <f t="shared" si="5"/>
        <v>6228813.3600000003</v>
      </c>
      <c r="V7"/>
      <c r="W7">
        <v>16879</v>
      </c>
      <c r="Y7">
        <f>Y6*1.1</f>
        <v>6655.0000000000009</v>
      </c>
      <c r="Z7">
        <v>50100635325485</v>
      </c>
    </row>
    <row r="8" spans="2:28" ht="25.5" x14ac:dyDescent="0.25">
      <c r="B8" s="45">
        <v>4</v>
      </c>
      <c r="C8" s="48" t="s">
        <v>52</v>
      </c>
      <c r="D8" s="45" t="s">
        <v>45</v>
      </c>
      <c r="E8" s="46" t="s">
        <v>61</v>
      </c>
      <c r="F8" s="58">
        <v>1575</v>
      </c>
      <c r="G8" s="58">
        <v>16947</v>
      </c>
      <c r="H8" s="48">
        <v>31.32</v>
      </c>
      <c r="I8" s="49">
        <v>2016</v>
      </c>
      <c r="J8" s="50">
        <v>2023</v>
      </c>
      <c r="K8" s="50">
        <f t="shared" si="0"/>
        <v>7</v>
      </c>
      <c r="L8" s="50">
        <v>60</v>
      </c>
      <c r="M8" s="51">
        <v>0.1</v>
      </c>
      <c r="N8" s="47">
        <f t="shared" si="1"/>
        <v>1.5000000000000001E-2</v>
      </c>
      <c r="O8" s="50">
        <v>1100</v>
      </c>
      <c r="P8" s="52">
        <f t="shared" si="2"/>
        <v>18641700</v>
      </c>
      <c r="Q8" s="47">
        <f t="shared" si="3"/>
        <v>0.10500000000000001</v>
      </c>
      <c r="R8" s="47">
        <f t="shared" si="4"/>
        <v>1957378.5000000002</v>
      </c>
      <c r="S8" s="47"/>
      <c r="T8" s="59">
        <f t="shared" si="5"/>
        <v>16684321.5</v>
      </c>
      <c r="V8"/>
      <c r="W8">
        <v>262362</v>
      </c>
      <c r="Y8">
        <f>Y7*1.1</f>
        <v>7320.5000000000018</v>
      </c>
    </row>
    <row r="9" spans="2:28" ht="25.5" x14ac:dyDescent="0.25">
      <c r="B9" s="45">
        <v>5</v>
      </c>
      <c r="C9" s="48" t="s">
        <v>53</v>
      </c>
      <c r="D9" s="45" t="s">
        <v>45</v>
      </c>
      <c r="E9" s="46" t="s">
        <v>60</v>
      </c>
      <c r="F9" s="58">
        <v>180</v>
      </c>
      <c r="G9" s="58">
        <v>1936.8</v>
      </c>
      <c r="H9" s="48">
        <v>13</v>
      </c>
      <c r="I9" s="49">
        <v>2016</v>
      </c>
      <c r="J9" s="50">
        <v>2023</v>
      </c>
      <c r="K9" s="50">
        <f t="shared" si="0"/>
        <v>7</v>
      </c>
      <c r="L9" s="50">
        <v>65</v>
      </c>
      <c r="M9" s="51">
        <v>0.1</v>
      </c>
      <c r="N9" s="47">
        <f t="shared" si="1"/>
        <v>1.3846153846153847E-2</v>
      </c>
      <c r="O9" s="50">
        <v>1200</v>
      </c>
      <c r="P9" s="52">
        <f t="shared" si="2"/>
        <v>2324160</v>
      </c>
      <c r="Q9" s="47">
        <f t="shared" si="3"/>
        <v>9.6923076923076931E-2</v>
      </c>
      <c r="R9" s="47">
        <f t="shared" si="4"/>
        <v>225264.73846153848</v>
      </c>
      <c r="S9" s="47"/>
      <c r="T9" s="59">
        <f t="shared" si="5"/>
        <v>2098895.2615384613</v>
      </c>
      <c r="V9"/>
    </row>
    <row r="10" spans="2:28" ht="25.5" x14ac:dyDescent="0.25">
      <c r="B10" s="45">
        <v>6</v>
      </c>
      <c r="C10" s="46" t="s">
        <v>54</v>
      </c>
      <c r="D10" s="45" t="s">
        <v>45</v>
      </c>
      <c r="E10" s="46" t="s">
        <v>61</v>
      </c>
      <c r="F10" s="58">
        <v>1321.8300000000002</v>
      </c>
      <c r="G10" s="58">
        <v>14222.890800000001</v>
      </c>
      <c r="H10" s="48">
        <v>32</v>
      </c>
      <c r="I10" s="49">
        <v>2016</v>
      </c>
      <c r="J10" s="50">
        <v>2023</v>
      </c>
      <c r="K10" s="50">
        <f t="shared" si="0"/>
        <v>7</v>
      </c>
      <c r="L10" s="50">
        <v>60</v>
      </c>
      <c r="M10" s="51">
        <v>0.1</v>
      </c>
      <c r="N10" s="47">
        <f t="shared" si="1"/>
        <v>1.5000000000000001E-2</v>
      </c>
      <c r="O10" s="50">
        <v>1100</v>
      </c>
      <c r="P10" s="52">
        <f t="shared" si="2"/>
        <v>15645179.880000001</v>
      </c>
      <c r="Q10" s="47">
        <f t="shared" si="3"/>
        <v>0.10500000000000001</v>
      </c>
      <c r="R10" s="47">
        <f t="shared" si="4"/>
        <v>1642743.8874000004</v>
      </c>
      <c r="S10" s="47"/>
      <c r="T10" s="59">
        <f t="shared" si="5"/>
        <v>14002435.992600001</v>
      </c>
      <c r="V10"/>
    </row>
    <row r="11" spans="2:28" ht="25.5" x14ac:dyDescent="0.25">
      <c r="B11" s="45">
        <v>7</v>
      </c>
      <c r="C11" s="48" t="s">
        <v>55</v>
      </c>
      <c r="D11" s="45" t="s">
        <v>46</v>
      </c>
      <c r="E11" s="46" t="s">
        <v>62</v>
      </c>
      <c r="F11" s="58">
        <v>87.440661157024792</v>
      </c>
      <c r="G11" s="58">
        <v>940.86151404958673</v>
      </c>
      <c r="H11" s="48">
        <v>16.28</v>
      </c>
      <c r="I11" s="49">
        <v>2016</v>
      </c>
      <c r="J11" s="50">
        <v>2023</v>
      </c>
      <c r="K11" s="50">
        <f t="shared" si="0"/>
        <v>7</v>
      </c>
      <c r="L11" s="50">
        <v>60</v>
      </c>
      <c r="M11" s="51">
        <v>0.1</v>
      </c>
      <c r="N11" s="47">
        <f t="shared" si="1"/>
        <v>1.5000000000000001E-2</v>
      </c>
      <c r="O11" s="50">
        <v>1000</v>
      </c>
      <c r="P11" s="52">
        <f t="shared" si="2"/>
        <v>940861.51404958672</v>
      </c>
      <c r="Q11" s="47">
        <f t="shared" si="3"/>
        <v>0.10500000000000001</v>
      </c>
      <c r="R11" s="47">
        <f t="shared" si="4"/>
        <v>98790.458975206609</v>
      </c>
      <c r="S11" s="47"/>
      <c r="T11" s="59">
        <f t="shared" si="5"/>
        <v>842071.05507438013</v>
      </c>
      <c r="V11"/>
    </row>
    <row r="12" spans="2:28" ht="25.5" x14ac:dyDescent="0.25">
      <c r="B12" s="45">
        <v>8</v>
      </c>
      <c r="C12" s="48" t="s">
        <v>56</v>
      </c>
      <c r="D12" s="45" t="s">
        <v>45</v>
      </c>
      <c r="E12" s="46" t="s">
        <v>61</v>
      </c>
      <c r="F12" s="58">
        <v>162.54545454545456</v>
      </c>
      <c r="G12" s="58">
        <v>1748.9890909090911</v>
      </c>
      <c r="H12" s="48">
        <v>24.03</v>
      </c>
      <c r="I12" s="49">
        <v>2016</v>
      </c>
      <c r="J12" s="50">
        <v>2023</v>
      </c>
      <c r="K12" s="50">
        <f t="shared" si="0"/>
        <v>7</v>
      </c>
      <c r="L12" s="50">
        <v>60</v>
      </c>
      <c r="M12" s="51">
        <v>0.1</v>
      </c>
      <c r="N12" s="47">
        <f t="shared" si="1"/>
        <v>1.5000000000000001E-2</v>
      </c>
      <c r="O12" s="50">
        <v>1000</v>
      </c>
      <c r="P12" s="52">
        <f t="shared" si="2"/>
        <v>1748989.0909090911</v>
      </c>
      <c r="Q12" s="47">
        <f t="shared" si="3"/>
        <v>0.10500000000000001</v>
      </c>
      <c r="R12" s="47">
        <f t="shared" si="4"/>
        <v>183643.85454545458</v>
      </c>
      <c r="S12" s="47"/>
      <c r="T12" s="59">
        <f t="shared" si="5"/>
        <v>1565345.2363636366</v>
      </c>
      <c r="V12"/>
    </row>
    <row r="13" spans="2:28" x14ac:dyDescent="0.25">
      <c r="B13" s="45">
        <v>9</v>
      </c>
      <c r="C13" s="48" t="s">
        <v>57</v>
      </c>
      <c r="D13" s="45" t="s">
        <v>45</v>
      </c>
      <c r="E13" s="46" t="s">
        <v>63</v>
      </c>
      <c r="F13" s="58">
        <v>15.48</v>
      </c>
      <c r="G13" s="58">
        <v>166.56479999999999</v>
      </c>
      <c r="H13" s="48">
        <v>10</v>
      </c>
      <c r="I13" s="49">
        <v>2016</v>
      </c>
      <c r="J13" s="50">
        <v>2023</v>
      </c>
      <c r="K13" s="50">
        <f t="shared" si="0"/>
        <v>7</v>
      </c>
      <c r="L13" s="50">
        <v>60</v>
      </c>
      <c r="M13" s="51">
        <v>0.1</v>
      </c>
      <c r="N13" s="47">
        <f t="shared" si="1"/>
        <v>1.5000000000000001E-2</v>
      </c>
      <c r="O13" s="50">
        <v>1000</v>
      </c>
      <c r="P13" s="52">
        <f t="shared" si="2"/>
        <v>166564.79999999999</v>
      </c>
      <c r="Q13" s="47">
        <f t="shared" si="3"/>
        <v>0.10500000000000001</v>
      </c>
      <c r="R13" s="47">
        <f t="shared" si="4"/>
        <v>17489.304</v>
      </c>
      <c r="S13" s="47"/>
      <c r="T13" s="59">
        <f t="shared" si="5"/>
        <v>149075.49599999998</v>
      </c>
      <c r="V13" s="43">
        <f>0.8*P15</f>
        <v>46060195.267966948</v>
      </c>
    </row>
    <row r="14" spans="2:28" x14ac:dyDescent="0.25">
      <c r="B14" s="45">
        <v>10</v>
      </c>
      <c r="C14" s="48" t="s">
        <v>58</v>
      </c>
      <c r="D14" s="45" t="s">
        <v>44</v>
      </c>
      <c r="E14" s="46" t="s">
        <v>63</v>
      </c>
      <c r="F14" s="58">
        <v>15.48</v>
      </c>
      <c r="G14" s="58">
        <v>166.56479999999999</v>
      </c>
      <c r="H14" s="48">
        <v>10</v>
      </c>
      <c r="I14" s="49">
        <v>2016</v>
      </c>
      <c r="J14" s="50">
        <v>2023</v>
      </c>
      <c r="K14" s="50">
        <f t="shared" si="0"/>
        <v>7</v>
      </c>
      <c r="L14" s="50">
        <v>60</v>
      </c>
      <c r="M14" s="51">
        <v>0.1</v>
      </c>
      <c r="N14" s="47">
        <f t="shared" si="1"/>
        <v>1.5000000000000001E-2</v>
      </c>
      <c r="O14" s="50">
        <v>1000</v>
      </c>
      <c r="P14" s="52">
        <f t="shared" si="2"/>
        <v>166564.79999999999</v>
      </c>
      <c r="Q14" s="47">
        <f t="shared" si="3"/>
        <v>0.10500000000000001</v>
      </c>
      <c r="R14" s="47">
        <f t="shared" si="4"/>
        <v>17489.304</v>
      </c>
      <c r="S14" s="47"/>
      <c r="T14" s="59">
        <f t="shared" si="5"/>
        <v>149075.49599999998</v>
      </c>
      <c r="V14"/>
    </row>
    <row r="15" spans="2:28" x14ac:dyDescent="0.25">
      <c r="B15" s="53"/>
      <c r="C15" s="53"/>
      <c r="D15" s="53"/>
      <c r="E15" s="53"/>
      <c r="F15" s="53"/>
      <c r="G15" s="54">
        <f>SUM(G5:G14)</f>
        <v>51494.951004958682</v>
      </c>
      <c r="H15" s="55"/>
      <c r="I15" s="56"/>
      <c r="J15" s="55"/>
      <c r="K15" s="55"/>
      <c r="L15" s="55"/>
      <c r="M15" s="55"/>
      <c r="N15" s="55"/>
      <c r="O15" s="55"/>
      <c r="P15" s="55">
        <f>SUM(P5:P14)</f>
        <v>57575244.08495868</v>
      </c>
      <c r="Q15" s="55"/>
      <c r="R15" s="55"/>
      <c r="S15" s="55">
        <f>SUM(S5:S14)</f>
        <v>0</v>
      </c>
      <c r="T15" s="57">
        <f>SUM(T5:T14)</f>
        <v>51609937.585268781</v>
      </c>
      <c r="U15">
        <v>751164260</v>
      </c>
      <c r="V15">
        <v>2800000</v>
      </c>
      <c r="W15" s="4">
        <f>V15+U15+T15</f>
        <v>805574197.58526874</v>
      </c>
    </row>
    <row r="16" spans="2:28" x14ac:dyDescent="0.25">
      <c r="B16" s="70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2"/>
      <c r="V16"/>
      <c r="W16">
        <v>911700000</v>
      </c>
      <c r="X16">
        <v>0.85</v>
      </c>
      <c r="Y16" s="5">
        <f>X16*W16</f>
        <v>774945000</v>
      </c>
    </row>
    <row r="17" spans="2:34" ht="24.75" customHeight="1" x14ac:dyDescent="0.25">
      <c r="B17" s="73" t="s">
        <v>64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5"/>
      <c r="V17"/>
      <c r="W17">
        <v>911700000</v>
      </c>
      <c r="X17">
        <v>0.75</v>
      </c>
      <c r="Y17" s="5">
        <f>X17*W17</f>
        <v>683775000</v>
      </c>
      <c r="Z17" s="5"/>
      <c r="AA17" s="5"/>
      <c r="AB17" s="5"/>
      <c r="AC17" s="5"/>
      <c r="AD17" s="5"/>
      <c r="AE17" s="5"/>
      <c r="AF17" s="5"/>
      <c r="AG17" s="5"/>
      <c r="AH17" s="5"/>
    </row>
    <row r="18" spans="2:34" ht="15" customHeight="1" x14ac:dyDescent="0.25">
      <c r="B18" s="73" t="s">
        <v>41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5"/>
      <c r="V18"/>
      <c r="W18">
        <v>285992600</v>
      </c>
      <c r="X18">
        <v>0.75</v>
      </c>
      <c r="Y18" s="5">
        <f>X18*W18</f>
        <v>214494450</v>
      </c>
      <c r="Z18" s="5"/>
      <c r="AA18" s="5"/>
      <c r="AB18" s="5"/>
      <c r="AC18" s="5"/>
      <c r="AD18" s="5"/>
      <c r="AE18" s="5"/>
      <c r="AF18" s="5"/>
      <c r="AG18" s="5"/>
      <c r="AH18" s="5"/>
    </row>
    <row r="19" spans="2:34" x14ac:dyDescent="0.25">
      <c r="B19" s="73" t="s">
        <v>65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5"/>
      <c r="V19"/>
      <c r="Z19" s="5"/>
      <c r="AA19" s="5"/>
      <c r="AB19" s="5"/>
      <c r="AC19" s="5"/>
      <c r="AD19" s="5"/>
      <c r="AE19" s="5"/>
      <c r="AF19" s="5"/>
      <c r="AG19" s="5"/>
      <c r="AH19" s="5"/>
    </row>
    <row r="20" spans="2:34" x14ac:dyDescent="0.25">
      <c r="B20" s="27"/>
      <c r="C20" s="27"/>
      <c r="D20" s="27"/>
      <c r="E20" s="28"/>
      <c r="F20" s="28"/>
      <c r="G20" s="27"/>
      <c r="H20" s="29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V20"/>
      <c r="Z20" s="5"/>
      <c r="AA20" s="5"/>
      <c r="AB20" s="5"/>
      <c r="AC20" s="5"/>
      <c r="AD20" s="5"/>
      <c r="AE20" s="5"/>
      <c r="AF20" s="5"/>
      <c r="AG20" s="5"/>
      <c r="AH20" s="5"/>
    </row>
    <row r="21" spans="2:34" x14ac:dyDescent="0.25">
      <c r="D21" s="3"/>
      <c r="E21"/>
      <c r="F21"/>
      <c r="H21"/>
      <c r="P21" s="43">
        <f>P15*0.8</f>
        <v>46060195.267966948</v>
      </c>
      <c r="V21"/>
      <c r="Z21" s="5"/>
      <c r="AA21" s="5"/>
      <c r="AB21" s="5"/>
      <c r="AC21" s="5"/>
      <c r="AD21" s="5"/>
      <c r="AE21" s="5"/>
      <c r="AF21" s="5"/>
      <c r="AG21" s="5"/>
      <c r="AH21" s="5"/>
    </row>
    <row r="22" spans="2:34" ht="28.5" customHeight="1" x14ac:dyDescent="0.25">
      <c r="D22" s="3"/>
      <c r="E22"/>
      <c r="F22"/>
      <c r="H22"/>
      <c r="T22" s="5"/>
      <c r="V22"/>
      <c r="Z22" s="5"/>
      <c r="AA22" s="5"/>
      <c r="AB22" s="5"/>
      <c r="AC22" s="5"/>
      <c r="AD22" s="5"/>
      <c r="AE22" s="5"/>
      <c r="AF22" s="5"/>
      <c r="AG22" s="5"/>
      <c r="AH22" s="5"/>
    </row>
    <row r="23" spans="2:34" x14ac:dyDescent="0.25">
      <c r="C23" s="3"/>
      <c r="D23" s="3"/>
      <c r="E23"/>
      <c r="F23"/>
      <c r="H23"/>
      <c r="N23">
        <f>F5+F6</f>
        <v>840</v>
      </c>
      <c r="V23"/>
      <c r="Z23" s="5"/>
      <c r="AA23" s="5"/>
      <c r="AB23" s="5"/>
      <c r="AC23" s="5"/>
      <c r="AD23" s="5"/>
      <c r="AE23" s="5"/>
      <c r="AF23" s="5"/>
      <c r="AG23" s="5"/>
      <c r="AH23" s="5"/>
    </row>
    <row r="24" spans="2:34" x14ac:dyDescent="0.25">
      <c r="D24" s="3"/>
      <c r="E24"/>
      <c r="F24"/>
      <c r="H24"/>
      <c r="V24"/>
      <c r="Z24" s="5"/>
      <c r="AA24" s="5"/>
      <c r="AB24" s="5"/>
      <c r="AC24" s="5"/>
      <c r="AD24" s="5"/>
      <c r="AE24" s="5"/>
      <c r="AF24" s="5"/>
      <c r="AG24" s="5"/>
      <c r="AH24" s="5"/>
    </row>
    <row r="25" spans="2:34" ht="15.75" customHeight="1" x14ac:dyDescent="0.25">
      <c r="D25" s="3"/>
      <c r="E25" t="s">
        <v>42</v>
      </c>
      <c r="F25"/>
      <c r="G25">
        <v>9475</v>
      </c>
      <c r="H25">
        <v>0.8</v>
      </c>
      <c r="I25" s="41">
        <f>H25*P15</f>
        <v>46060195.267966948</v>
      </c>
      <c r="V25"/>
    </row>
    <row r="26" spans="2:34" ht="15" customHeight="1" x14ac:dyDescent="0.25">
      <c r="D26" s="3"/>
      <c r="E26" t="s">
        <v>43</v>
      </c>
      <c r="F26"/>
      <c r="G26">
        <v>15768</v>
      </c>
      <c r="H26"/>
      <c r="V26"/>
    </row>
    <row r="27" spans="2:34" x14ac:dyDescent="0.25">
      <c r="D27" s="3"/>
      <c r="E27"/>
      <c r="F27"/>
      <c r="G27">
        <f>SUM(G25:G26)</f>
        <v>25243</v>
      </c>
      <c r="H27"/>
      <c r="V27"/>
    </row>
    <row r="28" spans="2:34" x14ac:dyDescent="0.25">
      <c r="D28" s="3"/>
      <c r="E28"/>
      <c r="F28"/>
      <c r="H28"/>
      <c r="V28"/>
    </row>
    <row r="29" spans="2:34" x14ac:dyDescent="0.25">
      <c r="D29" s="3"/>
      <c r="E29"/>
      <c r="F29"/>
      <c r="H29"/>
      <c r="V29"/>
    </row>
    <row r="30" spans="2:34" x14ac:dyDescent="0.25">
      <c r="D30" s="3"/>
      <c r="E30"/>
      <c r="F30"/>
      <c r="H30"/>
      <c r="V30"/>
    </row>
    <row r="31" spans="2:34" x14ac:dyDescent="0.25">
      <c r="D31" s="3"/>
      <c r="E31"/>
      <c r="F31"/>
      <c r="H31"/>
      <c r="V31"/>
    </row>
    <row r="32" spans="2:34" x14ac:dyDescent="0.25">
      <c r="L32">
        <v>516</v>
      </c>
    </row>
    <row r="33" spans="10:17" x14ac:dyDescent="0.25">
      <c r="J33">
        <f>11000*0.7</f>
        <v>7699.9999999999991</v>
      </c>
    </row>
    <row r="34" spans="10:17" x14ac:dyDescent="0.25">
      <c r="J34" s="3"/>
      <c r="K34" s="4"/>
      <c r="L34" s="4"/>
      <c r="P34" s="4"/>
      <c r="Q34" s="4"/>
    </row>
    <row r="37" spans="10:17" x14ac:dyDescent="0.25">
      <c r="K37" s="4"/>
      <c r="L37" s="4"/>
      <c r="P37" s="4"/>
      <c r="Q37" s="4"/>
    </row>
    <row r="42" spans="10:17" x14ac:dyDescent="0.25">
      <c r="K42" s="3"/>
    </row>
    <row r="43" spans="10:17" x14ac:dyDescent="0.25">
      <c r="Q43" s="3"/>
    </row>
  </sheetData>
  <mergeCells count="5">
    <mergeCell ref="B3:T3"/>
    <mergeCell ref="B16:T16"/>
    <mergeCell ref="B17:T17"/>
    <mergeCell ref="B18:T18"/>
    <mergeCell ref="B19:T1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F2:F15"/>
  <sheetViews>
    <sheetView workbookViewId="0">
      <selection activeCell="F11" sqref="F11:F12"/>
    </sheetView>
  </sheetViews>
  <sheetFormatPr defaultRowHeight="15" x14ac:dyDescent="0.25"/>
  <sheetData>
    <row r="2" spans="6:6" x14ac:dyDescent="0.25">
      <c r="F2">
        <v>546</v>
      </c>
    </row>
    <row r="3" spans="6:6" x14ac:dyDescent="0.25">
      <c r="F3">
        <v>90.72</v>
      </c>
    </row>
    <row r="4" spans="6:6" x14ac:dyDescent="0.25">
      <c r="F4">
        <v>279</v>
      </c>
    </row>
    <row r="5" spans="6:6" x14ac:dyDescent="0.25">
      <c r="F5">
        <v>302.39999999999998</v>
      </c>
    </row>
    <row r="6" spans="6:6" x14ac:dyDescent="0.25">
      <c r="F6">
        <v>14</v>
      </c>
    </row>
    <row r="7" spans="6:6" x14ac:dyDescent="0.25">
      <c r="F7">
        <v>28</v>
      </c>
    </row>
    <row r="8" spans="6:6" x14ac:dyDescent="0.25">
      <c r="F8">
        <v>24.75</v>
      </c>
    </row>
    <row r="9" spans="6:6" x14ac:dyDescent="0.25">
      <c r="F9">
        <v>1316</v>
      </c>
    </row>
    <row r="10" spans="6:6" x14ac:dyDescent="0.25">
      <c r="F10">
        <v>1316</v>
      </c>
    </row>
    <row r="11" spans="6:6" x14ac:dyDescent="0.25">
      <c r="F11">
        <v>190.74</v>
      </c>
    </row>
    <row r="12" spans="6:6" x14ac:dyDescent="0.25">
      <c r="F12">
        <v>1402.5</v>
      </c>
    </row>
    <row r="13" spans="6:6" x14ac:dyDescent="0.25">
      <c r="F13">
        <v>456</v>
      </c>
    </row>
    <row r="14" spans="6:6" x14ac:dyDescent="0.25">
      <c r="F14">
        <v>216.75</v>
      </c>
    </row>
    <row r="15" spans="6:6" x14ac:dyDescent="0.25">
      <c r="F15">
        <f>SUM(F2:F14)</f>
        <v>6182.86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6"/>
  <sheetViews>
    <sheetView workbookViewId="0">
      <selection activeCell="I11" sqref="I11"/>
    </sheetView>
  </sheetViews>
  <sheetFormatPr defaultRowHeight="15" x14ac:dyDescent="0.25"/>
  <cols>
    <col min="1" max="1" width="11" bestFit="1" customWidth="1"/>
    <col min="2" max="2" width="15.28515625" bestFit="1" customWidth="1"/>
    <col min="3" max="3" width="11.7109375" bestFit="1" customWidth="1"/>
    <col min="5" max="5" width="11" bestFit="1" customWidth="1"/>
    <col min="6" max="6" width="15.28515625" bestFit="1" customWidth="1"/>
    <col min="7" max="7" width="16.85546875" bestFit="1" customWidth="1"/>
    <col min="9" max="9" width="14.42578125" bestFit="1" customWidth="1"/>
  </cols>
  <sheetData>
    <row r="1" spans="1:12" ht="15.75" thickBot="1" x14ac:dyDescent="0.3">
      <c r="A1" s="76" t="s">
        <v>38</v>
      </c>
      <c r="B1" s="77"/>
      <c r="C1" s="78"/>
      <c r="E1" s="76" t="s">
        <v>37</v>
      </c>
      <c r="F1" s="77"/>
      <c r="G1" s="78"/>
    </row>
    <row r="2" spans="1:12" x14ac:dyDescent="0.25">
      <c r="A2" s="31" t="s">
        <v>26</v>
      </c>
      <c r="B2" s="36" t="s">
        <v>27</v>
      </c>
      <c r="C2" s="37" t="s">
        <v>28</v>
      </c>
      <c r="E2" s="31" t="s">
        <v>26</v>
      </c>
      <c r="F2" s="36" t="s">
        <v>27</v>
      </c>
      <c r="G2" s="37" t="s">
        <v>28</v>
      </c>
    </row>
    <row r="3" spans="1:12" ht="15.75" thickBot="1" x14ac:dyDescent="0.3">
      <c r="A3" s="34">
        <v>2427.77</v>
      </c>
      <c r="B3" s="38">
        <v>30000</v>
      </c>
      <c r="C3" s="35">
        <f>B3*A3</f>
        <v>72833100</v>
      </c>
      <c r="E3" s="34">
        <v>2427.77</v>
      </c>
      <c r="F3" s="38">
        <v>18000</v>
      </c>
      <c r="G3" s="35">
        <f>F3*E3</f>
        <v>43699860</v>
      </c>
    </row>
    <row r="4" spans="1:12" ht="15.75" thickBot="1" x14ac:dyDescent="0.3">
      <c r="A4">
        <v>4500</v>
      </c>
      <c r="B4">
        <v>280</v>
      </c>
      <c r="C4" s="35">
        <f>B4*A4</f>
        <v>1260000</v>
      </c>
      <c r="F4" t="s">
        <v>29</v>
      </c>
    </row>
    <row r="5" spans="1:12" ht="15.75" thickBot="1" x14ac:dyDescent="0.3"/>
    <row r="6" spans="1:12" x14ac:dyDescent="0.25">
      <c r="A6" s="31" t="s">
        <v>30</v>
      </c>
      <c r="B6" s="40">
        <v>375582130</v>
      </c>
      <c r="E6" s="31" t="s">
        <v>30</v>
      </c>
      <c r="F6" s="44">
        <f>L8</f>
        <v>79939520</v>
      </c>
      <c r="G6" s="5">
        <v>72833100</v>
      </c>
    </row>
    <row r="7" spans="1:12" x14ac:dyDescent="0.25">
      <c r="A7" s="32" t="s">
        <v>31</v>
      </c>
      <c r="B7" s="40">
        <v>196029270</v>
      </c>
      <c r="E7" s="32" t="s">
        <v>31</v>
      </c>
      <c r="F7" s="60">
        <v>51245916</v>
      </c>
      <c r="G7" s="5">
        <v>16294638</v>
      </c>
    </row>
    <row r="8" spans="1:12" x14ac:dyDescent="0.25">
      <c r="A8" s="32" t="s">
        <v>32</v>
      </c>
      <c r="B8" s="33"/>
      <c r="E8" s="32" t="s">
        <v>32</v>
      </c>
      <c r="F8" s="33">
        <v>2000000</v>
      </c>
      <c r="G8" s="5">
        <v>2000000</v>
      </c>
      <c r="L8">
        <f>9992.44*8000</f>
        <v>79939520</v>
      </c>
    </row>
    <row r="9" spans="1:12" x14ac:dyDescent="0.25">
      <c r="A9" s="32" t="s">
        <v>33</v>
      </c>
      <c r="B9" s="33">
        <f>SUM(B6:B8)</f>
        <v>571611400</v>
      </c>
      <c r="E9" s="32" t="s">
        <v>33</v>
      </c>
      <c r="F9" s="33">
        <f>SUM(F6:F8)</f>
        <v>133185436</v>
      </c>
      <c r="G9" s="5">
        <f>SUM(G6:G8)</f>
        <v>91127738</v>
      </c>
    </row>
    <row r="10" spans="1:12" x14ac:dyDescent="0.25">
      <c r="A10" s="32"/>
      <c r="B10" s="33">
        <f>ROUND(B9,-5)</f>
        <v>571600000</v>
      </c>
      <c r="E10" s="32" t="s">
        <v>34</v>
      </c>
      <c r="F10" s="33">
        <v>133100000</v>
      </c>
      <c r="G10" s="4">
        <v>91100000</v>
      </c>
      <c r="I10" s="30">
        <v>700000000</v>
      </c>
    </row>
    <row r="11" spans="1:12" x14ac:dyDescent="0.25">
      <c r="A11" s="32"/>
      <c r="B11" s="33">
        <f>0.85*B10</f>
        <v>485860000</v>
      </c>
      <c r="E11" s="32" t="s">
        <v>35</v>
      </c>
      <c r="F11" s="33">
        <f>0.85*F10</f>
        <v>113135000</v>
      </c>
      <c r="G11" s="43">
        <f>G10*0.85</f>
        <v>77435000</v>
      </c>
      <c r="I11" s="30">
        <v>48562</v>
      </c>
    </row>
    <row r="12" spans="1:12" ht="15.75" thickBot="1" x14ac:dyDescent="0.3">
      <c r="A12" s="34"/>
      <c r="B12" s="35">
        <f>0.75*B10</f>
        <v>428700000</v>
      </c>
      <c r="E12" s="34" t="s">
        <v>36</v>
      </c>
      <c r="F12" s="35">
        <f>0.75*F10</f>
        <v>99825000</v>
      </c>
      <c r="G12" s="43">
        <f>G10*0.75</f>
        <v>68325000</v>
      </c>
      <c r="I12">
        <v>14414.562830000001</v>
      </c>
    </row>
    <row r="15" spans="1:12" x14ac:dyDescent="0.25">
      <c r="B15">
        <v>0.8</v>
      </c>
    </row>
    <row r="16" spans="1:12" x14ac:dyDescent="0.25">
      <c r="B16" s="3">
        <f>B15*B7</f>
        <v>156823416</v>
      </c>
    </row>
  </sheetData>
  <mergeCells count="2">
    <mergeCell ref="E1:G1"/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Sheet3</vt:lpstr>
      <vt:lpstr>Site</vt:lpstr>
      <vt:lpstr>Sheet4</vt:lpstr>
      <vt:lpstr>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Babul</dc:creator>
  <cp:lastModifiedBy>Rajani Gupta</cp:lastModifiedBy>
  <dcterms:created xsi:type="dcterms:W3CDTF">2022-11-04T05:05:51Z</dcterms:created>
  <dcterms:modified xsi:type="dcterms:W3CDTF">2023-09-01T09:25:13Z</dcterms:modified>
</cp:coreProperties>
</file>