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32002475f2c66e0/Solar Quest Ashlyn Projects/Project workings/"/>
    </mc:Choice>
  </mc:AlternateContent>
  <xr:revisionPtr revIDLastSave="4" documentId="8_{43F393C8-0DB0-4096-BF7F-A0581F31E9F3}" xr6:coauthVersionLast="47" xr6:coauthVersionMax="47" xr10:uidLastSave="{AF47D082-5178-4A14-B72C-34AA5B3C863F}"/>
  <bookViews>
    <workbookView xWindow="-120" yWindow="-120" windowWidth="29040" windowHeight="15720" tabRatio="843" xr2:uid="{00000000-000D-0000-FFFF-FFFF00000000}"/>
  </bookViews>
  <sheets>
    <sheet name="Dashboard-Input&amp;Output" sheetId="27" r:id="rId1"/>
    <sheet name="Tech Summary" sheetId="28" r:id="rId2"/>
    <sheet name="Energy Assessment" sheetId="29" r:id="rId3"/>
    <sheet name="P&amp;L" sheetId="12" r:id="rId4"/>
    <sheet name="Working Capital" sheetId="4" state="hidden" r:id="rId5"/>
    <sheet name="IRR" sheetId="30" r:id="rId6"/>
    <sheet name="Depreciation" sheetId="25" r:id="rId7"/>
    <sheet name="WACC" sheetId="11" r:id="rId8"/>
    <sheet name="Reference information" sheetId="10" state="hidden" r:id="rId9"/>
    <sheet name="Debt" sheetId="20" r:id="rId10"/>
    <sheet name="Transmission chg" sheetId="32" r:id="rId11"/>
  </sheets>
  <definedNames>
    <definedName name="dl">#REF!</definedName>
    <definedName name="fpdate">#REF!</definedName>
    <definedName name="frequency">{"Annually";"Semi-Annually";"Quarterly";"Bi-Monthly";"Monthly"}</definedName>
    <definedName name="loan_amount">#REF!</definedName>
    <definedName name="months_per_period">INDEX({12,6,3,2,1},MATCH(#REF!,frequency,0))</definedName>
    <definedName name="nper">term*periods_per_year</definedName>
    <definedName name="payment">#REF!</definedName>
    <definedName name="periods_per_year">INDEX({1,2,4,6,12},MATCH(#REF!,frequency,0))</definedName>
    <definedName name="_xlnm.Print_Area" localSheetId="0">'Dashboard-Input&amp;Output'!$A$1:$Q$43</definedName>
    <definedName name="_xlnm.Print_Area" localSheetId="5">IRR!$A$1:$Z$38</definedName>
    <definedName name="_xlnm.Print_Area" localSheetId="3">'P&amp;L'!$A$1:$Z$43</definedName>
    <definedName name="_xlnm.Print_Titles" localSheetId="5">IRR!$A:$Z</definedName>
    <definedName name="_xlnm.Print_Titles" localSheetId="3">'P&amp;L'!$A:$Z</definedName>
    <definedName name="rate">#REF!</definedName>
    <definedName name="shr">#REF!</definedName>
    <definedName name="term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27" l="1"/>
  <c r="Z3" i="27"/>
  <c r="Q33" i="12" l="1"/>
  <c r="Q34" i="12"/>
  <c r="I20" i="27"/>
  <c r="B11" i="20"/>
  <c r="BI8" i="20"/>
  <c r="BJ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AN8" i="20"/>
  <c r="A39" i="12"/>
  <c r="F13" i="25"/>
  <c r="E13" i="25"/>
  <c r="D13" i="25"/>
  <c r="C13" i="25"/>
  <c r="B13" i="25"/>
  <c r="B13" i="30"/>
  <c r="B19" i="30"/>
  <c r="B9" i="12"/>
  <c r="C9" i="12" s="1"/>
  <c r="I43" i="27"/>
  <c r="B18" i="12"/>
  <c r="B17" i="30" s="1"/>
  <c r="Q37" i="27"/>
  <c r="B10" i="12"/>
  <c r="C10" i="12" s="1"/>
  <c r="C10" i="30" s="1"/>
  <c r="B19" i="12"/>
  <c r="B18" i="30" s="1"/>
  <c r="B11" i="12"/>
  <c r="B11" i="30" s="1"/>
  <c r="C11" i="12"/>
  <c r="C11" i="30" s="1"/>
  <c r="D11" i="12"/>
  <c r="D11" i="30" s="1"/>
  <c r="E11" i="12"/>
  <c r="E11" i="30" s="1"/>
  <c r="F11" i="12"/>
  <c r="F11" i="30" s="1"/>
  <c r="G11" i="12"/>
  <c r="G11" i="30" s="1"/>
  <c r="H11" i="12"/>
  <c r="H11" i="30" s="1"/>
  <c r="I11" i="12"/>
  <c r="I11" i="30" s="1"/>
  <c r="J11" i="12"/>
  <c r="J11" i="30" s="1"/>
  <c r="K11" i="12"/>
  <c r="K11" i="30" s="1"/>
  <c r="L11" i="12"/>
  <c r="L11" i="30" s="1"/>
  <c r="M11" i="12"/>
  <c r="M11" i="30" s="1"/>
  <c r="N11" i="12"/>
  <c r="N11" i="30" s="1"/>
  <c r="O11" i="12"/>
  <c r="O11" i="30" s="1"/>
  <c r="P11" i="12"/>
  <c r="P11" i="30" s="1"/>
  <c r="Q11" i="12"/>
  <c r="Q11" i="30" s="1"/>
  <c r="R11" i="12"/>
  <c r="R11" i="30" s="1"/>
  <c r="S11" i="12"/>
  <c r="S11" i="30" s="1"/>
  <c r="T11" i="12"/>
  <c r="T11" i="30" s="1"/>
  <c r="U11" i="12"/>
  <c r="U11" i="30" s="1"/>
  <c r="V11" i="12"/>
  <c r="V11" i="30" s="1"/>
  <c r="W11" i="12"/>
  <c r="W11" i="30" s="1"/>
  <c r="X11" i="12"/>
  <c r="X11" i="30" s="1"/>
  <c r="Y11" i="12"/>
  <c r="Y11" i="30" s="1"/>
  <c r="Z11" i="12"/>
  <c r="Z11" i="30" s="1"/>
  <c r="H12" i="32"/>
  <c r="G12" i="32"/>
  <c r="S11" i="32"/>
  <c r="G11" i="32"/>
  <c r="G10" i="32"/>
  <c r="G9" i="32"/>
  <c r="G8" i="32"/>
  <c r="G7" i="32"/>
  <c r="G6" i="32"/>
  <c r="S4" i="32"/>
  <c r="G5" i="32"/>
  <c r="G4" i="32"/>
  <c r="E13" i="27"/>
  <c r="S3" i="32"/>
  <c r="C4" i="32"/>
  <c r="C5" i="32"/>
  <c r="S9" i="32"/>
  <c r="S7" i="32"/>
  <c r="S8" i="32"/>
  <c r="S10" i="32"/>
  <c r="C7" i="32"/>
  <c r="S6" i="32"/>
  <c r="S2" i="32"/>
  <c r="K1" i="30"/>
  <c r="I3" i="20"/>
  <c r="M4" i="11"/>
  <c r="O1" i="12"/>
  <c r="F4" i="29"/>
  <c r="F4" i="28"/>
  <c r="B4" i="28"/>
  <c r="G2" i="27"/>
  <c r="F2" i="10"/>
  <c r="F3" i="10"/>
  <c r="F4" i="10"/>
  <c r="F5" i="10"/>
  <c r="F6" i="10"/>
  <c r="F7" i="10"/>
  <c r="F8" i="10"/>
  <c r="F9" i="10"/>
  <c r="C9" i="11"/>
  <c r="C10" i="11"/>
  <c r="C12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N15" i="11"/>
  <c r="O15" i="11"/>
  <c r="P15" i="11"/>
  <c r="R15" i="11"/>
  <c r="S15" i="11"/>
  <c r="T15" i="11"/>
  <c r="V15" i="11"/>
  <c r="W15" i="11"/>
  <c r="X15" i="11"/>
  <c r="Z15" i="11"/>
  <c r="AA15" i="11"/>
  <c r="C29" i="30"/>
  <c r="D29" i="30"/>
  <c r="B15" i="4"/>
  <c r="B16" i="4"/>
  <c r="C15" i="4"/>
  <c r="D15" i="4"/>
  <c r="E15" i="4"/>
  <c r="F15" i="4"/>
  <c r="G15" i="4"/>
  <c r="G16" i="4"/>
  <c r="E16" i="4"/>
  <c r="F16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C24" i="4"/>
  <c r="C35" i="4"/>
  <c r="D24" i="4"/>
  <c r="D35" i="4"/>
  <c r="E24" i="4"/>
  <c r="E35" i="4"/>
  <c r="F24" i="4"/>
  <c r="F35" i="4"/>
  <c r="G24" i="4"/>
  <c r="G35" i="4"/>
  <c r="H24" i="4"/>
  <c r="I24" i="4"/>
  <c r="J24" i="4"/>
  <c r="J35" i="4"/>
  <c r="K24" i="4"/>
  <c r="K35" i="4"/>
  <c r="L24" i="4"/>
  <c r="M24" i="4"/>
  <c r="N24" i="4"/>
  <c r="N35" i="4"/>
  <c r="O24" i="4"/>
  <c r="O35" i="4"/>
  <c r="P24" i="4"/>
  <c r="Q24" i="4"/>
  <c r="R24" i="4"/>
  <c r="R35" i="4"/>
  <c r="S24" i="4"/>
  <c r="S35" i="4"/>
  <c r="T24" i="4"/>
  <c r="T35" i="4"/>
  <c r="U24" i="4"/>
  <c r="U35" i="4"/>
  <c r="V24" i="4"/>
  <c r="V35" i="4"/>
  <c r="B35" i="4"/>
  <c r="H35" i="4"/>
  <c r="I35" i="4"/>
  <c r="L35" i="4"/>
  <c r="M35" i="4"/>
  <c r="P35" i="4"/>
  <c r="Q35" i="4"/>
  <c r="B17" i="12"/>
  <c r="B16" i="30" s="1"/>
  <c r="C8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Z8" i="25"/>
  <c r="E11" i="29"/>
  <c r="E12" i="29"/>
  <c r="E13" i="29"/>
  <c r="E14" i="29"/>
  <c r="E15" i="29"/>
  <c r="E16" i="29"/>
  <c r="E17" i="29"/>
  <c r="E18" i="29"/>
  <c r="E19" i="29"/>
  <c r="E20" i="29"/>
  <c r="E21" i="29"/>
  <c r="E22" i="29"/>
  <c r="C23" i="29"/>
  <c r="C19" i="28"/>
  <c r="C33" i="28"/>
  <c r="D23" i="29"/>
  <c r="C20" i="28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C11" i="28"/>
  <c r="C13" i="28" s="1"/>
  <c r="H28" i="28"/>
  <c r="C17" i="28" s="1"/>
  <c r="B2" i="27"/>
  <c r="B4" i="11" s="1"/>
  <c r="C30" i="27"/>
  <c r="C16" i="4"/>
  <c r="E23" i="29"/>
  <c r="C21" i="28"/>
  <c r="D16" i="4"/>
  <c r="C32" i="30"/>
  <c r="B32" i="30"/>
  <c r="E29" i="30"/>
  <c r="D32" i="30"/>
  <c r="F29" i="30"/>
  <c r="E32" i="30"/>
  <c r="G29" i="30"/>
  <c r="F32" i="30"/>
  <c r="H29" i="30"/>
  <c r="G32" i="30"/>
  <c r="I29" i="30"/>
  <c r="H32" i="30"/>
  <c r="I32" i="30"/>
  <c r="J29" i="30"/>
  <c r="K29" i="30"/>
  <c r="J32" i="30"/>
  <c r="L29" i="30"/>
  <c r="K32" i="30"/>
  <c r="M29" i="30"/>
  <c r="L32" i="30"/>
  <c r="N29" i="30"/>
  <c r="M32" i="30"/>
  <c r="O29" i="30"/>
  <c r="N32" i="30"/>
  <c r="O32" i="30"/>
  <c r="P29" i="30"/>
  <c r="Q29" i="30"/>
  <c r="P32" i="30"/>
  <c r="Q32" i="30"/>
  <c r="R29" i="30"/>
  <c r="S29" i="30"/>
  <c r="R32" i="30"/>
  <c r="S32" i="30"/>
  <c r="T29" i="30"/>
  <c r="U29" i="30"/>
  <c r="T32" i="30"/>
  <c r="V29" i="30"/>
  <c r="U32" i="30"/>
  <c r="W29" i="30"/>
  <c r="V32" i="30"/>
  <c r="W32" i="30"/>
  <c r="X29" i="30"/>
  <c r="Y29" i="30"/>
  <c r="X32" i="30"/>
  <c r="Y32" i="30"/>
  <c r="Z29" i="30"/>
  <c r="AA29" i="30"/>
  <c r="AA32" i="30"/>
  <c r="Z32" i="30"/>
  <c r="P35" i="27"/>
  <c r="P26" i="27"/>
  <c r="P27" i="27"/>
  <c r="P28" i="27"/>
  <c r="P29" i="27"/>
  <c r="P33" i="27"/>
  <c r="P34" i="27"/>
  <c r="P30" i="27"/>
  <c r="P32" i="27"/>
  <c r="P31" i="27"/>
  <c r="C15" i="20"/>
  <c r="D15" i="20"/>
  <c r="E15" i="20"/>
  <c r="F15" i="20"/>
  <c r="B10" i="30" l="1"/>
  <c r="C25" i="28"/>
  <c r="D10" i="12"/>
  <c r="A4" i="25"/>
  <c r="A3" i="20"/>
  <c r="B1" i="30"/>
  <c r="B4" i="29"/>
  <c r="B1" i="12"/>
  <c r="F21" i="29"/>
  <c r="G21" i="29" s="1"/>
  <c r="F11" i="29"/>
  <c r="G11" i="29" s="1"/>
  <c r="F15" i="29"/>
  <c r="G15" i="29" s="1"/>
  <c r="F22" i="29"/>
  <c r="G22" i="29" s="1"/>
  <c r="F19" i="29"/>
  <c r="G19" i="29" s="1"/>
  <c r="F13" i="29"/>
  <c r="G13" i="29" s="1"/>
  <c r="C15" i="28"/>
  <c r="F18" i="29"/>
  <c r="G18" i="29" s="1"/>
  <c r="F12" i="29"/>
  <c r="G12" i="29" s="1"/>
  <c r="F20" i="29"/>
  <c r="G20" i="29" s="1"/>
  <c r="F17" i="29"/>
  <c r="G17" i="29" s="1"/>
  <c r="F14" i="29"/>
  <c r="G14" i="29" s="1"/>
  <c r="F16" i="29"/>
  <c r="G16" i="29" s="1"/>
  <c r="B9" i="30"/>
  <c r="D9" i="12"/>
  <c r="C9" i="30"/>
  <c r="F20" i="20"/>
  <c r="B33" i="12" s="1"/>
  <c r="E10" i="12" l="1"/>
  <c r="D10" i="30"/>
  <c r="F23" i="29"/>
  <c r="G23" i="29"/>
  <c r="C30" i="28" s="1"/>
  <c r="C29" i="28" s="1"/>
  <c r="I30" i="28" s="1"/>
  <c r="D9" i="30"/>
  <c r="E9" i="12"/>
  <c r="I19" i="27" l="1"/>
  <c r="I21" i="27"/>
  <c r="F10" i="12"/>
  <c r="E10" i="30"/>
  <c r="C32" i="28"/>
  <c r="C28" i="29" s="1"/>
  <c r="C29" i="29" s="1"/>
  <c r="E28" i="29"/>
  <c r="C31" i="28"/>
  <c r="E9" i="30"/>
  <c r="F9" i="12"/>
  <c r="I22" i="27" l="1"/>
  <c r="B10" i="25"/>
  <c r="B11" i="25" s="1"/>
  <c r="F10" i="30"/>
  <c r="G10" i="12"/>
  <c r="C47" i="29"/>
  <c r="C33" i="29"/>
  <c r="C34" i="29"/>
  <c r="C35" i="29"/>
  <c r="C51" i="29"/>
  <c r="C38" i="29"/>
  <c r="C31" i="29"/>
  <c r="C41" i="29"/>
  <c r="C40" i="29"/>
  <c r="C49" i="29"/>
  <c r="C36" i="29"/>
  <c r="C39" i="29"/>
  <c r="C42" i="29"/>
  <c r="C37" i="29"/>
  <c r="C52" i="29"/>
  <c r="C45" i="29"/>
  <c r="C43" i="29"/>
  <c r="C32" i="29"/>
  <c r="C44" i="29"/>
  <c r="C48" i="29"/>
  <c r="C46" i="29"/>
  <c r="C30" i="29"/>
  <c r="C50" i="29"/>
  <c r="E29" i="29"/>
  <c r="E11" i="27"/>
  <c r="B7" i="12"/>
  <c r="F9" i="30"/>
  <c r="G9" i="12"/>
  <c r="F19" i="25" l="1"/>
  <c r="L19" i="25"/>
  <c r="U19" i="25"/>
  <c r="J19" i="25"/>
  <c r="P19" i="25"/>
  <c r="V19" i="25"/>
  <c r="R19" i="25"/>
  <c r="B14" i="25"/>
  <c r="B15" i="25" s="1"/>
  <c r="C14" i="25" s="1"/>
  <c r="C15" i="25" s="1"/>
  <c r="D14" i="25" s="1"/>
  <c r="D15" i="25" s="1"/>
  <c r="E14" i="25" s="1"/>
  <c r="E15" i="25" s="1"/>
  <c r="D19" i="25"/>
  <c r="S19" i="25"/>
  <c r="X19" i="25"/>
  <c r="I19" i="25"/>
  <c r="N19" i="25"/>
  <c r="B19" i="25"/>
  <c r="B26" i="12" s="1"/>
  <c r="B23" i="30" s="1"/>
  <c r="C19" i="25"/>
  <c r="W19" i="25"/>
  <c r="G19" i="25"/>
  <c r="M19" i="25"/>
  <c r="Z19" i="25"/>
  <c r="O19" i="25"/>
  <c r="H19" i="25"/>
  <c r="Y19" i="25"/>
  <c r="Q19" i="25"/>
  <c r="T19" i="25"/>
  <c r="E19" i="25"/>
  <c r="K19" i="25"/>
  <c r="E30" i="27"/>
  <c r="E29" i="27"/>
  <c r="B30" i="30"/>
  <c r="B33" i="30" s="1"/>
  <c r="G10" i="30"/>
  <c r="H10" i="12"/>
  <c r="B7" i="30"/>
  <c r="B12" i="12"/>
  <c r="E30" i="29"/>
  <c r="C7" i="12"/>
  <c r="H9" i="12"/>
  <c r="G9" i="30"/>
  <c r="B20" i="25" l="1"/>
  <c r="C20" i="25" s="1"/>
  <c r="C15" i="11"/>
  <c r="B10" i="20"/>
  <c r="C16" i="11"/>
  <c r="B36" i="30"/>
  <c r="B39" i="30" s="1"/>
  <c r="H10" i="30"/>
  <c r="I10" i="12"/>
  <c r="C7" i="30"/>
  <c r="C12" i="12"/>
  <c r="D7" i="12"/>
  <c r="E31" i="29"/>
  <c r="B12" i="30"/>
  <c r="B14" i="30" s="1"/>
  <c r="B15" i="12"/>
  <c r="I9" i="12"/>
  <c r="H9" i="30"/>
  <c r="F14" i="25"/>
  <c r="F15" i="25" s="1"/>
  <c r="BE15" i="20" l="1"/>
  <c r="AO15" i="20"/>
  <c r="Y15" i="20"/>
  <c r="I15" i="20"/>
  <c r="BD15" i="20"/>
  <c r="AN15" i="20"/>
  <c r="X15" i="20"/>
  <c r="H15" i="20"/>
  <c r="BC15" i="20"/>
  <c r="AM15" i="20"/>
  <c r="W15" i="20"/>
  <c r="G15" i="20"/>
  <c r="BB15" i="20"/>
  <c r="AL15" i="20"/>
  <c r="V15" i="20"/>
  <c r="BA15" i="20"/>
  <c r="AK15" i="20"/>
  <c r="U15" i="20"/>
  <c r="AZ15" i="20"/>
  <c r="AJ15" i="20"/>
  <c r="T15" i="20"/>
  <c r="AY15" i="20"/>
  <c r="AI15" i="20"/>
  <c r="S15" i="20"/>
  <c r="AX15" i="20"/>
  <c r="AH15" i="20"/>
  <c r="R15" i="20"/>
  <c r="AW15" i="20"/>
  <c r="AG15" i="20"/>
  <c r="Q15" i="20"/>
  <c r="AV15" i="20"/>
  <c r="AF15" i="20"/>
  <c r="P15" i="20"/>
  <c r="AU15" i="20"/>
  <c r="AE15" i="20"/>
  <c r="O15" i="20"/>
  <c r="M15" i="20"/>
  <c r="BH15" i="20"/>
  <c r="AB15" i="20"/>
  <c r="BG15" i="20"/>
  <c r="AA15" i="20"/>
  <c r="AP15" i="20"/>
  <c r="Z15" i="20"/>
  <c r="AT15" i="20"/>
  <c r="AD15" i="20"/>
  <c r="N15" i="20"/>
  <c r="BI15" i="20"/>
  <c r="AS15" i="20"/>
  <c r="AC15" i="20"/>
  <c r="AR15" i="20"/>
  <c r="L15" i="20"/>
  <c r="AQ15" i="20"/>
  <c r="K15" i="20"/>
  <c r="BF15" i="20"/>
  <c r="J15" i="20"/>
  <c r="B21" i="25"/>
  <c r="B21" i="12" s="1"/>
  <c r="B20" i="30" s="1"/>
  <c r="B21" i="30" s="1"/>
  <c r="B22" i="30" s="1"/>
  <c r="B24" i="30" s="1"/>
  <c r="B25" i="30" s="1"/>
  <c r="B27" i="30" s="1"/>
  <c r="C30" i="30" s="1"/>
  <c r="C33" i="30" s="1"/>
  <c r="D20" i="25"/>
  <c r="C21" i="25"/>
  <c r="F22" i="20"/>
  <c r="D15" i="11" s="1"/>
  <c r="B12" i="20"/>
  <c r="C16" i="20"/>
  <c r="C17" i="20"/>
  <c r="C18" i="11"/>
  <c r="C38" i="30" s="1"/>
  <c r="J10" i="12"/>
  <c r="I10" i="30"/>
  <c r="E32" i="29"/>
  <c r="E7" i="12"/>
  <c r="D7" i="30"/>
  <c r="D12" i="12"/>
  <c r="D12" i="30" s="1"/>
  <c r="C12" i="30"/>
  <c r="I9" i="30"/>
  <c r="J9" i="12"/>
  <c r="B22" i="12" l="1"/>
  <c r="B23" i="12" s="1"/>
  <c r="B32" i="12" s="1"/>
  <c r="D16" i="11"/>
  <c r="D18" i="11" s="1"/>
  <c r="D38" i="30" s="1"/>
  <c r="E20" i="25"/>
  <c r="D21" i="25"/>
  <c r="D17" i="20"/>
  <c r="D16" i="20"/>
  <c r="J10" i="30"/>
  <c r="K10" i="12"/>
  <c r="E7" i="30"/>
  <c r="E12" i="12"/>
  <c r="E12" i="30" s="1"/>
  <c r="F7" i="12"/>
  <c r="E33" i="29"/>
  <c r="J9" i="30"/>
  <c r="K9" i="12"/>
  <c r="E16" i="20" l="1"/>
  <c r="E17" i="20"/>
  <c r="E21" i="25"/>
  <c r="F20" i="25"/>
  <c r="K10" i="30"/>
  <c r="L10" i="12"/>
  <c r="G7" i="12"/>
  <c r="E34" i="29"/>
  <c r="F12" i="12"/>
  <c r="F12" i="30" s="1"/>
  <c r="F7" i="30"/>
  <c r="K9" i="30"/>
  <c r="L9" i="12"/>
  <c r="G20" i="25" l="1"/>
  <c r="F21" i="25"/>
  <c r="F16" i="20"/>
  <c r="F17" i="20"/>
  <c r="F21" i="20" s="1"/>
  <c r="B24" i="12" s="1"/>
  <c r="L10" i="30"/>
  <c r="M10" i="12"/>
  <c r="H7" i="12"/>
  <c r="E35" i="29"/>
  <c r="G12" i="12"/>
  <c r="G12" i="30" s="1"/>
  <c r="G7" i="30"/>
  <c r="M9" i="12"/>
  <c r="L9" i="30"/>
  <c r="B42" i="12" l="1"/>
  <c r="B25" i="12"/>
  <c r="B27" i="12" s="1"/>
  <c r="B28" i="12" s="1"/>
  <c r="B30" i="12" s="1"/>
  <c r="B34" i="12"/>
  <c r="G16" i="20"/>
  <c r="G17" i="20"/>
  <c r="G21" i="25"/>
  <c r="H20" i="25"/>
  <c r="N10" i="12"/>
  <c r="M10" i="30"/>
  <c r="I7" i="12"/>
  <c r="E36" i="29"/>
  <c r="H7" i="30"/>
  <c r="H12" i="12"/>
  <c r="H12" i="30" s="1"/>
  <c r="M9" i="30"/>
  <c r="N9" i="12"/>
  <c r="H16" i="20" l="1"/>
  <c r="H17" i="20"/>
  <c r="H21" i="25"/>
  <c r="I20" i="25"/>
  <c r="B35" i="12"/>
  <c r="B43" i="12"/>
  <c r="P11" i="27" s="1"/>
  <c r="N10" i="30"/>
  <c r="O10" i="12"/>
  <c r="J7" i="12"/>
  <c r="E37" i="29"/>
  <c r="I12" i="12"/>
  <c r="I12" i="30" s="1"/>
  <c r="I7" i="30"/>
  <c r="N9" i="30"/>
  <c r="O9" i="12"/>
  <c r="I21" i="25" l="1"/>
  <c r="J20" i="25"/>
  <c r="B36" i="12"/>
  <c r="C36" i="30"/>
  <c r="C39" i="30" s="1"/>
  <c r="I17" i="20"/>
  <c r="I16" i="20"/>
  <c r="O10" i="30"/>
  <c r="P10" i="12"/>
  <c r="K7" i="12"/>
  <c r="E38" i="29"/>
  <c r="J7" i="30"/>
  <c r="J12" i="12"/>
  <c r="J12" i="30" s="1"/>
  <c r="O9" i="30"/>
  <c r="P9" i="12"/>
  <c r="C14" i="12" l="1"/>
  <c r="D14" i="12" s="1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O14" i="12" s="1"/>
  <c r="P14" i="12" s="1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J16" i="20"/>
  <c r="J17" i="20"/>
  <c r="J21" i="20" s="1"/>
  <c r="C24" i="12" s="1"/>
  <c r="C34" i="12" s="1"/>
  <c r="J21" i="25"/>
  <c r="K20" i="25"/>
  <c r="J20" i="20"/>
  <c r="J22" i="20" s="1"/>
  <c r="P10" i="30"/>
  <c r="Q10" i="12"/>
  <c r="L7" i="12"/>
  <c r="E39" i="29"/>
  <c r="K7" i="30"/>
  <c r="K12" i="12"/>
  <c r="K12" i="30" s="1"/>
  <c r="P9" i="30"/>
  <c r="Q9" i="12"/>
  <c r="C13" i="30" l="1"/>
  <c r="C14" i="30" s="1"/>
  <c r="C15" i="12"/>
  <c r="C21" i="12"/>
  <c r="C20" i="30" s="1"/>
  <c r="C26" i="12"/>
  <c r="C23" i="30" s="1"/>
  <c r="C18" i="12"/>
  <c r="C17" i="30" s="1"/>
  <c r="C20" i="12"/>
  <c r="C19" i="30" s="1"/>
  <c r="C19" i="12"/>
  <c r="C18" i="30" s="1"/>
  <c r="C17" i="12"/>
  <c r="C33" i="12"/>
  <c r="C42" i="12" s="1"/>
  <c r="K21" i="25"/>
  <c r="L20" i="25"/>
  <c r="K17" i="20"/>
  <c r="K16" i="20"/>
  <c r="R10" i="12"/>
  <c r="Q10" i="30"/>
  <c r="E40" i="29"/>
  <c r="M7" i="12"/>
  <c r="L12" i="12"/>
  <c r="L12" i="30" s="1"/>
  <c r="L7" i="30"/>
  <c r="R9" i="12"/>
  <c r="Q9" i="30"/>
  <c r="E15" i="11"/>
  <c r="C22" i="12" l="1"/>
  <c r="C23" i="12" s="1"/>
  <c r="C16" i="30"/>
  <c r="C21" i="30" s="1"/>
  <c r="C22" i="30" s="1"/>
  <c r="C24" i="30" s="1"/>
  <c r="C25" i="30" s="1"/>
  <c r="C27" i="30" s="1"/>
  <c r="L16" i="20"/>
  <c r="L17" i="20"/>
  <c r="L21" i="25"/>
  <c r="M20" i="25"/>
  <c r="R10" i="30"/>
  <c r="S10" i="12"/>
  <c r="M12" i="12"/>
  <c r="M12" i="30" s="1"/>
  <c r="M7" i="30"/>
  <c r="N7" i="12"/>
  <c r="E41" i="29"/>
  <c r="R9" i="30"/>
  <c r="S9" i="12"/>
  <c r="E16" i="11" l="1"/>
  <c r="E18" i="11" s="1"/>
  <c r="E38" i="30" s="1"/>
  <c r="D30" i="30"/>
  <c r="D33" i="30" s="1"/>
  <c r="C32" i="12"/>
  <c r="C25" i="12"/>
  <c r="C27" i="12" s="1"/>
  <c r="C28" i="12" s="1"/>
  <c r="C30" i="12" s="1"/>
  <c r="M21" i="25"/>
  <c r="N20" i="25"/>
  <c r="M17" i="20"/>
  <c r="M16" i="20"/>
  <c r="S10" i="30"/>
  <c r="T10" i="12"/>
  <c r="N7" i="30"/>
  <c r="N12" i="12"/>
  <c r="N12" i="30" s="1"/>
  <c r="O7" i="12"/>
  <c r="E42" i="29"/>
  <c r="S9" i="30"/>
  <c r="T9" i="12"/>
  <c r="C43" i="12" l="1"/>
  <c r="P12" i="27" s="1"/>
  <c r="C35" i="12"/>
  <c r="N17" i="20"/>
  <c r="N21" i="20" s="1"/>
  <c r="D24" i="12" s="1"/>
  <c r="D34" i="12" s="1"/>
  <c r="N20" i="20"/>
  <c r="O20" i="25"/>
  <c r="N21" i="25"/>
  <c r="T10" i="30"/>
  <c r="U10" i="12"/>
  <c r="E43" i="29"/>
  <c r="P7" i="12"/>
  <c r="O12" i="12"/>
  <c r="O12" i="30" s="1"/>
  <c r="O7" i="30"/>
  <c r="T9" i="30"/>
  <c r="U9" i="12"/>
  <c r="D36" i="30" l="1"/>
  <c r="D39" i="30" s="1"/>
  <c r="C36" i="12"/>
  <c r="O21" i="25"/>
  <c r="P20" i="25"/>
  <c r="N22" i="20"/>
  <c r="F15" i="11" s="1"/>
  <c r="D33" i="12"/>
  <c r="D42" i="12" s="1"/>
  <c r="N16" i="20"/>
  <c r="V10" i="12"/>
  <c r="U10" i="30"/>
  <c r="P7" i="30"/>
  <c r="P12" i="12"/>
  <c r="P12" i="30" s="1"/>
  <c r="E44" i="29"/>
  <c r="Q7" i="12"/>
  <c r="V9" i="12"/>
  <c r="U9" i="30"/>
  <c r="D15" i="12" l="1"/>
  <c r="D13" i="30"/>
  <c r="D14" i="30" s="1"/>
  <c r="O17" i="20"/>
  <c r="O16" i="20"/>
  <c r="P21" i="25"/>
  <c r="Q20" i="25"/>
  <c r="W10" i="12"/>
  <c r="V10" i="30"/>
  <c r="Q7" i="30"/>
  <c r="Q12" i="12"/>
  <c r="Q12" i="30" s="1"/>
  <c r="E45" i="29"/>
  <c r="R7" i="12"/>
  <c r="V9" i="30"/>
  <c r="W9" i="12"/>
  <c r="D17" i="12" l="1"/>
  <c r="D18" i="12"/>
  <c r="D17" i="30" s="1"/>
  <c r="D19" i="12"/>
  <c r="D18" i="30" s="1"/>
  <c r="D26" i="12"/>
  <c r="D23" i="30" s="1"/>
  <c r="D20" i="12"/>
  <c r="D19" i="30" s="1"/>
  <c r="D21" i="12"/>
  <c r="D20" i="30" s="1"/>
  <c r="Q21" i="25"/>
  <c r="R20" i="25"/>
  <c r="P17" i="20"/>
  <c r="P16" i="20"/>
  <c r="X10" i="12"/>
  <c r="W10" i="30"/>
  <c r="R7" i="30"/>
  <c r="R12" i="12"/>
  <c r="R12" i="30" s="1"/>
  <c r="E46" i="29"/>
  <c r="S7" i="12"/>
  <c r="X9" i="12"/>
  <c r="W9" i="30"/>
  <c r="D22" i="12" l="1"/>
  <c r="D23" i="12" s="1"/>
  <c r="D16" i="30"/>
  <c r="D21" i="30" s="1"/>
  <c r="D22" i="30" s="1"/>
  <c r="D24" i="30" s="1"/>
  <c r="D25" i="30" s="1"/>
  <c r="D27" i="30" s="1"/>
  <c r="Q17" i="20"/>
  <c r="Q16" i="20"/>
  <c r="R21" i="25"/>
  <c r="S20" i="25"/>
  <c r="X10" i="30"/>
  <c r="Y10" i="12"/>
  <c r="S12" i="12"/>
  <c r="S12" i="30" s="1"/>
  <c r="S7" i="30"/>
  <c r="E47" i="29"/>
  <c r="T7" i="12"/>
  <c r="X9" i="30"/>
  <c r="Y9" i="12"/>
  <c r="E30" i="30" l="1"/>
  <c r="E33" i="30" s="1"/>
  <c r="F16" i="11"/>
  <c r="F18" i="11" s="1"/>
  <c r="F38" i="30" s="1"/>
  <c r="D32" i="12"/>
  <c r="D25" i="12"/>
  <c r="D27" i="12" s="1"/>
  <c r="D28" i="12" s="1"/>
  <c r="D30" i="12" s="1"/>
  <c r="T20" i="25"/>
  <c r="S21" i="25"/>
  <c r="R17" i="20"/>
  <c r="R21" i="20" s="1"/>
  <c r="E24" i="12" s="1"/>
  <c r="E34" i="12" s="1"/>
  <c r="Y10" i="30"/>
  <c r="Z10" i="12"/>
  <c r="Z10" i="30" s="1"/>
  <c r="E48" i="29"/>
  <c r="U7" i="12"/>
  <c r="T12" i="12"/>
  <c r="T12" i="30" s="1"/>
  <c r="T7" i="30"/>
  <c r="Y9" i="30"/>
  <c r="Z9" i="12"/>
  <c r="Z9" i="30" s="1"/>
  <c r="D43" i="12" l="1"/>
  <c r="P13" i="27" s="1"/>
  <c r="D35" i="12"/>
  <c r="R16" i="20"/>
  <c r="R20" i="20"/>
  <c r="T21" i="25"/>
  <c r="U20" i="25"/>
  <c r="U7" i="30"/>
  <c r="U12" i="12"/>
  <c r="U12" i="30" s="1"/>
  <c r="E49" i="29"/>
  <c r="V7" i="12"/>
  <c r="D36" i="12" l="1"/>
  <c r="E36" i="30"/>
  <c r="E39" i="30" s="1"/>
  <c r="V20" i="25"/>
  <c r="U21" i="25"/>
  <c r="E33" i="12"/>
  <c r="E42" i="12" s="1"/>
  <c r="R22" i="20"/>
  <c r="G15" i="11" s="1"/>
  <c r="S17" i="20"/>
  <c r="S16" i="20"/>
  <c r="V12" i="12"/>
  <c r="V12" i="30" s="1"/>
  <c r="V7" i="30"/>
  <c r="W7" i="12"/>
  <c r="E50" i="29"/>
  <c r="E15" i="12" l="1"/>
  <c r="E13" i="30"/>
  <c r="E14" i="30" s="1"/>
  <c r="T16" i="20"/>
  <c r="T17" i="20"/>
  <c r="W20" i="25"/>
  <c r="V21" i="25"/>
  <c r="E51" i="29"/>
  <c r="X7" i="12"/>
  <c r="W12" i="12"/>
  <c r="W12" i="30" s="1"/>
  <c r="W7" i="30"/>
  <c r="E19" i="12" l="1"/>
  <c r="E18" i="30" s="1"/>
  <c r="E21" i="12"/>
  <c r="E20" i="30" s="1"/>
  <c r="E18" i="12"/>
  <c r="E17" i="30" s="1"/>
  <c r="E20" i="12"/>
  <c r="E19" i="30" s="1"/>
  <c r="E26" i="12"/>
  <c r="E23" i="30" s="1"/>
  <c r="E17" i="12"/>
  <c r="X20" i="25"/>
  <c r="W21" i="25"/>
  <c r="U17" i="20"/>
  <c r="U16" i="20"/>
  <c r="X12" i="12"/>
  <c r="X12" i="30" s="1"/>
  <c r="X7" i="30"/>
  <c r="E52" i="29"/>
  <c r="Z7" i="12" s="1"/>
  <c r="Y7" i="12"/>
  <c r="E16" i="30" l="1"/>
  <c r="E21" i="30" s="1"/>
  <c r="E22" i="30" s="1"/>
  <c r="E24" i="30" s="1"/>
  <c r="E25" i="30" s="1"/>
  <c r="E27" i="30" s="1"/>
  <c r="E22" i="12"/>
  <c r="E23" i="12" s="1"/>
  <c r="V20" i="20"/>
  <c r="V17" i="20"/>
  <c r="V21" i="20" s="1"/>
  <c r="F24" i="12" s="1"/>
  <c r="F34" i="12" s="1"/>
  <c r="V16" i="20"/>
  <c r="Y20" i="25"/>
  <c r="X21" i="25"/>
  <c r="Y12" i="12"/>
  <c r="Y12" i="30" s="1"/>
  <c r="Y7" i="30"/>
  <c r="Z7" i="30"/>
  <c r="Z12" i="12"/>
  <c r="Z12" i="30" s="1"/>
  <c r="E32" i="12" l="1"/>
  <c r="E25" i="12"/>
  <c r="E27" i="12" s="1"/>
  <c r="E28" i="12" s="1"/>
  <c r="E30" i="12" s="1"/>
  <c r="F30" i="30"/>
  <c r="F33" i="30" s="1"/>
  <c r="G16" i="11"/>
  <c r="G18" i="11" s="1"/>
  <c r="G38" i="30" s="1"/>
  <c r="Y21" i="25"/>
  <c r="Z20" i="25"/>
  <c r="Z21" i="25" s="1"/>
  <c r="W17" i="20"/>
  <c r="W16" i="20"/>
  <c r="V22" i="20"/>
  <c r="H15" i="11" s="1"/>
  <c r="F33" i="12"/>
  <c r="F42" i="12" s="1"/>
  <c r="E35" i="12" l="1"/>
  <c r="E43" i="12"/>
  <c r="P14" i="27" s="1"/>
  <c r="X16" i="20"/>
  <c r="X17" i="20"/>
  <c r="F36" i="30" l="1"/>
  <c r="F39" i="30" s="1"/>
  <c r="E36" i="12"/>
  <c r="Y17" i="20"/>
  <c r="F13" i="30" l="1"/>
  <c r="F14" i="30" s="1"/>
  <c r="F15" i="12"/>
  <c r="Y16" i="20"/>
  <c r="F26" i="12" l="1"/>
  <c r="F23" i="30" s="1"/>
  <c r="F20" i="12"/>
  <c r="F19" i="30" s="1"/>
  <c r="F18" i="12"/>
  <c r="F17" i="30" s="1"/>
  <c r="F17" i="12"/>
  <c r="F19" i="12"/>
  <c r="F18" i="30" s="1"/>
  <c r="F21" i="12"/>
  <c r="F20" i="30" s="1"/>
  <c r="Z17" i="20"/>
  <c r="Z21" i="20" s="1"/>
  <c r="G24" i="12" s="1"/>
  <c r="G34" i="12" s="1"/>
  <c r="F22" i="12" l="1"/>
  <c r="F23" i="12" s="1"/>
  <c r="F16" i="30"/>
  <c r="F21" i="30" s="1"/>
  <c r="F22" i="30" s="1"/>
  <c r="F24" i="30" s="1"/>
  <c r="F25" i="30" s="1"/>
  <c r="F27" i="30" s="1"/>
  <c r="Z16" i="20"/>
  <c r="Z20" i="20"/>
  <c r="G30" i="30" l="1"/>
  <c r="G33" i="30" s="1"/>
  <c r="H16" i="11"/>
  <c r="H18" i="11" s="1"/>
  <c r="H38" i="30" s="1"/>
  <c r="F32" i="12"/>
  <c r="F25" i="12"/>
  <c r="F27" i="12" s="1"/>
  <c r="F28" i="12" s="1"/>
  <c r="F30" i="12" s="1"/>
  <c r="G33" i="12"/>
  <c r="G42" i="12" s="1"/>
  <c r="Z22" i="20"/>
  <c r="I15" i="11" s="1"/>
  <c r="AA16" i="20"/>
  <c r="AA17" i="20"/>
  <c r="F35" i="12" l="1"/>
  <c r="F43" i="12"/>
  <c r="P15" i="27" s="1"/>
  <c r="AB17" i="20"/>
  <c r="AB16" i="20"/>
  <c r="G36" i="30" l="1"/>
  <c r="G39" i="30" s="1"/>
  <c r="F36" i="12"/>
  <c r="AC17" i="20"/>
  <c r="AC16" i="20"/>
  <c r="G13" i="30" l="1"/>
  <c r="G14" i="30" s="1"/>
  <c r="G15" i="12"/>
  <c r="AD17" i="20"/>
  <c r="AD21" i="20" s="1"/>
  <c r="H24" i="12" s="1"/>
  <c r="H34" i="12" s="1"/>
  <c r="AD20" i="20"/>
  <c r="G20" i="12" l="1"/>
  <c r="G19" i="30" s="1"/>
  <c r="G26" i="12"/>
  <c r="G23" i="30" s="1"/>
  <c r="G21" i="12"/>
  <c r="G20" i="30" s="1"/>
  <c r="G18" i="12"/>
  <c r="G17" i="30" s="1"/>
  <c r="G19" i="12"/>
  <c r="G18" i="30" s="1"/>
  <c r="G17" i="12"/>
  <c r="AD16" i="20"/>
  <c r="AE17" i="20" s="1"/>
  <c r="H33" i="12"/>
  <c r="H42" i="12" s="1"/>
  <c r="AD22" i="20"/>
  <c r="J15" i="11" s="1"/>
  <c r="G16" i="30" l="1"/>
  <c r="G21" i="30" s="1"/>
  <c r="G22" i="30" s="1"/>
  <c r="G24" i="30" s="1"/>
  <c r="G25" i="30" s="1"/>
  <c r="G27" i="30" s="1"/>
  <c r="G22" i="12"/>
  <c r="G23" i="12" s="1"/>
  <c r="AE16" i="20"/>
  <c r="G32" i="12" l="1"/>
  <c r="G25" i="12"/>
  <c r="G27" i="12" s="1"/>
  <c r="G28" i="12" s="1"/>
  <c r="G30" i="12" s="1"/>
  <c r="H30" i="30"/>
  <c r="H33" i="30" s="1"/>
  <c r="I16" i="11"/>
  <c r="I18" i="11" s="1"/>
  <c r="I38" i="30" s="1"/>
  <c r="AF17" i="20"/>
  <c r="AF16" i="20"/>
  <c r="G35" i="12" l="1"/>
  <c r="G43" i="12"/>
  <c r="P16" i="27" s="1"/>
  <c r="AG17" i="20"/>
  <c r="AG16" i="20"/>
  <c r="H36" i="30" l="1"/>
  <c r="H39" i="30" s="1"/>
  <c r="G36" i="12"/>
  <c r="AH17" i="20"/>
  <c r="AH21" i="20" s="1"/>
  <c r="I24" i="12" s="1"/>
  <c r="AH20" i="20"/>
  <c r="H15" i="12" l="1"/>
  <c r="H13" i="30"/>
  <c r="H14" i="30" s="1"/>
  <c r="AH16" i="20"/>
  <c r="I33" i="12"/>
  <c r="I42" i="12" s="1"/>
  <c r="AH22" i="20"/>
  <c r="I34" i="12"/>
  <c r="H18" i="12" l="1"/>
  <c r="H17" i="30" s="1"/>
  <c r="H19" i="12"/>
  <c r="H18" i="30" s="1"/>
  <c r="H20" i="12"/>
  <c r="H19" i="30" s="1"/>
  <c r="H17" i="12"/>
  <c r="H21" i="12"/>
  <c r="H20" i="30" s="1"/>
  <c r="H26" i="12"/>
  <c r="H23" i="30" s="1"/>
  <c r="AI16" i="20"/>
  <c r="AI17" i="20"/>
  <c r="K15" i="11"/>
  <c r="H22" i="12" l="1"/>
  <c r="H23" i="12" s="1"/>
  <c r="H16" i="30"/>
  <c r="H21" i="30" s="1"/>
  <c r="H22" i="30" s="1"/>
  <c r="H24" i="30" s="1"/>
  <c r="H25" i="30" s="1"/>
  <c r="H27" i="30" s="1"/>
  <c r="AJ16" i="20"/>
  <c r="AJ17" i="20"/>
  <c r="I30" i="30" l="1"/>
  <c r="I33" i="30" s="1"/>
  <c r="J16" i="11"/>
  <c r="J18" i="11" s="1"/>
  <c r="J38" i="30" s="1"/>
  <c r="H32" i="12"/>
  <c r="H25" i="12"/>
  <c r="H27" i="12" s="1"/>
  <c r="H28" i="12" s="1"/>
  <c r="H30" i="12" s="1"/>
  <c r="AK16" i="20"/>
  <c r="AL16" i="20" s="1"/>
  <c r="AK17" i="20"/>
  <c r="H43" i="12" l="1"/>
  <c r="P17" i="27" s="1"/>
  <c r="H35" i="12"/>
  <c r="AL17" i="20"/>
  <c r="AL21" i="20" s="1"/>
  <c r="J24" i="12" s="1"/>
  <c r="J34" i="12" s="1"/>
  <c r="AL20" i="20"/>
  <c r="J33" i="12" s="1"/>
  <c r="AM16" i="20"/>
  <c r="AM17" i="20"/>
  <c r="H36" i="12" l="1"/>
  <c r="I36" i="30"/>
  <c r="I39" i="30" s="1"/>
  <c r="J42" i="12"/>
  <c r="AL22" i="20"/>
  <c r="L15" i="11" s="1"/>
  <c r="AN17" i="20"/>
  <c r="AN16" i="20"/>
  <c r="I13" i="30" l="1"/>
  <c r="I14" i="30" s="1"/>
  <c r="I15" i="12"/>
  <c r="AO17" i="20"/>
  <c r="I26" i="12" l="1"/>
  <c r="I23" i="30" s="1"/>
  <c r="I18" i="12"/>
  <c r="I17" i="30" s="1"/>
  <c r="I17" i="12"/>
  <c r="I19" i="12"/>
  <c r="I18" i="30" s="1"/>
  <c r="I20" i="12"/>
  <c r="I19" i="30" s="1"/>
  <c r="I21" i="12"/>
  <c r="I20" i="30" s="1"/>
  <c r="AO16" i="20"/>
  <c r="I16" i="30" l="1"/>
  <c r="I21" i="30" s="1"/>
  <c r="I22" i="30" s="1"/>
  <c r="I24" i="30" s="1"/>
  <c r="I25" i="30" s="1"/>
  <c r="I27" i="30" s="1"/>
  <c r="I22" i="12"/>
  <c r="I23" i="12" s="1"/>
  <c r="AP17" i="20"/>
  <c r="AP21" i="20" s="1"/>
  <c r="K24" i="12" s="1"/>
  <c r="AP20" i="20"/>
  <c r="I25" i="12" l="1"/>
  <c r="I27" i="12" s="1"/>
  <c r="I28" i="12" s="1"/>
  <c r="I30" i="12" s="1"/>
  <c r="I32" i="12"/>
  <c r="J30" i="30"/>
  <c r="J33" i="30" s="1"/>
  <c r="K16" i="11"/>
  <c r="K18" i="11" s="1"/>
  <c r="K38" i="30" s="1"/>
  <c r="AP16" i="20"/>
  <c r="K33" i="12"/>
  <c r="K42" i="12" s="1"/>
  <c r="AP22" i="20"/>
  <c r="K34" i="12"/>
  <c r="I43" i="12" l="1"/>
  <c r="P18" i="27" s="1"/>
  <c r="I35" i="12"/>
  <c r="M15" i="11"/>
  <c r="AQ17" i="20"/>
  <c r="I36" i="12" l="1"/>
  <c r="J36" i="30"/>
  <c r="J39" i="30" s="1"/>
  <c r="AQ16" i="20"/>
  <c r="J15" i="12" l="1"/>
  <c r="J13" i="30"/>
  <c r="J14" i="30" s="1"/>
  <c r="AR17" i="20"/>
  <c r="AR16" i="20"/>
  <c r="J26" i="12" l="1"/>
  <c r="J23" i="30" s="1"/>
  <c r="J21" i="12"/>
  <c r="J20" i="30" s="1"/>
  <c r="J18" i="12"/>
  <c r="J17" i="30" s="1"/>
  <c r="J17" i="12"/>
  <c r="J19" i="12"/>
  <c r="J18" i="30" s="1"/>
  <c r="J20" i="12"/>
  <c r="J19" i="30" s="1"/>
  <c r="AS16" i="20"/>
  <c r="AS17" i="20"/>
  <c r="J22" i="12" l="1"/>
  <c r="J23" i="12" s="1"/>
  <c r="J16" i="30"/>
  <c r="J21" i="30" s="1"/>
  <c r="J22" i="30" s="1"/>
  <c r="J24" i="30" s="1"/>
  <c r="J25" i="30" s="1"/>
  <c r="J27" i="30" s="1"/>
  <c r="AT20" i="20"/>
  <c r="AT17" i="20"/>
  <c r="AT21" i="20" s="1"/>
  <c r="L24" i="12" s="1"/>
  <c r="K30" i="30" l="1"/>
  <c r="K33" i="30" s="1"/>
  <c r="L16" i="11"/>
  <c r="L18" i="11" s="1"/>
  <c r="L38" i="30" s="1"/>
  <c r="J25" i="12"/>
  <c r="J27" i="12" s="1"/>
  <c r="J28" i="12" s="1"/>
  <c r="J30" i="12" s="1"/>
  <c r="J32" i="12"/>
  <c r="L34" i="12"/>
  <c r="AT16" i="20"/>
  <c r="L33" i="12"/>
  <c r="L42" i="12" s="1"/>
  <c r="AT22" i="20"/>
  <c r="J43" i="12" l="1"/>
  <c r="P19" i="27" s="1"/>
  <c r="J35" i="12"/>
  <c r="Q15" i="11"/>
  <c r="AU16" i="20"/>
  <c r="AU17" i="20"/>
  <c r="K36" i="30" l="1"/>
  <c r="K39" i="30" s="1"/>
  <c r="J36" i="12"/>
  <c r="AV17" i="20"/>
  <c r="K13" i="30" l="1"/>
  <c r="K14" i="30" s="1"/>
  <c r="K15" i="12"/>
  <c r="AV16" i="20"/>
  <c r="K18" i="12" l="1"/>
  <c r="K17" i="30" s="1"/>
  <c r="K20" i="12"/>
  <c r="K19" i="30" s="1"/>
  <c r="K17" i="12"/>
  <c r="K26" i="12"/>
  <c r="K23" i="30" s="1"/>
  <c r="K21" i="12"/>
  <c r="K20" i="30" s="1"/>
  <c r="K19" i="12"/>
  <c r="K18" i="30" s="1"/>
  <c r="AW16" i="20"/>
  <c r="AW17" i="20"/>
  <c r="K16" i="30" l="1"/>
  <c r="K21" i="30" s="1"/>
  <c r="K22" i="30" s="1"/>
  <c r="K24" i="30" s="1"/>
  <c r="K22" i="12"/>
  <c r="K23" i="12" s="1"/>
  <c r="AX16" i="20"/>
  <c r="AX17" i="20"/>
  <c r="AX21" i="20" s="1"/>
  <c r="M24" i="12" s="1"/>
  <c r="K32" i="12" l="1"/>
  <c r="K25" i="12"/>
  <c r="K27" i="12" s="1"/>
  <c r="K28" i="12" s="1"/>
  <c r="K30" i="12" s="1"/>
  <c r="K25" i="30"/>
  <c r="L26" i="30" s="1"/>
  <c r="AX20" i="20"/>
  <c r="AX22" i="20" s="1"/>
  <c r="M34" i="12"/>
  <c r="AY16" i="20"/>
  <c r="AY17" i="20"/>
  <c r="M33" i="12" l="1"/>
  <c r="M42" i="12" s="1"/>
  <c r="K27" i="30"/>
  <c r="L30" i="30" s="1"/>
  <c r="L33" i="30" s="1"/>
  <c r="M26" i="30"/>
  <c r="K43" i="12"/>
  <c r="P20" i="27" s="1"/>
  <c r="P21" i="27" s="1"/>
  <c r="K35" i="12"/>
  <c r="AZ16" i="20"/>
  <c r="AZ17" i="20"/>
  <c r="U15" i="11"/>
  <c r="M16" i="11" l="1"/>
  <c r="M18" i="11" s="1"/>
  <c r="M38" i="30" s="1"/>
  <c r="L36" i="30"/>
  <c r="L39" i="30" s="1"/>
  <c r="K36" i="12"/>
  <c r="N26" i="30"/>
  <c r="O26" i="30" s="1"/>
  <c r="P26" i="30" s="1"/>
  <c r="BA17" i="20"/>
  <c r="L13" i="30" l="1"/>
  <c r="L14" i="30" s="1"/>
  <c r="L15" i="12"/>
  <c r="Q26" i="30"/>
  <c r="R26" i="30" s="1"/>
  <c r="S26" i="30" s="1"/>
  <c r="BA16" i="20"/>
  <c r="L19" i="12" l="1"/>
  <c r="L18" i="30" s="1"/>
  <c r="L20" i="12"/>
  <c r="L19" i="30" s="1"/>
  <c r="L18" i="12"/>
  <c r="L17" i="30" s="1"/>
  <c r="L26" i="12"/>
  <c r="L23" i="30" s="1"/>
  <c r="L17" i="12"/>
  <c r="L21" i="12"/>
  <c r="L20" i="30" s="1"/>
  <c r="T26" i="30"/>
  <c r="U26" i="30" s="1"/>
  <c r="BB20" i="20"/>
  <c r="BB17" i="20"/>
  <c r="BB21" i="20" s="1"/>
  <c r="N24" i="12" s="1"/>
  <c r="L22" i="12" l="1"/>
  <c r="L23" i="12" s="1"/>
  <c r="L16" i="30"/>
  <c r="L21" i="30" s="1"/>
  <c r="L22" i="30" s="1"/>
  <c r="L24" i="30" s="1"/>
  <c r="L25" i="30" s="1"/>
  <c r="L27" i="30" s="1"/>
  <c r="N34" i="12"/>
  <c r="N33" i="12"/>
  <c r="N42" i="12" s="1"/>
  <c r="BB22" i="20"/>
  <c r="BB16" i="20"/>
  <c r="N16" i="11" l="1"/>
  <c r="N18" i="11" s="1"/>
  <c r="N38" i="30" s="1"/>
  <c r="M30" i="30"/>
  <c r="M33" i="30" s="1"/>
  <c r="L25" i="12"/>
  <c r="L27" i="12" s="1"/>
  <c r="L28" i="12" s="1"/>
  <c r="L30" i="12" s="1"/>
  <c r="L32" i="12"/>
  <c r="Y15" i="11"/>
  <c r="BC17" i="20"/>
  <c r="BC16" i="20"/>
  <c r="L35" i="12" l="1"/>
  <c r="M36" i="30" s="1"/>
  <c r="M39" i="30" s="1"/>
  <c r="L43" i="12"/>
  <c r="BD17" i="20"/>
  <c r="BD16" i="20"/>
  <c r="L36" i="12" l="1"/>
  <c r="M13" i="30"/>
  <c r="M14" i="30" s="1"/>
  <c r="M15" i="12"/>
  <c r="BE17" i="20"/>
  <c r="M19" i="12" l="1"/>
  <c r="M18" i="30" s="1"/>
  <c r="M17" i="12"/>
  <c r="M18" i="12"/>
  <c r="M17" i="30" s="1"/>
  <c r="M21" i="12"/>
  <c r="M20" i="30" s="1"/>
  <c r="M20" i="12"/>
  <c r="M19" i="30" s="1"/>
  <c r="M26" i="12"/>
  <c r="M23" i="30" s="1"/>
  <c r="BE16" i="20"/>
  <c r="M16" i="30" l="1"/>
  <c r="M21" i="30" s="1"/>
  <c r="M22" i="30" s="1"/>
  <c r="M24" i="30" s="1"/>
  <c r="M25" i="30" s="1"/>
  <c r="M27" i="30" s="1"/>
  <c r="M22" i="12"/>
  <c r="M23" i="12" s="1"/>
  <c r="BF17" i="20"/>
  <c r="BF21" i="20" s="1"/>
  <c r="O24" i="12" s="1"/>
  <c r="BF20" i="20"/>
  <c r="M32" i="12" l="1"/>
  <c r="M25" i="12"/>
  <c r="M27" i="12" s="1"/>
  <c r="M28" i="12" s="1"/>
  <c r="M30" i="12" s="1"/>
  <c r="N30" i="30"/>
  <c r="N33" i="30" s="1"/>
  <c r="O16" i="11"/>
  <c r="O18" i="11" s="1"/>
  <c r="O38" i="30" s="1"/>
  <c r="BF16" i="20"/>
  <c r="O33" i="12"/>
  <c r="O42" i="12" s="1"/>
  <c r="BF22" i="20"/>
  <c r="O34" i="12"/>
  <c r="M35" i="12" l="1"/>
  <c r="N36" i="30" s="1"/>
  <c r="N39" i="30" s="1"/>
  <c r="M43" i="12"/>
  <c r="BG17" i="20"/>
  <c r="BG16" i="20"/>
  <c r="M36" i="12" l="1"/>
  <c r="N13" i="30"/>
  <c r="N14" i="30" s="1"/>
  <c r="N15" i="12"/>
  <c r="BH17" i="20"/>
  <c r="BH16" i="20"/>
  <c r="N21" i="12" l="1"/>
  <c r="N20" i="30" s="1"/>
  <c r="N17" i="12"/>
  <c r="N26" i="12"/>
  <c r="N23" i="30" s="1"/>
  <c r="N18" i="12"/>
  <c r="N17" i="30" s="1"/>
  <c r="N20" i="12"/>
  <c r="N19" i="30" s="1"/>
  <c r="N19" i="12"/>
  <c r="N18" i="30" s="1"/>
  <c r="BI17" i="20"/>
  <c r="BI16" i="20"/>
  <c r="BJ15" i="20" s="1"/>
  <c r="N16" i="30" l="1"/>
  <c r="N21" i="30" s="1"/>
  <c r="N22" i="30" s="1"/>
  <c r="N24" i="30" s="1"/>
  <c r="N25" i="30" s="1"/>
  <c r="N27" i="30" s="1"/>
  <c r="N22" i="12"/>
  <c r="N23" i="12" s="1"/>
  <c r="BJ20" i="20"/>
  <c r="BJ17" i="20"/>
  <c r="BJ21" i="20" s="1"/>
  <c r="P24" i="12" s="1"/>
  <c r="N32" i="12" l="1"/>
  <c r="N25" i="12"/>
  <c r="N27" i="12" s="1"/>
  <c r="N28" i="12" s="1"/>
  <c r="N30" i="12" s="1"/>
  <c r="O30" i="30"/>
  <c r="O33" i="30" s="1"/>
  <c r="P16" i="11"/>
  <c r="P18" i="11" s="1"/>
  <c r="P38" i="30" s="1"/>
  <c r="P34" i="12"/>
  <c r="BJ16" i="20"/>
  <c r="P33" i="12"/>
  <c r="P42" i="12" s="1"/>
  <c r="BJ22" i="20"/>
  <c r="N35" i="12" l="1"/>
  <c r="N36" i="12" s="1"/>
  <c r="N43" i="12"/>
  <c r="O36" i="30" l="1"/>
  <c r="O39" i="30" s="1"/>
  <c r="O15" i="12"/>
  <c r="O13" i="30"/>
  <c r="O14" i="30" s="1"/>
  <c r="O26" i="12" l="1"/>
  <c r="O23" i="30" s="1"/>
  <c r="O20" i="12"/>
  <c r="O19" i="30" s="1"/>
  <c r="O19" i="12"/>
  <c r="O18" i="30" s="1"/>
  <c r="O18" i="12"/>
  <c r="O17" i="30" s="1"/>
  <c r="O17" i="12"/>
  <c r="O21" i="12"/>
  <c r="O20" i="30" s="1"/>
  <c r="O16" i="30" l="1"/>
  <c r="O21" i="30" s="1"/>
  <c r="O22" i="30" s="1"/>
  <c r="O24" i="30" s="1"/>
  <c r="O25" i="30" s="1"/>
  <c r="O27" i="30" s="1"/>
  <c r="O22" i="12"/>
  <c r="O23" i="12" s="1"/>
  <c r="O25" i="12" l="1"/>
  <c r="O27" i="12" s="1"/>
  <c r="O28" i="12" s="1"/>
  <c r="O30" i="12" s="1"/>
  <c r="O32" i="12"/>
  <c r="P30" i="30"/>
  <c r="P33" i="30" s="1"/>
  <c r="Q16" i="11"/>
  <c r="Q18" i="11" s="1"/>
  <c r="Q38" i="30" s="1"/>
  <c r="O35" i="12" l="1"/>
  <c r="O36" i="12" s="1"/>
  <c r="O43" i="12"/>
  <c r="P36" i="30" l="1"/>
  <c r="P39" i="30" s="1"/>
  <c r="P15" i="12"/>
  <c r="P13" i="30"/>
  <c r="P14" i="30" s="1"/>
  <c r="P19" i="12" l="1"/>
  <c r="P18" i="30" s="1"/>
  <c r="P26" i="12"/>
  <c r="P23" i="30" s="1"/>
  <c r="P20" i="12"/>
  <c r="P19" i="30" s="1"/>
  <c r="P21" i="12"/>
  <c r="P20" i="30" s="1"/>
  <c r="P17" i="12"/>
  <c r="P18" i="12"/>
  <c r="P17" i="30" s="1"/>
  <c r="P22" i="12" l="1"/>
  <c r="P23" i="12" s="1"/>
  <c r="P16" i="30"/>
  <c r="P21" i="30" s="1"/>
  <c r="P22" i="30" s="1"/>
  <c r="P24" i="30" s="1"/>
  <c r="P25" i="30" s="1"/>
  <c r="P27" i="30" s="1"/>
  <c r="R16" i="11" l="1"/>
  <c r="R18" i="11" s="1"/>
  <c r="R38" i="30" s="1"/>
  <c r="Q30" i="30"/>
  <c r="Q33" i="30" s="1"/>
  <c r="P25" i="12"/>
  <c r="P27" i="12" s="1"/>
  <c r="P28" i="12" s="1"/>
  <c r="P30" i="12" s="1"/>
  <c r="P32" i="12"/>
  <c r="P35" i="12" l="1"/>
  <c r="P36" i="12" s="1"/>
  <c r="P43" i="12"/>
  <c r="Q36" i="30" l="1"/>
  <c r="Q39" i="30" s="1"/>
  <c r="Q13" i="30"/>
  <c r="Q14" i="30" s="1"/>
  <c r="Q15" i="12"/>
  <c r="Q26" i="12" l="1"/>
  <c r="Q23" i="30" s="1"/>
  <c r="Q20" i="12"/>
  <c r="Q19" i="30" s="1"/>
  <c r="Q21" i="12"/>
  <c r="Q20" i="30" s="1"/>
  <c r="Q17" i="12"/>
  <c r="Q19" i="12"/>
  <c r="Q18" i="30" s="1"/>
  <c r="Q18" i="12"/>
  <c r="Q17" i="30" s="1"/>
  <c r="Q16" i="30" l="1"/>
  <c r="Q21" i="30" s="1"/>
  <c r="Q22" i="30" s="1"/>
  <c r="Q24" i="30" s="1"/>
  <c r="Q25" i="30" s="1"/>
  <c r="Q27" i="30" s="1"/>
  <c r="Q22" i="12"/>
  <c r="Q23" i="12" s="1"/>
  <c r="Q25" i="12" l="1"/>
  <c r="Q27" i="12" s="1"/>
  <c r="Q28" i="12" s="1"/>
  <c r="Q30" i="12" s="1"/>
  <c r="Q35" i="12" s="1"/>
  <c r="Q32" i="12"/>
  <c r="R30" i="30"/>
  <c r="R33" i="30" s="1"/>
  <c r="S16" i="11"/>
  <c r="S18" i="11" s="1"/>
  <c r="S38" i="30" s="1"/>
  <c r="Q36" i="12" l="1"/>
  <c r="R36" i="30"/>
  <c r="R39" i="30" s="1"/>
  <c r="R13" i="30"/>
  <c r="R14" i="30" s="1"/>
  <c r="R15" i="12"/>
  <c r="R19" i="12" l="1"/>
  <c r="R18" i="30" s="1"/>
  <c r="R17" i="12"/>
  <c r="R18" i="12"/>
  <c r="R17" i="30" s="1"/>
  <c r="R26" i="12"/>
  <c r="R23" i="30" s="1"/>
  <c r="R20" i="12"/>
  <c r="R19" i="30" s="1"/>
  <c r="R21" i="12"/>
  <c r="R20" i="30" s="1"/>
  <c r="R16" i="30" l="1"/>
  <c r="R21" i="30" s="1"/>
  <c r="R22" i="30" s="1"/>
  <c r="R24" i="30" s="1"/>
  <c r="R25" i="30" s="1"/>
  <c r="R27" i="30" s="1"/>
  <c r="R22" i="12"/>
  <c r="R23" i="12" s="1"/>
  <c r="R25" i="12" l="1"/>
  <c r="R27" i="12" s="1"/>
  <c r="R28" i="12" s="1"/>
  <c r="R30" i="12" s="1"/>
  <c r="R35" i="12" s="1"/>
  <c r="R32" i="12"/>
  <c r="S30" i="30"/>
  <c r="S33" i="30" s="1"/>
  <c r="T16" i="11"/>
  <c r="T18" i="11" l="1"/>
  <c r="T38" i="30" s="1"/>
  <c r="S36" i="30"/>
  <c r="R36" i="12"/>
  <c r="S39" i="30" l="1"/>
  <c r="S13" i="30" l="1"/>
  <c r="S14" i="30" s="1"/>
  <c r="S15" i="12"/>
  <c r="S18" i="12" l="1"/>
  <c r="S17" i="30" s="1"/>
  <c r="S19" i="12"/>
  <c r="S18" i="30" s="1"/>
  <c r="S26" i="12"/>
  <c r="S23" i="30" s="1"/>
  <c r="S21" i="12"/>
  <c r="S20" i="30" s="1"/>
  <c r="S17" i="12"/>
  <c r="S20" i="12"/>
  <c r="S19" i="30" s="1"/>
  <c r="S16" i="30" l="1"/>
  <c r="S21" i="30" s="1"/>
  <c r="S22" i="30" s="1"/>
  <c r="S24" i="30" s="1"/>
  <c r="S25" i="30" s="1"/>
  <c r="S27" i="30" s="1"/>
  <c r="S22" i="12"/>
  <c r="S23" i="12" s="1"/>
  <c r="S32" i="12" l="1"/>
  <c r="S25" i="12"/>
  <c r="S27" i="12" s="1"/>
  <c r="S28" i="12" s="1"/>
  <c r="S30" i="12" s="1"/>
  <c r="S35" i="12" s="1"/>
  <c r="T30" i="30"/>
  <c r="T33" i="30" s="1"/>
  <c r="U16" i="11"/>
  <c r="U18" i="11" l="1"/>
  <c r="U38" i="30" s="1"/>
  <c r="T36" i="30"/>
  <c r="S36" i="12"/>
  <c r="T39" i="30" l="1"/>
  <c r="T13" i="30" l="1"/>
  <c r="T14" i="30" s="1"/>
  <c r="T15" i="12"/>
  <c r="T20" i="12" l="1"/>
  <c r="T19" i="30" s="1"/>
  <c r="T19" i="12"/>
  <c r="T18" i="30" s="1"/>
  <c r="T18" i="12"/>
  <c r="T17" i="30" s="1"/>
  <c r="T17" i="12"/>
  <c r="T26" i="12"/>
  <c r="T23" i="30" s="1"/>
  <c r="T21" i="12"/>
  <c r="T20" i="30" s="1"/>
  <c r="T16" i="30" l="1"/>
  <c r="T21" i="30" s="1"/>
  <c r="T22" i="30" s="1"/>
  <c r="T24" i="30" s="1"/>
  <c r="T25" i="30" s="1"/>
  <c r="T27" i="30" s="1"/>
  <c r="T22" i="12"/>
  <c r="T23" i="12" s="1"/>
  <c r="T25" i="12" l="1"/>
  <c r="T27" i="12" s="1"/>
  <c r="T28" i="12" s="1"/>
  <c r="T30" i="12" s="1"/>
  <c r="T35" i="12" s="1"/>
  <c r="T32" i="12"/>
  <c r="U30" i="30"/>
  <c r="U33" i="30" s="1"/>
  <c r="V16" i="11"/>
  <c r="V18" i="11" l="1"/>
  <c r="V38" i="30" s="1"/>
  <c r="U36" i="30"/>
  <c r="T36" i="12"/>
  <c r="U39" i="30" l="1"/>
  <c r="U13" i="30" l="1"/>
  <c r="U14" i="30" s="1"/>
  <c r="U15" i="12"/>
  <c r="U20" i="12" l="1"/>
  <c r="U19" i="30" s="1"/>
  <c r="U21" i="12"/>
  <c r="U20" i="30" s="1"/>
  <c r="U26" i="12"/>
  <c r="U23" i="30" s="1"/>
  <c r="U17" i="12"/>
  <c r="U19" i="12"/>
  <c r="U18" i="30" s="1"/>
  <c r="U18" i="12"/>
  <c r="U17" i="30" s="1"/>
  <c r="U16" i="30" l="1"/>
  <c r="U21" i="30" s="1"/>
  <c r="U22" i="30" s="1"/>
  <c r="U24" i="30" s="1"/>
  <c r="U25" i="30" s="1"/>
  <c r="U27" i="30" s="1"/>
  <c r="U22" i="12"/>
  <c r="U23" i="12" s="1"/>
  <c r="U25" i="12" l="1"/>
  <c r="U27" i="12" s="1"/>
  <c r="U28" i="12" s="1"/>
  <c r="U30" i="12" s="1"/>
  <c r="U35" i="12" s="1"/>
  <c r="U32" i="12"/>
  <c r="V30" i="30"/>
  <c r="V33" i="30" s="1"/>
  <c r="W16" i="11"/>
  <c r="W18" i="11" l="1"/>
  <c r="W38" i="30" s="1"/>
  <c r="V36" i="30"/>
  <c r="V39" i="30" s="1"/>
  <c r="U36" i="12"/>
  <c r="V13" i="30" l="1"/>
  <c r="V14" i="30" s="1"/>
  <c r="V15" i="12"/>
  <c r="V19" i="12" l="1"/>
  <c r="V18" i="30" s="1"/>
  <c r="V26" i="12"/>
  <c r="V23" i="30" s="1"/>
  <c r="V17" i="12"/>
  <c r="V20" i="12"/>
  <c r="V19" i="30" s="1"/>
  <c r="V18" i="12"/>
  <c r="V17" i="30" s="1"/>
  <c r="V21" i="12"/>
  <c r="V20" i="30" s="1"/>
  <c r="V16" i="30" l="1"/>
  <c r="V21" i="30" s="1"/>
  <c r="V22" i="30" s="1"/>
  <c r="V24" i="30" s="1"/>
  <c r="V25" i="30" s="1"/>
  <c r="V27" i="30" s="1"/>
  <c r="V22" i="12"/>
  <c r="V23" i="12" s="1"/>
  <c r="V25" i="12" l="1"/>
  <c r="V27" i="12" s="1"/>
  <c r="V28" i="12" s="1"/>
  <c r="V30" i="12" s="1"/>
  <c r="V35" i="12" s="1"/>
  <c r="V32" i="12"/>
  <c r="W30" i="30"/>
  <c r="W33" i="30" s="1"/>
  <c r="X16" i="11"/>
  <c r="X18" i="11" l="1"/>
  <c r="X38" i="30" s="1"/>
  <c r="W36" i="30"/>
  <c r="W39" i="30" s="1"/>
  <c r="V36" i="12"/>
  <c r="W13" i="30" l="1"/>
  <c r="W14" i="30" s="1"/>
  <c r="W15" i="12"/>
  <c r="W17" i="12" l="1"/>
  <c r="W26" i="12"/>
  <c r="W23" i="30" s="1"/>
  <c r="W20" i="12"/>
  <c r="W19" i="30" s="1"/>
  <c r="W21" i="12"/>
  <c r="W20" i="30" s="1"/>
  <c r="W18" i="12"/>
  <c r="W17" i="30" s="1"/>
  <c r="W19" i="12"/>
  <c r="W18" i="30" s="1"/>
  <c r="W16" i="30" l="1"/>
  <c r="W21" i="30" s="1"/>
  <c r="W22" i="30" s="1"/>
  <c r="W24" i="30" s="1"/>
  <c r="W25" i="30" s="1"/>
  <c r="W27" i="30" s="1"/>
  <c r="W22" i="12"/>
  <c r="W23" i="12" s="1"/>
  <c r="W32" i="12" l="1"/>
  <c r="W25" i="12"/>
  <c r="W27" i="12" s="1"/>
  <c r="W28" i="12" s="1"/>
  <c r="W30" i="12" s="1"/>
  <c r="W35" i="12" s="1"/>
  <c r="X30" i="30"/>
  <c r="X33" i="30" s="1"/>
  <c r="Y16" i="11"/>
  <c r="Y18" i="11" l="1"/>
  <c r="Y38" i="30" s="1"/>
  <c r="X36" i="30"/>
  <c r="X39" i="30" s="1"/>
  <c r="W36" i="12"/>
  <c r="X13" i="30" l="1"/>
  <c r="X14" i="30" s="1"/>
  <c r="X15" i="12"/>
  <c r="X26" i="12" l="1"/>
  <c r="X23" i="30" s="1"/>
  <c r="X20" i="12"/>
  <c r="X19" i="30" s="1"/>
  <c r="X18" i="12"/>
  <c r="X17" i="30" s="1"/>
  <c r="X19" i="12"/>
  <c r="X18" i="30" s="1"/>
  <c r="X17" i="12"/>
  <c r="X21" i="12"/>
  <c r="X20" i="30" s="1"/>
  <c r="X16" i="30" l="1"/>
  <c r="X21" i="30" s="1"/>
  <c r="X22" i="30" s="1"/>
  <c r="X24" i="30" s="1"/>
  <c r="X25" i="30" s="1"/>
  <c r="X27" i="30" s="1"/>
  <c r="X22" i="12"/>
  <c r="X23" i="12" s="1"/>
  <c r="X25" i="12" l="1"/>
  <c r="X27" i="12" s="1"/>
  <c r="X28" i="12" s="1"/>
  <c r="X30" i="12" s="1"/>
  <c r="X35" i="12" s="1"/>
  <c r="X32" i="12"/>
  <c r="Y30" i="30"/>
  <c r="Y33" i="30" s="1"/>
  <c r="Z16" i="11"/>
  <c r="Z18" i="11" l="1"/>
  <c r="Z38" i="30" s="1"/>
  <c r="Y36" i="30"/>
  <c r="Y39" i="30" s="1"/>
  <c r="X36" i="12"/>
  <c r="Y13" i="30" l="1"/>
  <c r="Y14" i="30" s="1"/>
  <c r="Y15" i="12"/>
  <c r="Y21" i="12" l="1"/>
  <c r="Y20" i="30" s="1"/>
  <c r="Y26" i="12"/>
  <c r="Y23" i="30" s="1"/>
  <c r="Y20" i="12"/>
  <c r="Y19" i="30" s="1"/>
  <c r="Y19" i="12"/>
  <c r="Y18" i="30" s="1"/>
  <c r="Y18" i="12"/>
  <c r="Y17" i="30" s="1"/>
  <c r="Y17" i="12"/>
  <c r="Y16" i="30" l="1"/>
  <c r="Y21" i="30" s="1"/>
  <c r="Y22" i="30" s="1"/>
  <c r="Y24" i="30" s="1"/>
  <c r="Y25" i="30" s="1"/>
  <c r="Y27" i="30" s="1"/>
  <c r="Y22" i="12"/>
  <c r="Y23" i="12" s="1"/>
  <c r="Y32" i="12" l="1"/>
  <c r="Y25" i="12"/>
  <c r="Y27" i="12" s="1"/>
  <c r="Y28" i="12" s="1"/>
  <c r="Y30" i="12" s="1"/>
  <c r="Y35" i="12" s="1"/>
  <c r="Z30" i="30"/>
  <c r="Z33" i="30" s="1"/>
  <c r="AA16" i="11"/>
  <c r="AA18" i="11" s="1"/>
  <c r="AA38" i="30" s="1"/>
  <c r="Z36" i="30" l="1"/>
  <c r="Z39" i="30" s="1"/>
  <c r="Y36" i="12"/>
  <c r="Z13" i="30" l="1"/>
  <c r="Z14" i="30" s="1"/>
  <c r="Z15" i="12"/>
  <c r="Z26" i="12" l="1"/>
  <c r="Z23" i="30" s="1"/>
  <c r="Z21" i="12"/>
  <c r="Z20" i="30" s="1"/>
  <c r="Z19" i="12"/>
  <c r="Z18" i="30" s="1"/>
  <c r="Z20" i="12"/>
  <c r="Z19" i="30" s="1"/>
  <c r="Z17" i="12"/>
  <c r="Z18" i="12"/>
  <c r="Z17" i="30" s="1"/>
  <c r="Z16" i="30" l="1"/>
  <c r="Z21" i="30" s="1"/>
  <c r="Z22" i="30" s="1"/>
  <c r="Z24" i="30" s="1"/>
  <c r="Z25" i="30" s="1"/>
  <c r="Z27" i="30" s="1"/>
  <c r="AA30" i="30" s="1"/>
  <c r="Z22" i="12"/>
  <c r="Z23" i="12" s="1"/>
  <c r="AA33" i="30" l="1"/>
  <c r="B34" i="30" s="1"/>
  <c r="M12" i="27" s="1"/>
  <c r="B31" i="30"/>
  <c r="M11" i="27" s="1"/>
  <c r="Z25" i="12"/>
  <c r="Z27" i="12" s="1"/>
  <c r="Z28" i="12" s="1"/>
  <c r="Z30" i="12" s="1"/>
  <c r="Z35" i="12" s="1"/>
  <c r="Z32" i="12"/>
  <c r="AA36" i="30" l="1"/>
  <c r="D38" i="12"/>
  <c r="M28" i="27" s="1"/>
  <c r="G38" i="12"/>
  <c r="M31" i="27" s="1"/>
  <c r="H38" i="12"/>
  <c r="M32" i="27" s="1"/>
  <c r="C38" i="12"/>
  <c r="M27" i="27" s="1"/>
  <c r="I38" i="12"/>
  <c r="M33" i="27" s="1"/>
  <c r="K38" i="12"/>
  <c r="M35" i="27" s="1"/>
  <c r="J38" i="12"/>
  <c r="M34" i="27" s="1"/>
  <c r="B38" i="12"/>
  <c r="M26" i="27" s="1"/>
  <c r="F38" i="12"/>
  <c r="M30" i="27" s="1"/>
  <c r="E38" i="12"/>
  <c r="M29" i="27" s="1"/>
  <c r="Z36" i="12"/>
  <c r="AA39" i="30" l="1"/>
  <c r="B40" i="30" s="1"/>
  <c r="M16" i="27" s="1"/>
  <c r="B37" i="30"/>
  <c r="M15" i="27" s="1"/>
</calcChain>
</file>

<file path=xl/sharedStrings.xml><?xml version="1.0" encoding="utf-8"?>
<sst xmlns="http://schemas.openxmlformats.org/spreadsheetml/2006/main" count="410" uniqueCount="327">
  <si>
    <t>ITEM</t>
  </si>
  <si>
    <t>2 Y</t>
  </si>
  <si>
    <t>3 Y</t>
  </si>
  <si>
    <t>4 Y</t>
  </si>
  <si>
    <t>5 Y</t>
  </si>
  <si>
    <t>0 Y</t>
  </si>
  <si>
    <t>1Y</t>
  </si>
  <si>
    <t>5Y</t>
  </si>
  <si>
    <t>EBITDA</t>
  </si>
  <si>
    <t>Inventario</t>
  </si>
  <si>
    <t>Industry Name</t>
  </si>
  <si>
    <t>Number of Firms</t>
  </si>
  <si>
    <t>Accounts Receivable/Sales</t>
  </si>
  <si>
    <t>Inventory/Sales</t>
  </si>
  <si>
    <t>Accounts Payable/Sales</t>
  </si>
  <si>
    <t>CT/Ingresos</t>
  </si>
  <si>
    <t>Biotechnology</t>
  </si>
  <si>
    <t>Computer Software/Svcs</t>
  </si>
  <si>
    <t>Computers/Peripherals</t>
  </si>
  <si>
    <t>E-Commerce</t>
  </si>
  <si>
    <t>Educational Services</t>
  </si>
  <si>
    <t>Electronics</t>
  </si>
  <si>
    <t>Entertainment Tech</t>
  </si>
  <si>
    <t>Information Services</t>
  </si>
  <si>
    <t>Instruccions:</t>
  </si>
  <si>
    <t>WORKING CAPITAL</t>
  </si>
  <si>
    <t>To calculate the invesment in working capital you can use 3 alternatives:</t>
  </si>
  <si>
    <t>Table 1</t>
  </si>
  <si>
    <t>2. If you do not have this information, you can estimate the working capital as a porcentage of the revenues for each period , and the write down 2 in the "used metgod" square . In the following sheet you can find some reference information for USA market  in 2003 (Bloomberg) for  TI sector</t>
  </si>
  <si>
    <t>3. If you already have calcualted this values, please incoporate them in table 3, and the write down 3 in the "used method" square.</t>
  </si>
  <si>
    <t>Table 2</t>
  </si>
  <si>
    <t>Taxes invesments</t>
  </si>
  <si>
    <t>Revenues</t>
  </si>
  <si>
    <t>% in working capital</t>
  </si>
  <si>
    <t>WORKING CAPITAL INVESMENT</t>
  </si>
  <si>
    <t>Table 3</t>
  </si>
  <si>
    <t>USED METHOD</t>
  </si>
  <si>
    <t>Accounts Receivable</t>
  </si>
  <si>
    <t>Accounts Payable</t>
  </si>
  <si>
    <t>1. If you have tax information, inventories, accounts receivable &amp; accounts payable, incorporate this inforamtion in table 1 (blue numbers), and then write down 1 in the "used method" square</t>
  </si>
  <si>
    <t>Equity</t>
  </si>
  <si>
    <t>Debt</t>
  </si>
  <si>
    <t>Interest rate</t>
  </si>
  <si>
    <t>β</t>
  </si>
  <si>
    <t>Risk Free</t>
  </si>
  <si>
    <t>Risk Premium</t>
  </si>
  <si>
    <t>6 Y</t>
  </si>
  <si>
    <t>7 Y</t>
  </si>
  <si>
    <t>8 Y</t>
  </si>
  <si>
    <t>9 Y</t>
  </si>
  <si>
    <t>10 Y</t>
  </si>
  <si>
    <t>11 Y</t>
  </si>
  <si>
    <t>12 Y</t>
  </si>
  <si>
    <t>13 Y</t>
  </si>
  <si>
    <t>14 Y</t>
  </si>
  <si>
    <t>15 Y</t>
  </si>
  <si>
    <t>16 Y</t>
  </si>
  <si>
    <t>17 Y</t>
  </si>
  <si>
    <t>18 Y</t>
  </si>
  <si>
    <t>19 Y</t>
  </si>
  <si>
    <t>20 Y</t>
  </si>
  <si>
    <t>Year Count</t>
  </si>
  <si>
    <t>No. of units per year (MUs)</t>
  </si>
  <si>
    <t>Total Opex</t>
  </si>
  <si>
    <t>Net Cash</t>
  </si>
  <si>
    <t xml:space="preserve">Cost of Equity </t>
  </si>
  <si>
    <t xml:space="preserve">Expected Return </t>
  </si>
  <si>
    <t>Debt Service Coverage Ratio (DSCR)</t>
  </si>
  <si>
    <t>Principal Payments</t>
  </si>
  <si>
    <t>Interest Rate</t>
  </si>
  <si>
    <t>Term Loan</t>
  </si>
  <si>
    <t>Assumptions for Financial Model</t>
  </si>
  <si>
    <t>Capital Structure</t>
  </si>
  <si>
    <t xml:space="preserve">Term Loan </t>
  </si>
  <si>
    <t>Income Tax</t>
  </si>
  <si>
    <t>For years 1-10</t>
  </si>
  <si>
    <t>For years 11-25</t>
  </si>
  <si>
    <t>Tenure Years</t>
  </si>
  <si>
    <t>Average DSCR</t>
  </si>
  <si>
    <t>Total maintenance exp Crs</t>
  </si>
  <si>
    <t>Total Income</t>
  </si>
  <si>
    <t>Quarterly Int Rate</t>
  </si>
  <si>
    <t>Office Overheads</t>
  </si>
  <si>
    <t>Project Capacity in KW</t>
  </si>
  <si>
    <t>Revenue from REC</t>
  </si>
  <si>
    <t>Power Generated</t>
  </si>
  <si>
    <t>Revenue Generated</t>
  </si>
  <si>
    <t>Operating Expenses</t>
  </si>
  <si>
    <t>Rs Crore</t>
  </si>
  <si>
    <t>Depreciation</t>
  </si>
  <si>
    <t>Interest</t>
  </si>
  <si>
    <t xml:space="preserve">PBT </t>
  </si>
  <si>
    <t xml:space="preserve">Tax </t>
  </si>
  <si>
    <t xml:space="preserve">PAT </t>
  </si>
  <si>
    <t>Cash Flow</t>
  </si>
  <si>
    <t>Cumulative Cash</t>
  </si>
  <si>
    <t>Interest + Principal</t>
  </si>
  <si>
    <t>Quarter Count</t>
  </si>
  <si>
    <t>Total Loan</t>
  </si>
  <si>
    <t>Principal Repayment</t>
  </si>
  <si>
    <t>Outstanding Principal</t>
  </si>
  <si>
    <t xml:space="preserve">Repayment of Principal </t>
  </si>
  <si>
    <t xml:space="preserve"> Interest Payments</t>
  </si>
  <si>
    <t>Debt Service (Annual)</t>
  </si>
  <si>
    <t>Outstanding Amount</t>
  </si>
  <si>
    <t>Capital Expenditure</t>
  </si>
  <si>
    <t>Value to be depreciated</t>
  </si>
  <si>
    <t>Allowable depreciation</t>
  </si>
  <si>
    <t>INPUTS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</si>
  <si>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</si>
  <si>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</si>
  <si>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</si>
  <si>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</si>
  <si>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</si>
  <si>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</si>
  <si>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</si>
  <si>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</si>
  <si>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</si>
  <si>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</si>
  <si>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Operating Cash flow</t>
  </si>
  <si>
    <t xml:space="preserve">Insurance </t>
  </si>
  <si>
    <t>Equity IRR</t>
  </si>
  <si>
    <t>Basic Input (Zynergy)</t>
  </si>
  <si>
    <t>Factor Losses</t>
  </si>
  <si>
    <t>Installed Plant Capacity</t>
  </si>
  <si>
    <t>KWp</t>
  </si>
  <si>
    <t xml:space="preserve">Factor </t>
  </si>
  <si>
    <t>%</t>
  </si>
  <si>
    <t>Remarks</t>
  </si>
  <si>
    <t>Modules Size</t>
  </si>
  <si>
    <t>Wp(crystalline)</t>
  </si>
  <si>
    <t>Horizon</t>
  </si>
  <si>
    <t>estimated</t>
  </si>
  <si>
    <t>As per meteonorm horizon file or as per actual sie visit</t>
  </si>
  <si>
    <t>Number of Panels required</t>
  </si>
  <si>
    <t>nos</t>
  </si>
  <si>
    <t>Near shading</t>
  </si>
  <si>
    <t>As per actual site visit with SUN SOLMETRIC equipment</t>
  </si>
  <si>
    <t>Area of Each Panel</t>
  </si>
  <si>
    <t>Sq Mt</t>
  </si>
  <si>
    <t>Mutual shading</t>
  </si>
  <si>
    <t>PVSyst</t>
  </si>
  <si>
    <t>Total Area of Installed Modules</t>
  </si>
  <si>
    <t>Soiling</t>
  </si>
  <si>
    <t>Efficiency of Panel</t>
  </si>
  <si>
    <t>IAM</t>
  </si>
  <si>
    <t>Incident Angle Modifier loss, corrected in PV syst by Ashrae Parametrization</t>
  </si>
  <si>
    <t>Total Losses</t>
  </si>
  <si>
    <t>Irradiance</t>
  </si>
  <si>
    <t>Loss of irradiance value because of non availability of STC</t>
  </si>
  <si>
    <t>Basic Input (From PVsyst)</t>
  </si>
  <si>
    <t>Temperature</t>
  </si>
  <si>
    <t>High temperature coefficient leading to loss of module overall efficiency</t>
  </si>
  <si>
    <t>Global Horizontal Irradiation</t>
  </si>
  <si>
    <t>KWh/Sqm/Year</t>
  </si>
  <si>
    <t>Module quality</t>
  </si>
  <si>
    <t>Global Irradiation on the tilted and oriented plane</t>
  </si>
  <si>
    <t>Mistmach</t>
  </si>
  <si>
    <t>Module mismatch as per the actual site conditions, avg figure considered</t>
  </si>
  <si>
    <t>Inclination Gain</t>
  </si>
  <si>
    <t>Ohmic (DC)</t>
  </si>
  <si>
    <t>Mean Temperature (year)</t>
  </si>
  <si>
    <t>as per meteonorm</t>
  </si>
  <si>
    <t>Inverter</t>
  </si>
  <si>
    <t>Pvsyst</t>
  </si>
  <si>
    <t>As per Pvsyst input details of inverters</t>
  </si>
  <si>
    <t>Azimuth (PVSyst)</t>
  </si>
  <si>
    <t>Southern Hemisphere</t>
  </si>
  <si>
    <t xml:space="preserve">Transformer </t>
  </si>
  <si>
    <t>As per transformer manufacturer</t>
  </si>
  <si>
    <t>Tilt</t>
  </si>
  <si>
    <t>Deg</t>
  </si>
  <si>
    <t>Ohmic (AC)</t>
  </si>
  <si>
    <t>As per the AC cabling and other losses</t>
  </si>
  <si>
    <t>Installed Capacity</t>
  </si>
  <si>
    <t>System availability</t>
  </si>
  <si>
    <t>Because of downtime of system due to O&amp;M activities</t>
  </si>
  <si>
    <t>Grid availability</t>
  </si>
  <si>
    <t>Final Results</t>
  </si>
  <si>
    <t>Yield Factor</t>
  </si>
  <si>
    <t>KWh/KWp</t>
  </si>
  <si>
    <t>Net Energy (Complete Plant)</t>
  </si>
  <si>
    <t>KWh/Year</t>
  </si>
  <si>
    <t>Net Energy (Per MW)</t>
  </si>
  <si>
    <t>KWh/Year/MW</t>
  </si>
  <si>
    <t>Performance Ratio (PR)</t>
  </si>
  <si>
    <t>Capacity Utilisation Factor (CUF/PLF)</t>
  </si>
  <si>
    <t>=</t>
  </si>
  <si>
    <t>Energy Produced (kWh)</t>
  </si>
  <si>
    <t>Inputs</t>
  </si>
  <si>
    <t>Outputs</t>
  </si>
  <si>
    <t>Month</t>
  </si>
  <si>
    <t>Global Horizonal Irradiation(GHI)
KWh/Sqm/Year</t>
  </si>
  <si>
    <t>Irradiation on Inclined Plane (GInc)
KWh/Sqm/Year</t>
  </si>
  <si>
    <t>% gain over Horizontal Irradiation</t>
  </si>
  <si>
    <t>Energy Production without Loses into consideration
(KWh)</t>
  </si>
  <si>
    <t>Energy Production with Losses into consideration
(KWh)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</si>
  <si>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</si>
  <si>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</si>
  <si>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</si>
  <si>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</si>
  <si>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</si>
  <si>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</si>
  <si>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</si>
  <si>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</si>
  <si>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</si>
  <si>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</si>
  <si>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</si>
  <si>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</si>
  <si>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(For 1 Year)</t>
  </si>
  <si>
    <t xml:space="preserve">Year </t>
  </si>
  <si>
    <t>Performance Ratio 
%</t>
  </si>
  <si>
    <t>Performance Degradation Factor</t>
  </si>
  <si>
    <t>Energy Production
KWh</t>
  </si>
  <si>
    <t>Power Generated per Annum (Year 1)</t>
  </si>
  <si>
    <t>(See Tech Summary Sheet)</t>
  </si>
  <si>
    <t>Rs per kWh</t>
  </si>
  <si>
    <t xml:space="preserve">Client Tarrif </t>
  </si>
  <si>
    <t>Debt Service (Quarterly)</t>
  </si>
  <si>
    <t>ENERGY ASSESSMENT</t>
  </si>
  <si>
    <t>TECHNICAL SUMMARY</t>
  </si>
  <si>
    <t>Irradiation on Inclined Plane (kWh/sqm) x Total area of Installed Modules (sqm) x Efficiency of Modules</t>
  </si>
  <si>
    <t>Performance Ratio</t>
  </si>
  <si>
    <t>As per the site conditions</t>
  </si>
  <si>
    <t>From Pvsyst for mutual shading between the arrays at dawn and dusk</t>
  </si>
  <si>
    <t>Considered zero because of positive and negative tolerances provided by manufacturer</t>
  </si>
  <si>
    <t>Calculated as per the DC Cabling losses</t>
  </si>
  <si>
    <t>As per the actual grid availability at the Project Location</t>
  </si>
  <si>
    <t>Land</t>
  </si>
  <si>
    <t>Over Heads</t>
  </si>
  <si>
    <t>Office OH in Base year</t>
  </si>
  <si>
    <t>Maintainence Exp (per MW)</t>
  </si>
  <si>
    <t>Insurance</t>
  </si>
  <si>
    <t>2012 - 2017</t>
  </si>
  <si>
    <t>2018 - 2022</t>
  </si>
  <si>
    <t>2023 - 2027</t>
  </si>
  <si>
    <t>2028 - 2032</t>
  </si>
  <si>
    <t>2033 - 2037</t>
  </si>
  <si>
    <t xml:space="preserve">Depreciable Assets </t>
  </si>
  <si>
    <t>Depreciation for Book keeping</t>
  </si>
  <si>
    <t>Book value of asset at year end</t>
  </si>
  <si>
    <t>Insurance on book assets</t>
  </si>
  <si>
    <t>MAT Refund</t>
  </si>
  <si>
    <t>Project Cash Flow</t>
  </si>
  <si>
    <t>IRR</t>
  </si>
  <si>
    <t>Disc Value</t>
  </si>
  <si>
    <t>Equity Cash Flow</t>
  </si>
  <si>
    <t>Project IRR</t>
  </si>
  <si>
    <t>Present Value of CF</t>
  </si>
  <si>
    <t>Yr</t>
  </si>
  <si>
    <t>Project Net Cash Flow</t>
  </si>
  <si>
    <t>Debt Service Ratio (DSCR)</t>
  </si>
  <si>
    <t>PROJECT</t>
  </si>
  <si>
    <t>Discounted Cash Flow</t>
  </si>
  <si>
    <t>EQUITY</t>
  </si>
  <si>
    <t>OUTPUT</t>
  </si>
  <si>
    <t>Year</t>
  </si>
  <si>
    <t>Capital</t>
  </si>
  <si>
    <t>WACC</t>
  </si>
  <si>
    <t>Accelerated Dep?</t>
  </si>
  <si>
    <t>No</t>
  </si>
  <si>
    <t>Total CAPEX</t>
  </si>
  <si>
    <t>Profit Available before Depreciation</t>
  </si>
  <si>
    <t>AD Benefit available</t>
  </si>
  <si>
    <t>WDV</t>
  </si>
  <si>
    <t>Assumptions</t>
  </si>
  <si>
    <t>Model</t>
  </si>
  <si>
    <t>Capital Subsidy</t>
  </si>
  <si>
    <t>Net Depreciable Assets</t>
  </si>
  <si>
    <t>KW Solar Plant Under</t>
  </si>
  <si>
    <t>000 units</t>
  </si>
  <si>
    <t>KW Solar Power Plant - Projected P&amp;L Under</t>
  </si>
  <si>
    <t>KW Solar Power Plant - WACC Under</t>
  </si>
  <si>
    <t>KW Solar Power Plant - Debt Service Under</t>
  </si>
  <si>
    <t>REC (BOO)</t>
  </si>
  <si>
    <t>(Rs in Crore)</t>
  </si>
  <si>
    <t>Depreciation Calculation</t>
  </si>
  <si>
    <t>KW Solar Plant Projected IRR under</t>
  </si>
  <si>
    <t>WACC Calculation</t>
  </si>
  <si>
    <t>Loss due to injection/drawing voltage</t>
  </si>
  <si>
    <t>Injection Voltage (kV)/Drawing Voltage (kV)</t>
  </si>
  <si>
    <t>Total Units Generated/Year by plant (kWh) in mU</t>
  </si>
  <si>
    <t>Units Generated/Year (kWh) in mU</t>
  </si>
  <si>
    <t>Plant Size (MWp)</t>
  </si>
  <si>
    <t>Total (%)</t>
  </si>
  <si>
    <t>Input/Output</t>
  </si>
  <si>
    <t>Drawing Voltage (kV)</t>
  </si>
  <si>
    <t>Injection Voltage (kV)</t>
  </si>
  <si>
    <t>Wheeling Charges (Rs./Unit)</t>
  </si>
  <si>
    <t>Transmission Charge (Rs./MW/day)</t>
  </si>
  <si>
    <t>Injection /Drawing Voltage (kV) - Loss</t>
  </si>
  <si>
    <t>110/33</t>
  </si>
  <si>
    <t>Transmission Charges</t>
  </si>
  <si>
    <t>Scheduling &amp; system operation charges (Rs./day)</t>
  </si>
  <si>
    <t>Equity Net Cash Flow</t>
  </si>
  <si>
    <t>EB Tariff</t>
  </si>
  <si>
    <t>TARIFF RATES</t>
  </si>
  <si>
    <t>Escalation, If any</t>
  </si>
  <si>
    <t>CAPEX Cost</t>
  </si>
  <si>
    <t>Transmission Line Cost</t>
  </si>
  <si>
    <t>EPC Cost</t>
  </si>
  <si>
    <t>Total</t>
  </si>
  <si>
    <t>Interest &amp; Principal Payable</t>
  </si>
  <si>
    <t xml:space="preserve">Quarterly </t>
  </si>
  <si>
    <t>per annum</t>
  </si>
  <si>
    <t>Type of tariff applicable</t>
  </si>
  <si>
    <t>Fixed Escalation</t>
  </si>
  <si>
    <t xml:space="preserve">Client Power Tariff </t>
  </si>
  <si>
    <t>EB Power Tariff</t>
  </si>
  <si>
    <t>Revenue from Power Tariff</t>
  </si>
  <si>
    <t>Escalation in charges</t>
  </si>
  <si>
    <t>Scheduling charges (Rs./day)</t>
  </si>
  <si>
    <t>Percentage of EB Grid Sale</t>
  </si>
  <si>
    <t>Escalation of Exp per year</t>
  </si>
  <si>
    <t>Date :</t>
  </si>
  <si>
    <t>33/11</t>
  </si>
  <si>
    <t>Transmission and Wheeling Charge</t>
  </si>
  <si>
    <t>REC (BOO/Captive)</t>
  </si>
  <si>
    <t>KW Solar Power Plant - Depreciation</t>
  </si>
  <si>
    <t>Hybrid Tariff Years</t>
  </si>
  <si>
    <t xml:space="preserve">Depreciation  </t>
  </si>
  <si>
    <t>Accelerated Dep.</t>
  </si>
  <si>
    <t>Morirotium in years</t>
  </si>
  <si>
    <t>NPV of Future Cash Flow</t>
  </si>
  <si>
    <t>NPV at Year end @</t>
  </si>
  <si>
    <t>(INR in Cr)</t>
  </si>
  <si>
    <t>Revenue from Interest on Cash Accru.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</si>
</sst>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* #,##0.00_-;\-* #,##0.00_-;_-* &quot;-&quot;??_-;_-@_-"/>
    <numFmt numFmtId="166" formatCode="0.0%"/>
    <numFmt numFmtId="167" formatCode="#,##0.000"/>
    <numFmt numFmtId="168" formatCode="_(* #,##0.000_);_(* \(#,##0.000\);_(* &quot;-&quot;???_);_(@_)"/>
    <numFmt numFmtId="169" formatCode="0.000"/>
    <numFmt numFmtId="170" formatCode="#,##0.0000"/>
    <numFmt numFmtId="171" formatCode="0.0000"/>
    <numFmt numFmtId="172" formatCode="#,##0.00000"/>
    <numFmt numFmtId="173" formatCode="_(* #,##0.00_);_(* \(#,##0.00\);_(* &quot;-&quot;???_);_(@_)"/>
    <numFmt numFmtId="174" formatCode="_-* #,##0.0_-;\-* #,##0.0_-;_-* &quot;-&quot;??_-;_-@_-"/>
    <numFmt numFmtId="175" formatCode="_-* #,##0.000_-;\-* #,##0.000_-;_-* &quot;-&quot;??_-;_-@_-"/>
    <numFmt numFmtId="176" formatCode="[$-409]d\-mmm\-yy;@"/>
    <numFmt numFmtId="177" formatCode="_-* #,##0_-;\-* #,##0_-;_-* &quot;-&quot;??_-;_-@_-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1"/>
      <name val="Arial"/>
      <family val="2"/>
    </font>
    <font>
      <sz val="10"/>
      <name val="Verdana"/>
      <family val="2"/>
    </font>
    <font>
      <i/>
      <sz val="9"/>
      <name val="Geneva"/>
    </font>
    <font>
      <sz val="10"/>
      <name val="MS Sans Serif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1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83">
    <xf numFmtId="0" fontId="0" fillId="0" borderId="0" xfId="0"/>
    <xf numFmtId="3" fontId="0" fillId="0" borderId="0" xfId="0" applyNumberFormat="1"/>
    <xf numFmtId="0" fontId="5" fillId="0" borderId="0" xfId="0" applyFont="1"/>
    <xf numFmtId="3" fontId="5" fillId="0" borderId="1" xfId="0" applyNumberFormat="1" applyFont="1" applyBorder="1"/>
    <xf numFmtId="3" fontId="7" fillId="0" borderId="2" xfId="0" applyNumberFormat="1" applyFont="1" applyBorder="1" applyAlignment="1">
      <alignment horizontal="left"/>
    </xf>
    <xf numFmtId="3" fontId="7" fillId="0" borderId="3" xfId="0" applyNumberFormat="1" applyFont="1" applyBorder="1"/>
    <xf numFmtId="0" fontId="5" fillId="2" borderId="0" xfId="0" applyFont="1" applyFill="1"/>
    <xf numFmtId="3" fontId="5" fillId="2" borderId="0" xfId="0" applyNumberFormat="1" applyFont="1" applyFill="1"/>
    <xf numFmtId="3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2" borderId="5" xfId="0" applyNumberFormat="1" applyFont="1" applyFill="1" applyBorder="1"/>
    <xf numFmtId="0" fontId="9" fillId="0" borderId="5" xfId="0" applyFont="1" applyBorder="1" applyAlignment="1">
      <alignment horizontal="right"/>
    </xf>
    <xf numFmtId="3" fontId="9" fillId="0" borderId="5" xfId="0" applyNumberFormat="1" applyFont="1" applyBorder="1"/>
    <xf numFmtId="3" fontId="9" fillId="0" borderId="6" xfId="0" applyNumberFormat="1" applyFont="1" applyBorder="1"/>
    <xf numFmtId="3" fontId="9" fillId="0" borderId="7" xfId="0" applyNumberFormat="1" applyFont="1" applyBorder="1"/>
    <xf numFmtId="3" fontId="9" fillId="0" borderId="8" xfId="0" applyNumberFormat="1" applyFont="1" applyBorder="1"/>
    <xf numFmtId="3" fontId="5" fillId="0" borderId="9" xfId="0" applyNumberFormat="1" applyFont="1" applyBorder="1"/>
    <xf numFmtId="0" fontId="6" fillId="0" borderId="0" xfId="0" applyFont="1"/>
    <xf numFmtId="1" fontId="5" fillId="0" borderId="0" xfId="0" applyNumberFormat="1" applyFont="1"/>
    <xf numFmtId="9" fontId="9" fillId="0" borderId="10" xfId="0" applyNumberFormat="1" applyFont="1" applyBorder="1"/>
    <xf numFmtId="9" fontId="5" fillId="0" borderId="10" xfId="0" applyNumberFormat="1" applyFont="1" applyBorder="1"/>
    <xf numFmtId="1" fontId="5" fillId="2" borderId="0" xfId="0" applyNumberFormat="1" applyFont="1" applyFill="1"/>
    <xf numFmtId="0" fontId="5" fillId="0" borderId="11" xfId="0" applyFont="1" applyBorder="1"/>
    <xf numFmtId="0" fontId="10" fillId="0" borderId="0" xfId="0" applyFont="1"/>
    <xf numFmtId="0" fontId="7" fillId="0" borderId="0" xfId="0" applyFont="1"/>
    <xf numFmtId="0" fontId="9" fillId="0" borderId="12" xfId="0" applyFont="1" applyBorder="1"/>
    <xf numFmtId="0" fontId="12" fillId="0" borderId="13" xfId="5" applyFont="1" applyBorder="1"/>
    <xf numFmtId="0" fontId="12" fillId="0" borderId="13" xfId="5" applyFont="1" applyBorder="1" applyAlignment="1">
      <alignment horizontal="center"/>
    </xf>
    <xf numFmtId="0" fontId="11" fillId="0" borderId="0" xfId="5"/>
    <xf numFmtId="0" fontId="11" fillId="0" borderId="13" xfId="5" applyBorder="1"/>
    <xf numFmtId="0" fontId="11" fillId="0" borderId="13" xfId="5" applyBorder="1" applyAlignment="1">
      <alignment horizontal="center"/>
    </xf>
    <xf numFmtId="10" fontId="11" fillId="0" borderId="13" xfId="6" applyNumberFormat="1" applyFont="1" applyBorder="1" applyAlignment="1">
      <alignment horizontal="center"/>
    </xf>
    <xf numFmtId="0" fontId="11" fillId="0" borderId="0" xfId="5" applyAlignment="1">
      <alignment horizontal="center"/>
    </xf>
    <xf numFmtId="0" fontId="9" fillId="2" borderId="0" xfId="0" applyFont="1" applyFill="1"/>
    <xf numFmtId="1" fontId="9" fillId="2" borderId="0" xfId="0" applyNumberFormat="1" applyFont="1" applyFill="1"/>
    <xf numFmtId="3" fontId="7" fillId="0" borderId="0" xfId="0" applyNumberFormat="1" applyFont="1" applyAlignment="1">
      <alignment horizontal="left"/>
    </xf>
    <xf numFmtId="0" fontId="7" fillId="0" borderId="10" xfId="0" applyFont="1" applyBorder="1"/>
    <xf numFmtId="0" fontId="16" fillId="0" borderId="0" xfId="0" applyFont="1"/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173" fontId="16" fillId="0" borderId="13" xfId="0" applyNumberFormat="1" applyFont="1" applyBorder="1" applyAlignment="1">
      <alignment horizontal="center" vertical="center"/>
    </xf>
    <xf numFmtId="169" fontId="16" fillId="0" borderId="0" xfId="0" applyNumberFormat="1" applyFont="1"/>
    <xf numFmtId="168" fontId="16" fillId="0" borderId="13" xfId="0" applyNumberFormat="1" applyFont="1" applyBorder="1" applyAlignment="1">
      <alignment horizontal="center" vertical="center"/>
    </xf>
    <xf numFmtId="173" fontId="16" fillId="0" borderId="13" xfId="0" applyNumberFormat="1" applyFont="1" applyBorder="1" applyAlignment="1">
      <alignment vertical="center" wrapText="1"/>
    </xf>
    <xf numFmtId="168" fontId="17" fillId="0" borderId="0" xfId="0" applyNumberFormat="1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68" fontId="18" fillId="0" borderId="0" xfId="0" applyNumberFormat="1" applyFont="1"/>
    <xf numFmtId="168" fontId="16" fillId="0" borderId="0" xfId="0" applyNumberFormat="1" applyFont="1"/>
    <xf numFmtId="2" fontId="16" fillId="0" borderId="0" xfId="0" applyNumberFormat="1" applyFont="1"/>
    <xf numFmtId="0" fontId="17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16" fillId="0" borderId="13" xfId="0" applyFont="1" applyBorder="1"/>
    <xf numFmtId="3" fontId="16" fillId="0" borderId="0" xfId="0" applyNumberFormat="1" applyFont="1"/>
    <xf numFmtId="0" fontId="16" fillId="0" borderId="14" xfId="0" applyFont="1" applyBorder="1"/>
    <xf numFmtId="0" fontId="16" fillId="0" borderId="15" xfId="0" applyFont="1" applyBorder="1"/>
    <xf numFmtId="167" fontId="16" fillId="0" borderId="0" xfId="0" applyNumberFormat="1" applyFont="1"/>
    <xf numFmtId="170" fontId="16" fillId="0" borderId="0" xfId="0" applyNumberFormat="1" applyFont="1"/>
    <xf numFmtId="10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71" fontId="16" fillId="0" borderId="0" xfId="0" applyNumberFormat="1" applyFont="1"/>
    <xf numFmtId="10" fontId="16" fillId="0" borderId="0" xfId="0" applyNumberFormat="1" applyFont="1"/>
    <xf numFmtId="0" fontId="17" fillId="0" borderId="0" xfId="0" applyFont="1"/>
    <xf numFmtId="0" fontId="17" fillId="0" borderId="7" xfId="0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left" vertical="center" wrapText="1" indent="1"/>
    </xf>
    <xf numFmtId="169" fontId="17" fillId="0" borderId="0" xfId="0" applyNumberFormat="1" applyFont="1"/>
    <xf numFmtId="0" fontId="16" fillId="0" borderId="17" xfId="0" applyFont="1" applyBorder="1"/>
    <xf numFmtId="0" fontId="16" fillId="0" borderId="18" xfId="0" applyFont="1" applyBorder="1"/>
    <xf numFmtId="0" fontId="17" fillId="0" borderId="17" xfId="0" applyFont="1" applyBorder="1"/>
    <xf numFmtId="0" fontId="19" fillId="0" borderId="16" xfId="0" applyFont="1" applyBorder="1"/>
    <xf numFmtId="173" fontId="16" fillId="0" borderId="7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vertical="center" wrapText="1"/>
    </xf>
    <xf numFmtId="173" fontId="17" fillId="0" borderId="19" xfId="0" applyNumberFormat="1" applyFont="1" applyBorder="1" applyAlignment="1">
      <alignment horizontal="center" vertical="center"/>
    </xf>
    <xf numFmtId="173" fontId="17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vertical="center" wrapText="1"/>
    </xf>
    <xf numFmtId="173" fontId="21" fillId="0" borderId="7" xfId="0" applyNumberFormat="1" applyFont="1" applyBorder="1" applyAlignment="1">
      <alignment horizontal="center" vertical="center"/>
    </xf>
    <xf numFmtId="0" fontId="21" fillId="0" borderId="0" xfId="0" applyFont="1"/>
    <xf numFmtId="169" fontId="21" fillId="0" borderId="0" xfId="0" applyNumberFormat="1" applyFont="1"/>
    <xf numFmtId="173" fontId="17" fillId="0" borderId="20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wrapText="1"/>
    </xf>
    <xf numFmtId="0" fontId="17" fillId="0" borderId="21" xfId="0" applyFont="1" applyBorder="1" applyAlignment="1">
      <alignment vertical="center" wrapText="1"/>
    </xf>
    <xf numFmtId="173" fontId="17" fillId="0" borderId="21" xfId="0" applyNumberFormat="1" applyFont="1" applyBorder="1" applyAlignment="1">
      <alignment vertical="center" wrapText="1"/>
    </xf>
    <xf numFmtId="4" fontId="17" fillId="0" borderId="13" xfId="0" applyNumberFormat="1" applyFont="1" applyBorder="1" applyAlignment="1">
      <alignment horizontal="center" vertical="center"/>
    </xf>
    <xf numFmtId="0" fontId="16" fillId="0" borderId="22" xfId="0" applyFont="1" applyBorder="1"/>
    <xf numFmtId="0" fontId="16" fillId="0" borderId="23" xfId="0" applyFont="1" applyBorder="1"/>
    <xf numFmtId="0" fontId="16" fillId="0" borderId="25" xfId="0" applyFont="1" applyBorder="1"/>
    <xf numFmtId="0" fontId="16" fillId="0" borderId="26" xfId="0" applyFont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center"/>
    </xf>
    <xf numFmtId="165" fontId="16" fillId="0" borderId="0" xfId="1" applyFont="1"/>
    <xf numFmtId="0" fontId="17" fillId="0" borderId="0" xfId="3" applyFont="1"/>
    <xf numFmtId="172" fontId="16" fillId="0" borderId="0" xfId="0" applyNumberFormat="1" applyFont="1" applyAlignment="1">
      <alignment horizontal="center"/>
    </xf>
    <xf numFmtId="172" fontId="16" fillId="0" borderId="0" xfId="0" applyNumberFormat="1" applyFont="1"/>
    <xf numFmtId="169" fontId="23" fillId="0" borderId="0" xfId="0" applyNumberFormat="1" applyFont="1"/>
    <xf numFmtId="0" fontId="23" fillId="0" borderId="0" xfId="0" applyFont="1"/>
    <xf numFmtId="165" fontId="16" fillId="0" borderId="0" xfId="0" applyNumberFormat="1" applyFont="1"/>
    <xf numFmtId="0" fontId="16" fillId="0" borderId="0" xfId="4" applyFont="1" applyAlignment="1">
      <alignment horizontal="left" indent="1"/>
    </xf>
    <xf numFmtId="0" fontId="24" fillId="0" borderId="0" xfId="4" applyFont="1" applyAlignment="1">
      <alignment horizontal="left" indent="2"/>
    </xf>
    <xf numFmtId="0" fontId="16" fillId="0" borderId="0" xfId="3" applyFont="1" applyAlignment="1">
      <alignment horizontal="left" indent="1"/>
    </xf>
    <xf numFmtId="165" fontId="16" fillId="0" borderId="22" xfId="1" applyFont="1" applyBorder="1"/>
    <xf numFmtId="165" fontId="16" fillId="0" borderId="23" xfId="1" applyFont="1" applyBorder="1"/>
    <xf numFmtId="165" fontId="16" fillId="0" borderId="24" xfId="1" applyFont="1" applyBorder="1"/>
    <xf numFmtId="165" fontId="16" fillId="0" borderId="14" xfId="1" applyFont="1" applyBorder="1"/>
    <xf numFmtId="165" fontId="16" fillId="0" borderId="0" xfId="1" applyFont="1" applyBorder="1"/>
    <xf numFmtId="165" fontId="16" fillId="0" borderId="15" xfId="1" applyFont="1" applyBorder="1"/>
    <xf numFmtId="165" fontId="16" fillId="0" borderId="25" xfId="1" applyFont="1" applyBorder="1"/>
    <xf numFmtId="165" fontId="16" fillId="0" borderId="4" xfId="1" applyFont="1" applyBorder="1"/>
    <xf numFmtId="165" fontId="16" fillId="0" borderId="26" xfId="1" applyFont="1" applyBorder="1"/>
    <xf numFmtId="0" fontId="21" fillId="0" borderId="7" xfId="0" applyFont="1" applyBorder="1" applyAlignment="1">
      <alignment wrapText="1"/>
    </xf>
    <xf numFmtId="0" fontId="26" fillId="0" borderId="0" xfId="0" applyFont="1" applyAlignment="1">
      <alignment vertical="center"/>
    </xf>
    <xf numFmtId="0" fontId="27" fillId="3" borderId="13" xfId="0" applyFont="1" applyFill="1" applyBorder="1" applyAlignment="1">
      <alignment horizontal="center"/>
    </xf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166" fontId="16" fillId="4" borderId="13" xfId="0" applyNumberFormat="1" applyFont="1" applyFill="1" applyBorder="1" applyAlignment="1">
      <alignment horizontal="center"/>
    </xf>
    <xf numFmtId="166" fontId="17" fillId="4" borderId="13" xfId="0" applyNumberFormat="1" applyFont="1" applyFill="1" applyBorder="1" applyAlignment="1">
      <alignment horizontal="center"/>
    </xf>
    <xf numFmtId="0" fontId="17" fillId="3" borderId="13" xfId="0" applyFont="1" applyFill="1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left"/>
    </xf>
    <xf numFmtId="0" fontId="16" fillId="4" borderId="13" xfId="0" applyFont="1" applyFill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 wrapText="1"/>
    </xf>
    <xf numFmtId="0" fontId="16" fillId="3" borderId="13" xfId="0" applyFont="1" applyFill="1" applyBorder="1"/>
    <xf numFmtId="166" fontId="16" fillId="3" borderId="13" xfId="0" applyNumberFormat="1" applyFont="1" applyFill="1" applyBorder="1" applyAlignment="1">
      <alignment horizontal="center"/>
    </xf>
    <xf numFmtId="0" fontId="16" fillId="4" borderId="13" xfId="0" applyFont="1" applyFill="1" applyBorder="1"/>
    <xf numFmtId="0" fontId="16" fillId="5" borderId="13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/>
    <xf numFmtId="1" fontId="16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2" fontId="15" fillId="0" borderId="13" xfId="0" applyNumberFormat="1" applyFont="1" applyBorder="1" applyAlignment="1">
      <alignment horizontal="center" wrapText="1"/>
    </xf>
    <xf numFmtId="0" fontId="15" fillId="0" borderId="0" xfId="0" applyFont="1"/>
    <xf numFmtId="0" fontId="16" fillId="4" borderId="13" xfId="0" applyFont="1" applyFill="1" applyBorder="1" applyAlignment="1">
      <alignment horizontal="center" wrapText="1"/>
    </xf>
    <xf numFmtId="2" fontId="16" fillId="0" borderId="13" xfId="0" applyNumberFormat="1" applyFont="1" applyBorder="1" applyAlignment="1">
      <alignment horizontal="center" wrapText="1"/>
    </xf>
    <xf numFmtId="4" fontId="16" fillId="0" borderId="13" xfId="0" applyNumberFormat="1" applyFont="1" applyBorder="1" applyAlignment="1">
      <alignment wrapText="1"/>
    </xf>
    <xf numFmtId="0" fontId="15" fillId="3" borderId="13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 wrapText="1"/>
    </xf>
    <xf numFmtId="2" fontId="17" fillId="3" borderId="13" xfId="0" applyNumberFormat="1" applyFont="1" applyFill="1" applyBorder="1" applyAlignment="1">
      <alignment horizontal="center" wrapText="1"/>
    </xf>
    <xf numFmtId="4" fontId="17" fillId="3" borderId="13" xfId="0" applyNumberFormat="1" applyFont="1" applyFill="1" applyBorder="1" applyAlignment="1">
      <alignment wrapText="1"/>
    </xf>
    <xf numFmtId="4" fontId="15" fillId="3" borderId="13" xfId="0" applyNumberFormat="1" applyFont="1" applyFill="1" applyBorder="1"/>
    <xf numFmtId="0" fontId="17" fillId="3" borderId="13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165" fontId="16" fillId="0" borderId="13" xfId="1" applyFont="1" applyBorder="1" applyAlignment="1">
      <alignment vertical="center"/>
    </xf>
    <xf numFmtId="175" fontId="16" fillId="0" borderId="13" xfId="1" applyNumberFormat="1" applyFont="1" applyBorder="1" applyAlignment="1"/>
    <xf numFmtId="0" fontId="16" fillId="5" borderId="13" xfId="0" applyFont="1" applyFill="1" applyBorder="1" applyAlignment="1">
      <alignment horizontal="left"/>
    </xf>
    <xf numFmtId="3" fontId="16" fillId="5" borderId="13" xfId="0" applyNumberFormat="1" applyFont="1" applyFill="1" applyBorder="1" applyAlignment="1">
      <alignment horizontal="center"/>
    </xf>
    <xf numFmtId="4" fontId="16" fillId="5" borderId="13" xfId="0" applyNumberFormat="1" applyFont="1" applyFill="1" applyBorder="1"/>
    <xf numFmtId="0" fontId="16" fillId="0" borderId="24" xfId="0" applyFont="1" applyBorder="1"/>
    <xf numFmtId="0" fontId="15" fillId="0" borderId="13" xfId="0" applyFont="1" applyBorder="1" applyAlignment="1">
      <alignment horizontal="left"/>
    </xf>
    <xf numFmtId="0" fontId="15" fillId="3" borderId="13" xfId="0" applyFont="1" applyFill="1" applyBorder="1" applyAlignment="1">
      <alignment horizontal="left"/>
    </xf>
    <xf numFmtId="1" fontId="16" fillId="5" borderId="13" xfId="0" applyNumberFormat="1" applyFont="1" applyFill="1" applyBorder="1" applyAlignment="1">
      <alignment horizontal="right"/>
    </xf>
    <xf numFmtId="3" fontId="16" fillId="5" borderId="13" xfId="0" applyNumberFormat="1" applyFont="1" applyFill="1" applyBorder="1" applyAlignment="1">
      <alignment horizontal="right"/>
    </xf>
    <xf numFmtId="0" fontId="16" fillId="5" borderId="13" xfId="0" applyFont="1" applyFill="1" applyBorder="1" applyAlignment="1">
      <alignment horizontal="right"/>
    </xf>
    <xf numFmtId="0" fontId="16" fillId="3" borderId="10" xfId="0" applyFont="1" applyFill="1" applyBorder="1"/>
    <xf numFmtId="0" fontId="16" fillId="3" borderId="0" xfId="0" applyFont="1" applyFill="1" applyAlignment="1">
      <alignment horizontal="right"/>
    </xf>
    <xf numFmtId="174" fontId="16" fillId="5" borderId="13" xfId="1" applyNumberFormat="1" applyFont="1" applyFill="1" applyBorder="1" applyAlignment="1">
      <alignment horizontal="right"/>
    </xf>
    <xf numFmtId="165" fontId="16" fillId="0" borderId="0" xfId="1" applyFont="1" applyBorder="1" applyAlignment="1"/>
    <xf numFmtId="0" fontId="16" fillId="0" borderId="5" xfId="0" applyFont="1" applyBorder="1" applyAlignment="1">
      <alignment vertical="center" wrapText="1"/>
    </xf>
    <xf numFmtId="173" fontId="16" fillId="0" borderId="5" xfId="0" applyNumberFormat="1" applyFont="1" applyBorder="1" applyAlignment="1">
      <alignment horizontal="center" vertical="center"/>
    </xf>
    <xf numFmtId="173" fontId="17" fillId="0" borderId="13" xfId="0" applyNumberFormat="1" applyFont="1" applyBorder="1" applyAlignment="1">
      <alignment vertical="center" wrapText="1"/>
    </xf>
    <xf numFmtId="173" fontId="17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66" fontId="17" fillId="0" borderId="7" xfId="6" applyNumberFormat="1" applyFont="1" applyBorder="1" applyAlignment="1">
      <alignment horizontal="center" vertical="center"/>
    </xf>
    <xf numFmtId="0" fontId="17" fillId="6" borderId="7" xfId="0" applyFont="1" applyFill="1" applyBorder="1" applyAlignment="1">
      <alignment vertical="center" wrapText="1"/>
    </xf>
    <xf numFmtId="173" fontId="17" fillId="6" borderId="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166" fontId="16" fillId="0" borderId="13" xfId="6" applyNumberFormat="1" applyFont="1" applyBorder="1" applyAlignment="1">
      <alignment horizontal="center" vertical="center"/>
    </xf>
    <xf numFmtId="165" fontId="16" fillId="0" borderId="13" xfId="1" applyFont="1" applyBorder="1"/>
    <xf numFmtId="165" fontId="16" fillId="0" borderId="13" xfId="1" applyFont="1" applyBorder="1" applyAlignment="1">
      <alignment horizontal="center" vertical="center"/>
    </xf>
    <xf numFmtId="165" fontId="16" fillId="0" borderId="13" xfId="1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1" fillId="0" borderId="0" xfId="0" applyFont="1" applyAlignment="1">
      <alignment wrapText="1"/>
    </xf>
    <xf numFmtId="166" fontId="16" fillId="0" borderId="13" xfId="0" applyNumberFormat="1" applyFont="1" applyBorder="1" applyAlignment="1">
      <alignment horizontal="center"/>
    </xf>
    <xf numFmtId="164" fontId="16" fillId="0" borderId="0" xfId="0" applyNumberFormat="1" applyFont="1"/>
    <xf numFmtId="2" fontId="16" fillId="0" borderId="23" xfId="0" applyNumberFormat="1" applyFont="1" applyBorder="1"/>
    <xf numFmtId="3" fontId="16" fillId="0" borderId="14" xfId="0" applyNumberFormat="1" applyFont="1" applyBorder="1"/>
    <xf numFmtId="167" fontId="16" fillId="0" borderId="14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4" borderId="13" xfId="0" applyFont="1" applyFill="1" applyBorder="1"/>
    <xf numFmtId="10" fontId="18" fillId="4" borderId="36" xfId="0" applyNumberFormat="1" applyFont="1" applyFill="1" applyBorder="1"/>
    <xf numFmtId="9" fontId="18" fillId="4" borderId="32" xfId="0" applyNumberFormat="1" applyFont="1" applyFill="1" applyBorder="1"/>
    <xf numFmtId="10" fontId="18" fillId="4" borderId="42" xfId="0" applyNumberFormat="1" applyFont="1" applyFill="1" applyBorder="1"/>
    <xf numFmtId="10" fontId="18" fillId="4" borderId="32" xfId="0" applyNumberFormat="1" applyFont="1" applyFill="1" applyBorder="1"/>
    <xf numFmtId="9" fontId="18" fillId="4" borderId="7" xfId="0" applyNumberFormat="1" applyFont="1" applyFill="1" applyBorder="1"/>
    <xf numFmtId="0" fontId="18" fillId="0" borderId="28" xfId="0" applyFont="1" applyBorder="1"/>
    <xf numFmtId="10" fontId="18" fillId="4" borderId="34" xfId="0" applyNumberFormat="1" applyFont="1" applyFill="1" applyBorder="1"/>
    <xf numFmtId="2" fontId="18" fillId="4" borderId="36" xfId="0" applyNumberFormat="1" applyFont="1" applyFill="1" applyBorder="1"/>
    <xf numFmtId="0" fontId="18" fillId="0" borderId="37" xfId="0" applyFont="1" applyBorder="1"/>
    <xf numFmtId="0" fontId="18" fillId="0" borderId="38" xfId="0" applyFont="1" applyBorder="1"/>
    <xf numFmtId="1" fontId="18" fillId="0" borderId="32" xfId="0" applyNumberFormat="1" applyFont="1" applyBorder="1"/>
    <xf numFmtId="0" fontId="18" fillId="0" borderId="35" xfId="0" applyFont="1" applyBorder="1"/>
    <xf numFmtId="0" fontId="18" fillId="0" borderId="13" xfId="0" quotePrefix="1" applyFont="1" applyBorder="1"/>
    <xf numFmtId="2" fontId="18" fillId="0" borderId="36" xfId="0" applyNumberFormat="1" applyFont="1" applyBorder="1"/>
    <xf numFmtId="0" fontId="18" fillId="0" borderId="13" xfId="0" applyFont="1" applyBorder="1"/>
    <xf numFmtId="0" fontId="18" fillId="0" borderId="47" xfId="0" applyFont="1" applyBorder="1"/>
    <xf numFmtId="0" fontId="18" fillId="0" borderId="1" xfId="0" applyFont="1" applyBorder="1"/>
    <xf numFmtId="2" fontId="18" fillId="4" borderId="42" xfId="0" applyNumberFormat="1" applyFont="1" applyFill="1" applyBorder="1"/>
    <xf numFmtId="0" fontId="18" fillId="5" borderId="35" xfId="0" applyFont="1" applyFill="1" applyBorder="1"/>
    <xf numFmtId="10" fontId="18" fillId="5" borderId="36" xfId="6" applyNumberFormat="1" applyFont="1" applyFill="1" applyBorder="1"/>
    <xf numFmtId="0" fontId="18" fillId="5" borderId="39" xfId="0" applyFont="1" applyFill="1" applyBorder="1" applyAlignment="1">
      <alignment horizontal="right"/>
    </xf>
    <xf numFmtId="2" fontId="18" fillId="5" borderId="42" xfId="0" applyNumberFormat="1" applyFont="1" applyFill="1" applyBorder="1" applyAlignment="1">
      <alignment horizontal="left"/>
    </xf>
    <xf numFmtId="0" fontId="18" fillId="5" borderId="37" xfId="0" applyFont="1" applyFill="1" applyBorder="1"/>
    <xf numFmtId="165" fontId="18" fillId="5" borderId="32" xfId="1" applyFont="1" applyFill="1" applyBorder="1"/>
    <xf numFmtId="0" fontId="18" fillId="5" borderId="35" xfId="0" applyFont="1" applyFill="1" applyBorder="1" applyAlignment="1">
      <alignment horizontal="right"/>
    </xf>
    <xf numFmtId="2" fontId="18" fillId="5" borderId="36" xfId="0" applyNumberFormat="1" applyFont="1" applyFill="1" applyBorder="1" applyAlignment="1">
      <alignment horizontal="left"/>
    </xf>
    <xf numFmtId="165" fontId="18" fillId="0" borderId="0" xfId="1" applyFont="1" applyFill="1" applyBorder="1"/>
    <xf numFmtId="0" fontId="18" fillId="5" borderId="33" xfId="0" applyFont="1" applyFill="1" applyBorder="1"/>
    <xf numFmtId="10" fontId="18" fillId="5" borderId="34" xfId="0" applyNumberFormat="1" applyFont="1" applyFill="1" applyBorder="1"/>
    <xf numFmtId="2" fontId="18" fillId="0" borderId="0" xfId="0" applyNumberFormat="1" applyFont="1"/>
    <xf numFmtId="0" fontId="18" fillId="0" borderId="0" xfId="0" applyFont="1" applyAlignment="1">
      <alignment vertical="center"/>
    </xf>
    <xf numFmtId="0" fontId="19" fillId="5" borderId="37" xfId="0" applyFont="1" applyFill="1" applyBorder="1" applyAlignment="1">
      <alignment horizontal="right"/>
    </xf>
    <xf numFmtId="2" fontId="19" fillId="5" borderId="32" xfId="0" applyNumberFormat="1" applyFont="1" applyFill="1" applyBorder="1" applyAlignment="1">
      <alignment horizontal="left"/>
    </xf>
    <xf numFmtId="0" fontId="19" fillId="0" borderId="0" xfId="0" applyFont="1"/>
    <xf numFmtId="3" fontId="30" fillId="0" borderId="0" xfId="0" applyNumberFormat="1" applyFont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8" fillId="0" borderId="4" xfId="0" applyFont="1" applyBorder="1"/>
    <xf numFmtId="3" fontId="18" fillId="0" borderId="4" xfId="0" applyNumberFormat="1" applyFont="1" applyBorder="1"/>
    <xf numFmtId="9" fontId="16" fillId="0" borderId="0" xfId="6" applyFont="1"/>
    <xf numFmtId="0" fontId="18" fillId="4" borderId="13" xfId="0" applyFont="1" applyFill="1" applyBorder="1" applyProtection="1">
      <protection locked="0"/>
    </xf>
    <xf numFmtId="0" fontId="18" fillId="4" borderId="42" xfId="0" applyFont="1" applyFill="1" applyBorder="1" applyProtection="1">
      <protection locked="0"/>
    </xf>
    <xf numFmtId="0" fontId="18" fillId="4" borderId="36" xfId="0" applyFont="1" applyFill="1" applyBorder="1" applyProtection="1">
      <protection locked="0"/>
    </xf>
    <xf numFmtId="10" fontId="18" fillId="4" borderId="36" xfId="0" applyNumberFormat="1" applyFont="1" applyFill="1" applyBorder="1" applyProtection="1">
      <protection locked="0"/>
    </xf>
    <xf numFmtId="9" fontId="18" fillId="4" borderId="32" xfId="0" applyNumberFormat="1" applyFont="1" applyFill="1" applyBorder="1" applyProtection="1">
      <protection locked="0"/>
    </xf>
    <xf numFmtId="0" fontId="8" fillId="0" borderId="14" xfId="2" applyBorder="1" applyAlignment="1" applyProtection="1"/>
    <xf numFmtId="9" fontId="18" fillId="5" borderId="38" xfId="0" applyNumberFormat="1" applyFont="1" applyFill="1" applyBorder="1"/>
    <xf numFmtId="169" fontId="18" fillId="5" borderId="32" xfId="0" applyNumberFormat="1" applyFont="1" applyFill="1" applyBorder="1"/>
    <xf numFmtId="169" fontId="18" fillId="5" borderId="34" xfId="0" applyNumberFormat="1" applyFont="1" applyFill="1" applyBorder="1"/>
    <xf numFmtId="0" fontId="16" fillId="0" borderId="39" xfId="0" applyFont="1" applyBorder="1"/>
    <xf numFmtId="0" fontId="16" fillId="0" borderId="42" xfId="0" applyFont="1" applyBorder="1"/>
    <xf numFmtId="0" fontId="16" fillId="0" borderId="35" xfId="0" applyFont="1" applyBorder="1"/>
    <xf numFmtId="10" fontId="16" fillId="0" borderId="36" xfId="0" applyNumberFormat="1" applyFont="1" applyBorder="1"/>
    <xf numFmtId="10" fontId="16" fillId="0" borderId="36" xfId="6" applyNumberFormat="1" applyFont="1" applyBorder="1"/>
    <xf numFmtId="0" fontId="16" fillId="0" borderId="36" xfId="0" applyFont="1" applyBorder="1"/>
    <xf numFmtId="0" fontId="16" fillId="0" borderId="37" xfId="0" applyFont="1" applyBorder="1"/>
    <xf numFmtId="0" fontId="17" fillId="0" borderId="35" xfId="0" applyFont="1" applyBorder="1"/>
    <xf numFmtId="10" fontId="17" fillId="0" borderId="36" xfId="0" applyNumberFormat="1" applyFont="1" applyBorder="1"/>
    <xf numFmtId="0" fontId="17" fillId="0" borderId="37" xfId="0" applyFont="1" applyBorder="1"/>
    <xf numFmtId="10" fontId="17" fillId="0" borderId="32" xfId="0" applyNumberFormat="1" applyFont="1" applyBorder="1"/>
    <xf numFmtId="165" fontId="16" fillId="0" borderId="36" xfId="1" applyFont="1" applyBorder="1"/>
    <xf numFmtId="0" fontId="16" fillId="0" borderId="47" xfId="0" applyFont="1" applyBorder="1"/>
    <xf numFmtId="0" fontId="16" fillId="0" borderId="1" xfId="0" applyFont="1" applyBorder="1"/>
    <xf numFmtId="0" fontId="16" fillId="0" borderId="48" xfId="0" applyFont="1" applyBorder="1"/>
    <xf numFmtId="0" fontId="16" fillId="0" borderId="44" xfId="0" applyFont="1" applyBorder="1"/>
    <xf numFmtId="0" fontId="17" fillId="8" borderId="39" xfId="0" applyFont="1" applyFill="1" applyBorder="1"/>
    <xf numFmtId="0" fontId="17" fillId="8" borderId="41" xfId="0" applyFont="1" applyFill="1" applyBorder="1"/>
    <xf numFmtId="0" fontId="17" fillId="8" borderId="42" xfId="0" applyFont="1" applyFill="1" applyBorder="1"/>
    <xf numFmtId="0" fontId="17" fillId="9" borderId="44" xfId="0" applyFont="1" applyFill="1" applyBorder="1"/>
    <xf numFmtId="166" fontId="17" fillId="9" borderId="45" xfId="6" applyNumberFormat="1" applyFont="1" applyFill="1" applyBorder="1"/>
    <xf numFmtId="166" fontId="17" fillId="9" borderId="12" xfId="6" applyNumberFormat="1" applyFont="1" applyFill="1" applyBorder="1"/>
    <xf numFmtId="0" fontId="19" fillId="0" borderId="0" xfId="0" applyFont="1" applyAlignment="1">
      <alignment horizontal="center" vertical="center"/>
    </xf>
    <xf numFmtId="165" fontId="16" fillId="0" borderId="32" xfId="1" applyFont="1" applyBorder="1"/>
    <xf numFmtId="0" fontId="16" fillId="0" borderId="46" xfId="0" applyFont="1" applyBorder="1"/>
    <xf numFmtId="0" fontId="16" fillId="0" borderId="45" xfId="0" applyFont="1" applyBorder="1"/>
    <xf numFmtId="0" fontId="16" fillId="0" borderId="12" xfId="0" applyFont="1" applyBorder="1"/>
    <xf numFmtId="9" fontId="25" fillId="0" borderId="13" xfId="0" applyNumberFormat="1" applyFont="1" applyBorder="1"/>
    <xf numFmtId="165" fontId="16" fillId="0" borderId="13" xfId="0" applyNumberFormat="1" applyFont="1" applyBorder="1"/>
    <xf numFmtId="0" fontId="17" fillId="0" borderId="13" xfId="4" applyFont="1" applyBorder="1"/>
    <xf numFmtId="165" fontId="16" fillId="0" borderId="13" xfId="1" applyFont="1" applyBorder="1" applyAlignment="1"/>
    <xf numFmtId="0" fontId="16" fillId="0" borderId="13" xfId="4" applyFont="1" applyBorder="1" applyAlignment="1">
      <alignment horizontal="left" indent="1"/>
    </xf>
    <xf numFmtId="175" fontId="16" fillId="0" borderId="13" xfId="1" applyNumberFormat="1" applyFont="1" applyBorder="1" applyAlignment="1">
      <alignment horizontal="center"/>
    </xf>
    <xf numFmtId="0" fontId="17" fillId="0" borderId="7" xfId="4" applyFont="1" applyBorder="1"/>
    <xf numFmtId="0" fontId="17" fillId="0" borderId="7" xfId="0" applyFont="1" applyBorder="1"/>
    <xf numFmtId="0" fontId="3" fillId="0" borderId="0" xfId="7"/>
    <xf numFmtId="0" fontId="3" fillId="0" borderId="13" xfId="7" applyBorder="1"/>
    <xf numFmtId="0" fontId="3" fillId="0" borderId="0" xfId="7" applyAlignment="1">
      <alignment horizontal="center"/>
    </xf>
    <xf numFmtId="166" fontId="0" fillId="0" borderId="0" xfId="8" applyNumberFormat="1" applyFont="1"/>
    <xf numFmtId="9" fontId="3" fillId="0" borderId="13" xfId="7" applyNumberFormat="1" applyBorder="1" applyAlignment="1">
      <alignment horizontal="center"/>
    </xf>
    <xf numFmtId="49" fontId="3" fillId="0" borderId="13" xfId="7" applyNumberFormat="1" applyBorder="1" applyAlignment="1">
      <alignment horizontal="center"/>
    </xf>
    <xf numFmtId="0" fontId="3" fillId="0" borderId="13" xfId="7" applyBorder="1" applyAlignment="1">
      <alignment horizontal="center"/>
    </xf>
    <xf numFmtId="10" fontId="3" fillId="0" borderId="0" xfId="7" applyNumberFormat="1" applyAlignment="1">
      <alignment horizontal="center"/>
    </xf>
    <xf numFmtId="166" fontId="18" fillId="0" borderId="48" xfId="6" applyNumberFormat="1" applyFont="1" applyBorder="1"/>
    <xf numFmtId="49" fontId="3" fillId="4" borderId="13" xfId="7" applyNumberFormat="1" applyFill="1" applyBorder="1" applyAlignment="1">
      <alignment horizontal="center"/>
    </xf>
    <xf numFmtId="0" fontId="18" fillId="0" borderId="35" xfId="0" applyFont="1" applyBorder="1" applyProtection="1">
      <protection locked="0"/>
    </xf>
    <xf numFmtId="0" fontId="18" fillId="0" borderId="37" xfId="0" applyFont="1" applyBorder="1" applyProtection="1">
      <protection locked="0"/>
    </xf>
    <xf numFmtId="0" fontId="18" fillId="0" borderId="39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9" fillId="0" borderId="33" xfId="0" applyFont="1" applyBorder="1"/>
    <xf numFmtId="0" fontId="19" fillId="0" borderId="37" xfId="0" applyFont="1" applyBorder="1"/>
    <xf numFmtId="0" fontId="18" fillId="0" borderId="33" xfId="0" applyFont="1" applyBorder="1"/>
    <xf numFmtId="0" fontId="18" fillId="0" borderId="7" xfId="0" applyFont="1" applyBorder="1"/>
    <xf numFmtId="0" fontId="18" fillId="0" borderId="39" xfId="0" applyFont="1" applyBorder="1"/>
    <xf numFmtId="0" fontId="18" fillId="0" borderId="41" xfId="0" applyFont="1" applyBorder="1"/>
    <xf numFmtId="0" fontId="18" fillId="0" borderId="3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1" fontId="18" fillId="4" borderId="34" xfId="0" applyNumberFormat="1" applyFont="1" applyFill="1" applyBorder="1"/>
    <xf numFmtId="1" fontId="28" fillId="10" borderId="11" xfId="0" applyNumberFormat="1" applyFont="1" applyFill="1" applyBorder="1" applyAlignment="1">
      <alignment vertical="center"/>
    </xf>
    <xf numFmtId="0" fontId="18" fillId="0" borderId="13" xfId="0" applyFont="1" applyBorder="1" applyProtection="1">
      <protection locked="0"/>
    </xf>
    <xf numFmtId="166" fontId="18" fillId="4" borderId="36" xfId="6" applyNumberFormat="1" applyFont="1" applyFill="1" applyBorder="1"/>
    <xf numFmtId="0" fontId="18" fillId="0" borderId="9" xfId="0" applyFont="1" applyBorder="1"/>
    <xf numFmtId="0" fontId="18" fillId="0" borderId="51" xfId="0" applyFont="1" applyBorder="1"/>
    <xf numFmtId="0" fontId="18" fillId="0" borderId="8" xfId="0" applyFont="1" applyBorder="1"/>
    <xf numFmtId="0" fontId="18" fillId="0" borderId="29" xfId="0" quotePrefix="1" applyFont="1" applyBorder="1"/>
    <xf numFmtId="0" fontId="18" fillId="0" borderId="29" xfId="0" applyFont="1" applyBorder="1"/>
    <xf numFmtId="49" fontId="3" fillId="4" borderId="50" xfId="7" applyNumberFormat="1" applyFill="1" applyBorder="1" applyAlignment="1">
      <alignment horizontal="center"/>
    </xf>
    <xf numFmtId="0" fontId="18" fillId="0" borderId="53" xfId="0" applyFont="1" applyBorder="1"/>
    <xf numFmtId="9" fontId="18" fillId="4" borderId="8" xfId="0" applyNumberFormat="1" applyFont="1" applyFill="1" applyBorder="1"/>
    <xf numFmtId="9" fontId="18" fillId="5" borderId="53" xfId="0" applyNumberFormat="1" applyFont="1" applyFill="1" applyBorder="1"/>
    <xf numFmtId="0" fontId="18" fillId="0" borderId="0" xfId="0" applyFont="1" applyProtection="1">
      <protection locked="0"/>
    </xf>
    <xf numFmtId="0" fontId="19" fillId="0" borderId="1" xfId="0" applyFont="1" applyBorder="1" applyAlignment="1">
      <alignment wrapText="1"/>
    </xf>
    <xf numFmtId="0" fontId="19" fillId="5" borderId="44" xfId="0" applyFont="1" applyFill="1" applyBorder="1" applyAlignment="1">
      <alignment horizontal="left" vertical="top" wrapText="1" indent="1"/>
    </xf>
    <xf numFmtId="2" fontId="19" fillId="5" borderId="12" xfId="0" applyNumberFormat="1" applyFont="1" applyFill="1" applyBorder="1"/>
    <xf numFmtId="0" fontId="19" fillId="5" borderId="45" xfId="0" applyFont="1" applyFill="1" applyBorder="1" applyAlignment="1">
      <alignment wrapText="1"/>
    </xf>
    <xf numFmtId="0" fontId="19" fillId="5" borderId="44" xfId="0" applyFont="1" applyFill="1" applyBorder="1"/>
    <xf numFmtId="0" fontId="18" fillId="5" borderId="45" xfId="0" applyFont="1" applyFill="1" applyBorder="1"/>
    <xf numFmtId="0" fontId="18" fillId="0" borderId="33" xfId="0" applyFont="1" applyBorder="1" applyAlignment="1">
      <alignment horizontal="left" vertical="top" wrapText="1"/>
    </xf>
    <xf numFmtId="2" fontId="19" fillId="0" borderId="34" xfId="0" applyNumberFormat="1" applyFont="1" applyBorder="1"/>
    <xf numFmtId="0" fontId="18" fillId="0" borderId="47" xfId="0" applyFont="1" applyBorder="1" applyAlignment="1">
      <alignment horizontal="left" vertical="top" wrapText="1"/>
    </xf>
    <xf numFmtId="2" fontId="19" fillId="0" borderId="48" xfId="0" applyNumberFormat="1" applyFont="1" applyBorder="1"/>
    <xf numFmtId="174" fontId="18" fillId="4" borderId="36" xfId="0" applyNumberFormat="1" applyFont="1" applyFill="1" applyBorder="1" applyAlignment="1" applyProtection="1">
      <alignment horizontal="right"/>
      <protection locked="0"/>
    </xf>
    <xf numFmtId="0" fontId="19" fillId="0" borderId="14" xfId="0" applyFont="1" applyBorder="1" applyAlignment="1">
      <alignment horizontal="left"/>
    </xf>
    <xf numFmtId="0" fontId="19" fillId="0" borderId="0" xfId="0" applyFont="1" applyAlignment="1">
      <alignment horizontal="center"/>
    </xf>
    <xf numFmtId="9" fontId="18" fillId="4" borderId="32" xfId="6" applyFont="1" applyFill="1" applyBorder="1" applyAlignment="1" applyProtection="1">
      <alignment horizontal="right"/>
      <protection locked="0"/>
    </xf>
    <xf numFmtId="0" fontId="18" fillId="0" borderId="38" xfId="0" applyFont="1" applyBorder="1" applyProtection="1">
      <protection locked="0"/>
    </xf>
    <xf numFmtId="166" fontId="18" fillId="4" borderId="36" xfId="6" applyNumberFormat="1" applyFont="1" applyFill="1" applyBorder="1" applyAlignment="1" applyProtection="1">
      <alignment horizontal="right"/>
      <protection locked="0"/>
    </xf>
    <xf numFmtId="166" fontId="23" fillId="0" borderId="32" xfId="0" applyNumberFormat="1" applyFont="1" applyBorder="1" applyAlignment="1">
      <alignment horizontal="center"/>
    </xf>
    <xf numFmtId="0" fontId="18" fillId="4" borderId="34" xfId="0" applyFont="1" applyFill="1" applyBorder="1"/>
    <xf numFmtId="0" fontId="18" fillId="4" borderId="36" xfId="0" applyFont="1" applyFill="1" applyBorder="1"/>
    <xf numFmtId="0" fontId="21" fillId="0" borderId="44" xfId="0" applyFont="1" applyBorder="1"/>
    <xf numFmtId="176" fontId="21" fillId="0" borderId="12" xfId="0" applyNumberFormat="1" applyFont="1" applyBorder="1"/>
    <xf numFmtId="166" fontId="16" fillId="0" borderId="0" xfId="6" applyNumberFormat="1" applyFont="1"/>
    <xf numFmtId="0" fontId="1" fillId="0" borderId="42" xfId="7" applyFont="1" applyBorder="1" applyAlignment="1">
      <alignment horizontal="center"/>
    </xf>
    <xf numFmtId="0" fontId="1" fillId="0" borderId="36" xfId="7" applyFont="1" applyBorder="1" applyAlignment="1">
      <alignment horizontal="left" indent="1"/>
    </xf>
    <xf numFmtId="2" fontId="1" fillId="0" borderId="36" xfId="7" applyNumberFormat="1" applyFont="1" applyBorder="1" applyAlignment="1">
      <alignment horizontal="center"/>
    </xf>
    <xf numFmtId="0" fontId="19" fillId="0" borderId="28" xfId="0" applyFont="1" applyBorder="1" applyAlignment="1">
      <alignment horizontal="center" vertical="center"/>
    </xf>
    <xf numFmtId="2" fontId="16" fillId="0" borderId="44" xfId="0" applyNumberFormat="1" applyFont="1" applyBorder="1"/>
    <xf numFmtId="0" fontId="3" fillId="0" borderId="35" xfId="7" applyBorder="1" applyAlignment="1">
      <alignment horizontal="center"/>
    </xf>
    <xf numFmtId="0" fontId="18" fillId="0" borderId="44" xfId="0" applyFont="1" applyBorder="1" applyAlignment="1">
      <alignment vertical="center"/>
    </xf>
    <xf numFmtId="9" fontId="18" fillId="4" borderId="12" xfId="0" applyNumberFormat="1" applyFont="1" applyFill="1" applyBorder="1"/>
    <xf numFmtId="9" fontId="16" fillId="0" borderId="0" xfId="0" applyNumberFormat="1" applyFont="1"/>
    <xf numFmtId="0" fontId="18" fillId="0" borderId="50" xfId="0" applyFont="1" applyBorder="1"/>
    <xf numFmtId="2" fontId="18" fillId="4" borderId="48" xfId="0" applyNumberFormat="1" applyFont="1" applyFill="1" applyBorder="1"/>
    <xf numFmtId="0" fontId="16" fillId="0" borderId="11" xfId="0" applyFont="1" applyBorder="1"/>
    <xf numFmtId="0" fontId="16" fillId="0" borderId="28" xfId="0" applyFont="1" applyBorder="1"/>
    <xf numFmtId="0" fontId="16" fillId="0" borderId="27" xfId="0" applyFont="1" applyBorder="1"/>
    <xf numFmtId="0" fontId="17" fillId="0" borderId="0" xfId="0" applyFont="1" applyAlignment="1">
      <alignment vertical="center" wrapText="1"/>
    </xf>
    <xf numFmtId="173" fontId="17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0" fillId="0" borderId="14" xfId="0" applyNumberFormat="1" applyFont="1" applyBorder="1" applyAlignment="1">
      <alignment vertical="center"/>
    </xf>
    <xf numFmtId="3" fontId="30" fillId="0" borderId="0" xfId="0" applyNumberFormat="1" applyFont="1" applyAlignment="1">
      <alignment vertical="center"/>
    </xf>
    <xf numFmtId="3" fontId="30" fillId="0" borderId="15" xfId="0" applyNumberFormat="1" applyFont="1" applyBorder="1" applyAlignment="1">
      <alignment vertical="center"/>
    </xf>
    <xf numFmtId="9" fontId="16" fillId="0" borderId="0" xfId="0" applyNumberFormat="1" applyFont="1" applyAlignment="1">
      <alignment vertical="center" wrapText="1"/>
    </xf>
    <xf numFmtId="3" fontId="32" fillId="0" borderId="13" xfId="0" applyNumberFormat="1" applyFont="1" applyBorder="1" applyAlignment="1">
      <alignment vertical="center"/>
    </xf>
    <xf numFmtId="4" fontId="32" fillId="0" borderId="13" xfId="0" applyNumberFormat="1" applyFont="1" applyBorder="1" applyAlignment="1">
      <alignment vertical="center"/>
    </xf>
    <xf numFmtId="3" fontId="30" fillId="0" borderId="13" xfId="0" applyNumberFormat="1" applyFont="1" applyBorder="1" applyAlignment="1">
      <alignment vertical="center"/>
    </xf>
    <xf numFmtId="3" fontId="30" fillId="0" borderId="13" xfId="0" applyNumberFormat="1" applyFont="1" applyBorder="1" applyAlignment="1">
      <alignment vertical="center" wrapText="1"/>
    </xf>
    <xf numFmtId="3" fontId="32" fillId="0" borderId="39" xfId="0" applyNumberFormat="1" applyFont="1" applyBorder="1" applyAlignment="1">
      <alignment vertical="center"/>
    </xf>
    <xf numFmtId="4" fontId="32" fillId="0" borderId="41" xfId="0" applyNumberFormat="1" applyFont="1" applyBorder="1" applyAlignment="1">
      <alignment vertical="center"/>
    </xf>
    <xf numFmtId="3" fontId="30" fillId="0" borderId="41" xfId="0" applyNumberFormat="1" applyFont="1" applyBorder="1" applyAlignment="1">
      <alignment vertical="center"/>
    </xf>
    <xf numFmtId="3" fontId="32" fillId="0" borderId="41" xfId="0" applyNumberFormat="1" applyFont="1" applyBorder="1" applyAlignment="1">
      <alignment vertical="center"/>
    </xf>
    <xf numFmtId="3" fontId="30" fillId="0" borderId="42" xfId="0" applyNumberFormat="1" applyFont="1" applyBorder="1" applyAlignment="1">
      <alignment vertical="center"/>
    </xf>
    <xf numFmtId="3" fontId="32" fillId="0" borderId="35" xfId="0" applyNumberFormat="1" applyFont="1" applyBorder="1" applyAlignment="1">
      <alignment vertical="center"/>
    </xf>
    <xf numFmtId="3" fontId="30" fillId="0" borderId="36" xfId="0" applyNumberFormat="1" applyFont="1" applyBorder="1" applyAlignment="1">
      <alignment vertical="center"/>
    </xf>
    <xf numFmtId="3" fontId="30" fillId="0" borderId="36" xfId="0" applyNumberFormat="1" applyFont="1" applyBorder="1" applyAlignment="1">
      <alignment vertical="center" wrapText="1"/>
    </xf>
    <xf numFmtId="3" fontId="32" fillId="0" borderId="37" xfId="0" applyNumberFormat="1" applyFont="1" applyBorder="1" applyAlignment="1">
      <alignment vertical="center"/>
    </xf>
    <xf numFmtId="4" fontId="32" fillId="0" borderId="38" xfId="0" applyNumberFormat="1" applyFont="1" applyBorder="1" applyAlignment="1">
      <alignment vertical="center"/>
    </xf>
    <xf numFmtId="3" fontId="30" fillId="0" borderId="38" xfId="0" applyNumberFormat="1" applyFont="1" applyBorder="1" applyAlignment="1">
      <alignment vertical="center" wrapText="1"/>
    </xf>
    <xf numFmtId="3" fontId="32" fillId="0" borderId="38" xfId="0" applyNumberFormat="1" applyFont="1" applyBorder="1" applyAlignment="1">
      <alignment vertical="center"/>
    </xf>
    <xf numFmtId="3" fontId="30" fillId="0" borderId="32" xfId="0" applyNumberFormat="1" applyFont="1" applyBorder="1" applyAlignment="1">
      <alignment vertical="center" wrapText="1"/>
    </xf>
    <xf numFmtId="3" fontId="32" fillId="0" borderId="44" xfId="0" applyNumberFormat="1" applyFont="1" applyBorder="1" applyAlignment="1">
      <alignment vertical="center"/>
    </xf>
    <xf numFmtId="166" fontId="32" fillId="4" borderId="45" xfId="6" applyNumberFormat="1" applyFont="1" applyFill="1" applyBorder="1" applyAlignment="1">
      <alignment vertical="center"/>
    </xf>
    <xf numFmtId="3" fontId="30" fillId="0" borderId="28" xfId="0" applyNumberFormat="1" applyFont="1" applyBorder="1" applyAlignment="1">
      <alignment vertical="center"/>
    </xf>
    <xf numFmtId="3" fontId="32" fillId="0" borderId="28" xfId="0" applyNumberFormat="1" applyFont="1" applyBorder="1" applyAlignment="1">
      <alignment vertical="center"/>
    </xf>
    <xf numFmtId="3" fontId="30" fillId="0" borderId="27" xfId="0" applyNumberFormat="1" applyFont="1" applyBorder="1" applyAlignment="1">
      <alignment vertical="center"/>
    </xf>
    <xf numFmtId="10" fontId="16" fillId="0" borderId="0" xfId="6" applyNumberFormat="1" applyFont="1"/>
    <xf numFmtId="173" fontId="16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left" vertical="center" wrapText="1"/>
    </xf>
    <xf numFmtId="177" fontId="16" fillId="0" borderId="0" xfId="1" applyNumberFormat="1" applyFont="1" applyBorder="1"/>
    <xf numFmtId="165" fontId="18" fillId="4" borderId="48" xfId="1" applyFont="1" applyFill="1" applyBorder="1"/>
    <xf numFmtId="165" fontId="17" fillId="0" borderId="0" xfId="1" applyFont="1"/>
    <xf numFmtId="165" fontId="21" fillId="0" borderId="0" xfId="1" applyFont="1"/>
    <xf numFmtId="4" fontId="16" fillId="0" borderId="0" xfId="0" applyNumberFormat="1" applyFont="1"/>
    <xf numFmtId="166" fontId="16" fillId="0" borderId="0" xfId="6" applyNumberFormat="1" applyFont="1" applyBorder="1"/>
    <xf numFmtId="166" fontId="16" fillId="0" borderId="0" xfId="0" applyNumberFormat="1" applyFont="1"/>
    <xf numFmtId="2" fontId="16" fillId="0" borderId="0" xfId="0" applyNumberFormat="1" applyFont="1" applyAlignment="1">
      <alignment horizontal="left"/>
    </xf>
    <xf numFmtId="0" fontId="29" fillId="7" borderId="11" xfId="0" applyFont="1" applyFill="1" applyBorder="1" applyAlignment="1">
      <alignment horizontal="center" vertical="center" wrapText="1"/>
    </xf>
    <xf numFmtId="0" fontId="29" fillId="7" borderId="28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8" fillId="0" borderId="35" xfId="0" applyFont="1" applyBorder="1" applyAlignment="1" applyProtection="1">
      <alignment horizontal="left"/>
      <protection locked="0"/>
    </xf>
    <xf numFmtId="0" fontId="18" fillId="0" borderId="31" xfId="0" applyFont="1" applyBorder="1" applyAlignment="1" applyProtection="1">
      <alignment horizontal="left"/>
      <protection locked="0"/>
    </xf>
    <xf numFmtId="0" fontId="18" fillId="0" borderId="37" xfId="0" applyFont="1" applyBorder="1" applyAlignment="1" applyProtection="1">
      <alignment horizontal="left"/>
      <protection locked="0"/>
    </xf>
    <xf numFmtId="0" fontId="18" fillId="0" borderId="43" xfId="0" applyFont="1" applyBorder="1" applyAlignment="1" applyProtection="1">
      <alignment horizontal="left"/>
      <protection locked="0"/>
    </xf>
    <xf numFmtId="0" fontId="19" fillId="0" borderId="11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4" borderId="49" xfId="0" applyFont="1" applyFill="1" applyBorder="1" applyAlignment="1">
      <alignment horizontal="center"/>
    </xf>
    <xf numFmtId="0" fontId="3" fillId="0" borderId="37" xfId="7" applyBorder="1" applyAlignment="1">
      <alignment horizontal="center"/>
    </xf>
    <xf numFmtId="0" fontId="3" fillId="0" borderId="38" xfId="7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4" borderId="53" xfId="0" applyFont="1" applyFill="1" applyBorder="1" applyAlignment="1">
      <alignment horizontal="center"/>
    </xf>
    <xf numFmtId="0" fontId="21" fillId="4" borderId="54" xfId="0" applyFont="1" applyFill="1" applyBorder="1" applyAlignment="1">
      <alignment horizontal="center"/>
    </xf>
    <xf numFmtId="0" fontId="3" fillId="0" borderId="39" xfId="7" applyBorder="1" applyAlignment="1">
      <alignment horizontal="center"/>
    </xf>
    <xf numFmtId="0" fontId="3" fillId="0" borderId="41" xfId="7" applyBorder="1" applyAlignment="1">
      <alignment horizontal="center"/>
    </xf>
    <xf numFmtId="1" fontId="28" fillId="10" borderId="22" xfId="0" applyNumberFormat="1" applyFont="1" applyFill="1" applyBorder="1" applyAlignment="1">
      <alignment horizontal="right" vertical="center" wrapText="1"/>
    </xf>
    <xf numFmtId="0" fontId="28" fillId="10" borderId="14" xfId="0" applyFont="1" applyFill="1" applyBorder="1" applyAlignment="1">
      <alignment horizontal="right" vertical="center" wrapText="1"/>
    </xf>
    <xf numFmtId="0" fontId="28" fillId="10" borderId="25" xfId="0" applyFont="1" applyFill="1" applyBorder="1" applyAlignment="1">
      <alignment horizontal="right" vertical="center" wrapText="1"/>
    </xf>
    <xf numFmtId="0" fontId="19" fillId="0" borderId="11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31" fillId="0" borderId="25" xfId="0" applyFont="1" applyBorder="1" applyAlignment="1" applyProtection="1">
      <alignment horizontal="center"/>
      <protection locked="0"/>
    </xf>
    <xf numFmtId="0" fontId="31" fillId="0" borderId="4" xfId="0" applyFont="1" applyBorder="1" applyAlignment="1" applyProtection="1">
      <alignment horizontal="center"/>
      <protection locked="0"/>
    </xf>
    <xf numFmtId="0" fontId="31" fillId="0" borderId="26" xfId="0" applyFont="1" applyBorder="1" applyAlignment="1" applyProtection="1">
      <alignment horizontal="center"/>
      <protection locked="0"/>
    </xf>
    <xf numFmtId="0" fontId="18" fillId="0" borderId="39" xfId="0" applyFont="1" applyBorder="1" applyAlignment="1" applyProtection="1">
      <alignment horizontal="left"/>
      <protection locked="0"/>
    </xf>
    <xf numFmtId="0" fontId="18" fillId="0" borderId="40" xfId="0" applyFont="1" applyBorder="1" applyAlignment="1" applyProtection="1">
      <alignment horizontal="left"/>
      <protection locked="0"/>
    </xf>
    <xf numFmtId="0" fontId="28" fillId="10" borderId="23" xfId="0" applyFont="1" applyFill="1" applyBorder="1" applyAlignment="1">
      <alignment horizontal="center" vertical="center" wrapText="1"/>
    </xf>
    <xf numFmtId="0" fontId="28" fillId="10" borderId="0" xfId="0" applyFont="1" applyFill="1" applyAlignment="1">
      <alignment horizontal="center" vertical="center" wrapText="1"/>
    </xf>
    <xf numFmtId="0" fontId="28" fillId="10" borderId="4" xfId="0" applyFont="1" applyFill="1" applyBorder="1" applyAlignment="1">
      <alignment horizontal="center" vertical="center" wrapText="1"/>
    </xf>
    <xf numFmtId="0" fontId="28" fillId="10" borderId="23" xfId="0" applyFont="1" applyFill="1" applyBorder="1" applyAlignment="1">
      <alignment horizontal="left" vertical="center" wrapText="1"/>
    </xf>
    <xf numFmtId="0" fontId="28" fillId="10" borderId="24" xfId="0" applyFont="1" applyFill="1" applyBorder="1" applyAlignment="1">
      <alignment horizontal="left" vertical="center" wrapText="1"/>
    </xf>
    <xf numFmtId="0" fontId="28" fillId="10" borderId="0" xfId="0" applyFont="1" applyFill="1" applyAlignment="1">
      <alignment horizontal="left" vertical="center" wrapText="1"/>
    </xf>
    <xf numFmtId="0" fontId="28" fillId="10" borderId="15" xfId="0" applyFont="1" applyFill="1" applyBorder="1" applyAlignment="1">
      <alignment horizontal="left" vertical="center" wrapText="1"/>
    </xf>
    <xf numFmtId="0" fontId="28" fillId="10" borderId="4" xfId="0" applyFont="1" applyFill="1" applyBorder="1" applyAlignment="1">
      <alignment horizontal="left" vertical="center" wrapText="1"/>
    </xf>
    <xf numFmtId="0" fontId="28" fillId="10" borderId="26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5" xfId="0" applyFont="1" applyFill="1" applyBorder="1" applyAlignment="1">
      <alignment horizontal="center"/>
    </xf>
    <xf numFmtId="0" fontId="3" fillId="0" borderId="35" xfId="7" applyBorder="1" applyAlignment="1">
      <alignment horizontal="center"/>
    </xf>
    <xf numFmtId="0" fontId="3" fillId="0" borderId="13" xfId="7" applyBorder="1" applyAlignment="1">
      <alignment horizontal="center"/>
    </xf>
    <xf numFmtId="0" fontId="2" fillId="0" borderId="35" xfId="7" applyFont="1" applyBorder="1" applyAlignment="1">
      <alignment horizontal="center"/>
    </xf>
    <xf numFmtId="0" fontId="2" fillId="0" borderId="13" xfId="7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9" fillId="5" borderId="11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/>
    </xf>
    <xf numFmtId="0" fontId="27" fillId="3" borderId="29" xfId="0" applyFont="1" applyFill="1" applyBorder="1" applyAlignment="1">
      <alignment horizontal="left"/>
    </xf>
    <xf numFmtId="0" fontId="27" fillId="3" borderId="30" xfId="0" applyFont="1" applyFill="1" applyBorder="1" applyAlignment="1">
      <alignment horizontal="left"/>
    </xf>
    <xf numFmtId="0" fontId="27" fillId="3" borderId="31" xfId="0" applyFont="1" applyFill="1" applyBorder="1" applyAlignment="1">
      <alignment horizontal="left"/>
    </xf>
    <xf numFmtId="0" fontId="22" fillId="10" borderId="23" xfId="0" applyFont="1" applyFill="1" applyBorder="1" applyAlignment="1">
      <alignment horizontal="left" vertical="center"/>
    </xf>
    <xf numFmtId="0" fontId="22" fillId="10" borderId="24" xfId="0" applyFont="1" applyFill="1" applyBorder="1" applyAlignment="1">
      <alignment horizontal="left" vertical="center"/>
    </xf>
    <xf numFmtId="0" fontId="22" fillId="10" borderId="0" xfId="0" applyFont="1" applyFill="1" applyAlignment="1">
      <alignment horizontal="left" vertical="center"/>
    </xf>
    <xf numFmtId="0" fontId="22" fillId="10" borderId="15" xfId="0" applyFont="1" applyFill="1" applyBorder="1" applyAlignment="1">
      <alignment horizontal="left" vertical="center"/>
    </xf>
    <xf numFmtId="0" fontId="22" fillId="10" borderId="4" xfId="0" applyFont="1" applyFill="1" applyBorder="1" applyAlignment="1">
      <alignment horizontal="left" vertical="center"/>
    </xf>
    <xf numFmtId="0" fontId="22" fillId="10" borderId="26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1" fontId="22" fillId="10" borderId="14" xfId="0" applyNumberFormat="1" applyFont="1" applyFill="1" applyBorder="1" applyAlignment="1">
      <alignment horizontal="center" vertical="center"/>
    </xf>
    <xf numFmtId="1" fontId="22" fillId="10" borderId="25" xfId="0" applyNumberFormat="1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16" fillId="0" borderId="0" xfId="0" applyFont="1"/>
    <xf numFmtId="1" fontId="22" fillId="10" borderId="22" xfId="0" applyNumberFormat="1" applyFont="1" applyFill="1" applyBorder="1" applyAlignment="1">
      <alignment horizontal="right" vertical="center" wrapText="1"/>
    </xf>
    <xf numFmtId="0" fontId="22" fillId="10" borderId="14" xfId="0" applyFont="1" applyFill="1" applyBorder="1" applyAlignment="1">
      <alignment horizontal="right" vertical="center" wrapText="1"/>
    </xf>
    <xf numFmtId="0" fontId="22" fillId="10" borderId="25" xfId="0" applyFont="1" applyFill="1" applyBorder="1" applyAlignment="1">
      <alignment horizontal="right" vertical="center" wrapText="1"/>
    </xf>
    <xf numFmtId="0" fontId="22" fillId="10" borderId="23" xfId="0" applyFont="1" applyFill="1" applyBorder="1" applyAlignment="1">
      <alignment horizontal="left" vertical="center" wrapText="1"/>
    </xf>
    <xf numFmtId="0" fontId="22" fillId="10" borderId="24" xfId="0" applyFont="1" applyFill="1" applyBorder="1" applyAlignment="1">
      <alignment horizontal="left" vertical="center" wrapText="1"/>
    </xf>
    <xf numFmtId="0" fontId="22" fillId="10" borderId="0" xfId="0" applyFont="1" applyFill="1" applyAlignment="1">
      <alignment horizontal="left" vertical="center" wrapText="1"/>
    </xf>
    <xf numFmtId="0" fontId="22" fillId="10" borderId="15" xfId="0" applyFont="1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>
      <alignment horizontal="left" vertical="center" wrapText="1"/>
    </xf>
    <xf numFmtId="0" fontId="28" fillId="10" borderId="28" xfId="0" applyFont="1" applyFill="1" applyBorder="1" applyAlignment="1">
      <alignment horizontal="center" vertical="center"/>
    </xf>
    <xf numFmtId="0" fontId="28" fillId="10" borderId="28" xfId="0" applyFont="1" applyFill="1" applyBorder="1" applyAlignment="1">
      <alignment horizontal="left" vertical="center"/>
    </xf>
    <xf numFmtId="0" fontId="28" fillId="10" borderId="27" xfId="0" applyFont="1" applyFill="1" applyBorder="1" applyAlignment="1">
      <alignment horizontal="left" vertical="center"/>
    </xf>
    <xf numFmtId="1" fontId="22" fillId="10" borderId="0" xfId="0" applyNumberFormat="1" applyFont="1" applyFill="1" applyAlignment="1">
      <alignment horizontal="right" vertical="center"/>
    </xf>
    <xf numFmtId="0" fontId="22" fillId="10" borderId="0" xfId="0" applyFont="1" applyFill="1" applyAlignment="1">
      <alignment horizontal="right" vertical="center"/>
    </xf>
  </cellXfs>
  <cellStyles count="9">
    <cellStyle name="Comma" xfId="1" builtinId="3"/>
    <cellStyle name="Hyperlink" xfId="2" builtinId="8"/>
    <cellStyle name="Normal" xfId="0" builtinId="0"/>
    <cellStyle name="Normal 2" xfId="7" xr:uid="{00000000-0005-0000-0000-000003000000}"/>
    <cellStyle name="Normal_OPEXP.XLS" xfId="3" xr:uid="{00000000-0005-0000-0000-000004000000}"/>
    <cellStyle name="Normal_PLANT&amp;EQ.XLS" xfId="4" xr:uid="{00000000-0005-0000-0000-000005000000}"/>
    <cellStyle name="Normal_wcdata03" xfId="5" xr:uid="{00000000-0005-0000-0000-000006000000}"/>
    <cellStyle name="Percent" xfId="6" builtinId="5"/>
    <cellStyle name="Percent 2" xfId="8" xr:uid="{00000000-0005-0000-0000-000008000000}"/>
  </cellStyles>
  <dxfs count="9"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vertical/>
        <horizontal/>
      </border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502404684963521"/>
          <c:y val="3.1128404669260701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'Energy Assessment'!$G$10</c:f>
              <c:strCache>
                <c:ptCount val="1"/>
                <c:pt idx="0">
                  <c:v>Energy Production with Losses into consideration
(KWh)</c:v>
                </c:pt>
              </c:strCache>
            </c:strRef>
          </c:tx>
          <c:invertIfNegative val="0"/>
          <c:cat>
            <c:strRef>
              <c:f>'Energy Assessment'!$B$11:$B$22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'Energy Assessment'!$G$11:$G$22</c:f>
              <c:numCache>
                <c:formatCode>#,##0.00</c:formatCode>
                <c:ptCount val="12"/>
                <c:pt idx="0">
                  <c:v>487452.36183225806</c:v>
                </c:pt>
                <c:pt idx="1">
                  <c:v>482348.14861935482</c:v>
                </c:pt>
                <c:pt idx="2">
                  <c:v>566567.6666322581</c:v>
                </c:pt>
                <c:pt idx="3">
                  <c:v>541046.60056774179</c:v>
                </c:pt>
                <c:pt idx="4">
                  <c:v>530838.17414193554</c:v>
                </c:pt>
                <c:pt idx="5">
                  <c:v>426201.80327741941</c:v>
                </c:pt>
                <c:pt idx="6">
                  <c:v>334325.96544516133</c:v>
                </c:pt>
                <c:pt idx="7">
                  <c:v>341982.28526451619</c:v>
                </c:pt>
                <c:pt idx="8">
                  <c:v>436410.22970322578</c:v>
                </c:pt>
                <c:pt idx="9">
                  <c:v>487452.36183225806</c:v>
                </c:pt>
                <c:pt idx="10">
                  <c:v>461931.29576774198</c:v>
                </c:pt>
                <c:pt idx="11">
                  <c:v>461931.29576774198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9-4947-937F-71EAE2527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17248"/>
        <c:axId val="64519552"/>
      </c:barChart>
      <c:catAx>
        <c:axId val="6451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519552"/>
        <c:crosses val="autoZero"/>
        <c:auto val="0"/>
        <c:lblAlgn val="ctr"/>
        <c:lblOffset val="100"/>
        <c:noMultiLvlLbl val="0"/>
      </c:catAx>
      <c:valAx>
        <c:axId val="6451955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5172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9</xdr:row>
      <xdr:rowOff>657225</xdr:rowOff>
    </xdr:from>
    <xdr:to>
      <xdr:col>18</xdr:col>
      <xdr:colOff>561975</xdr:colOff>
      <xdr:row>23</xdr:row>
      <xdr:rowOff>19050</xdr:rowOff>
    </xdr:to>
    <xdr:graphicFrame macro="">
      <xdr:nvGraphicFramePr>
        <xdr:cNvPr id="1121" name="Chart 1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Z101"/>
  <sheetViews>
    <sheetView tabSelected="1" zoomScaleNormal="100" workbookViewId="0"/>
  </sheetViews>
  <sheetFormatPr defaultColWidth="9.28515625" defaultRowHeight="12.75"/>
  <cols>
    <col min="1" max="1" width="1.7109375" style="37" customWidth="1"/>
    <col min="2" max="2" width="43.42578125" style="37" customWidth="1"/>
    <col min="3" max="3" width="13.85546875" style="37" customWidth="1"/>
    <col min="4" max="4" width="12" style="37" customWidth="1"/>
    <col min="5" max="5" width="10.28515625" style="37" customWidth="1"/>
    <col min="6" max="6" width="1.140625" style="37" customWidth="1"/>
    <col min="7" max="7" width="25.42578125" style="37" bestFit="1" customWidth="1"/>
    <col min="8" max="8" width="5.85546875" style="37" customWidth="1"/>
    <col min="9" max="9" width="11.42578125" style="37" bestFit="1" customWidth="1"/>
    <col min="10" max="10" width="1.42578125" style="37" customWidth="1"/>
    <col min="11" max="11" width="2.5703125" style="37" customWidth="1"/>
    <col min="12" max="12" width="21.7109375" style="56" bestFit="1" customWidth="1"/>
    <col min="13" max="13" width="13" style="37" bestFit="1" customWidth="1"/>
    <col min="14" max="14" width="3.5703125" style="37" customWidth="1"/>
    <col min="15" max="15" width="14.28515625" style="37" bestFit="1" customWidth="1"/>
    <col min="16" max="16" width="12.140625" style="37" customWidth="1"/>
    <col min="17" max="17" width="11" style="37" bestFit="1" customWidth="1"/>
    <col min="18" max="18" width="9.28515625" style="37"/>
    <col min="19" max="19" width="9.28515625" style="37" bestFit="1" customWidth="1"/>
    <col min="20" max="20" width="18.5703125" style="37" hidden="1" customWidth="1"/>
    <col min="21" max="21" width="15.85546875" style="37" bestFit="1" customWidth="1"/>
    <col min="22" max="22" width="28" style="37" bestFit="1" customWidth="1"/>
    <col min="23" max="23" width="13.85546875" style="37" bestFit="1" customWidth="1"/>
    <col min="24" max="24" width="10.28515625" style="37" bestFit="1" customWidth="1"/>
    <col min="25" max="27" width="9.28515625" style="37"/>
    <col min="28" max="29" width="0" style="37" hidden="1" customWidth="1"/>
    <col min="30" max="16384" width="9.28515625" style="37"/>
  </cols>
  <sheetData>
    <row r="1" spans="1:26" ht="13.5" thickBot="1"/>
    <row r="2" spans="1:26" ht="33.75" customHeight="1">
      <c r="A2" s="120"/>
      <c r="B2" s="416">
        <f>E10</f>
        <v>3578</v>
      </c>
      <c r="C2" s="427" t="s">
        <v>269</v>
      </c>
      <c r="D2" s="427"/>
      <c r="E2" s="427"/>
      <c r="F2" s="427"/>
      <c r="G2" s="430" t="str">
        <f>+'Dashboard-Input&amp;Output'!H37</f>
        <v>REC (BOO/Captive)</v>
      </c>
      <c r="H2" s="430"/>
      <c r="I2" s="431"/>
    </row>
    <row r="3" spans="1:26" ht="12.75" customHeight="1">
      <c r="B3" s="417"/>
      <c r="C3" s="428"/>
      <c r="D3" s="428"/>
      <c r="E3" s="428"/>
      <c r="F3" s="428"/>
      <c r="G3" s="432"/>
      <c r="H3" s="432"/>
      <c r="I3" s="433"/>
      <c r="Z3" s="37">
        <f>2500*3.5</f>
        <v>8750</v>
      </c>
    </row>
    <row r="4" spans="1:26" ht="12.75" customHeight="1">
      <c r="B4" s="417"/>
      <c r="C4" s="428"/>
      <c r="D4" s="428"/>
      <c r="E4" s="428"/>
      <c r="F4" s="428"/>
      <c r="G4" s="432"/>
      <c r="H4" s="432"/>
      <c r="I4" s="433"/>
      <c r="T4" s="24"/>
    </row>
    <row r="5" spans="1:26" ht="12.75" customHeight="1">
      <c r="B5" s="417"/>
      <c r="C5" s="428"/>
      <c r="D5" s="428"/>
      <c r="E5" s="428"/>
      <c r="F5" s="428"/>
      <c r="G5" s="432"/>
      <c r="H5" s="432"/>
      <c r="I5" s="433"/>
      <c r="T5" s="24" t="s">
        <v>274</v>
      </c>
    </row>
    <row r="6" spans="1:26" ht="13.5" customHeight="1" thickBot="1">
      <c r="B6" s="418"/>
      <c r="C6" s="429"/>
      <c r="D6" s="429"/>
      <c r="E6" s="429"/>
      <c r="F6" s="429"/>
      <c r="G6" s="434"/>
      <c r="H6" s="434"/>
      <c r="I6" s="435"/>
      <c r="T6" s="37" t="s">
        <v>317</v>
      </c>
    </row>
    <row r="7" spans="1:26" ht="14.25" customHeight="1" thickBot="1">
      <c r="C7" s="57"/>
      <c r="D7" s="57"/>
      <c r="E7" s="225" t="s">
        <v>275</v>
      </c>
      <c r="F7" s="57"/>
      <c r="G7" s="57"/>
      <c r="H7" s="57"/>
      <c r="I7" s="57"/>
      <c r="T7" s="24" t="s">
        <v>267</v>
      </c>
      <c r="V7" s="345"/>
      <c r="W7" s="345"/>
    </row>
    <row r="8" spans="1:26" ht="21.75" thickBot="1">
      <c r="B8" s="391" t="s">
        <v>108</v>
      </c>
      <c r="C8" s="392"/>
      <c r="D8" s="392"/>
      <c r="E8" s="392"/>
      <c r="F8" s="392"/>
      <c r="G8" s="392"/>
      <c r="H8" s="392"/>
      <c r="I8" s="393"/>
      <c r="K8" s="92"/>
      <c r="L8" s="186"/>
      <c r="M8" s="93"/>
      <c r="N8" s="93"/>
      <c r="O8" s="93"/>
      <c r="P8" s="93"/>
      <c r="Q8" s="159"/>
      <c r="V8" s="69"/>
    </row>
    <row r="9" spans="1:26" ht="21.75" thickBot="1">
      <c r="B9" s="419" t="s">
        <v>71</v>
      </c>
      <c r="C9" s="420"/>
      <c r="D9" s="420"/>
      <c r="E9" s="421"/>
      <c r="F9" s="182"/>
      <c r="G9" s="422" t="s">
        <v>229</v>
      </c>
      <c r="H9" s="423"/>
      <c r="I9" s="424"/>
      <c r="J9" s="60"/>
      <c r="K9" s="61"/>
      <c r="L9" s="391" t="s">
        <v>255</v>
      </c>
      <c r="M9" s="392"/>
      <c r="N9" s="392"/>
      <c r="O9" s="392"/>
      <c r="P9" s="393"/>
      <c r="Q9" s="62"/>
      <c r="U9" s="390"/>
    </row>
    <row r="10" spans="1:26" ht="16.5" thickBot="1">
      <c r="B10" s="293" t="s">
        <v>83</v>
      </c>
      <c r="C10" s="294"/>
      <c r="D10" s="307"/>
      <c r="E10" s="301">
        <v>3578</v>
      </c>
      <c r="F10" s="105"/>
      <c r="G10" s="425" t="s">
        <v>230</v>
      </c>
      <c r="H10" s="426"/>
      <c r="I10" s="232">
        <v>0.02</v>
      </c>
      <c r="J10" s="60"/>
      <c r="K10" s="187"/>
      <c r="L10" s="394" t="s">
        <v>252</v>
      </c>
      <c r="M10" s="395"/>
      <c r="N10" s="53"/>
      <c r="O10" s="402" t="s">
        <v>251</v>
      </c>
      <c r="P10" s="404"/>
      <c r="Q10" s="62"/>
      <c r="U10" s="382"/>
    </row>
    <row r="11" spans="1:26" ht="15.75">
      <c r="B11" s="203" t="s">
        <v>214</v>
      </c>
      <c r="C11" s="204" t="s">
        <v>270</v>
      </c>
      <c r="D11" s="308"/>
      <c r="E11" s="205">
        <f>'Energy Assessment'!E28/1000</f>
        <v>5558.4881888516138</v>
      </c>
      <c r="F11" s="105"/>
      <c r="G11" s="398" t="s">
        <v>231</v>
      </c>
      <c r="H11" s="399"/>
      <c r="I11" s="233">
        <v>4.4999999999999998E-2</v>
      </c>
      <c r="J11" s="60"/>
      <c r="K11" s="187"/>
      <c r="L11" s="210" t="s">
        <v>244</v>
      </c>
      <c r="M11" s="211">
        <f>+IRR!B31</f>
        <v>0.12194900520159924</v>
      </c>
      <c r="N11" s="53"/>
      <c r="O11" s="212" t="s">
        <v>109</v>
      </c>
      <c r="P11" s="213">
        <f>IFERROR('P&amp;L'!B43,"N.A")</f>
        <v>2.0582267799972289</v>
      </c>
      <c r="Q11" s="62"/>
      <c r="U11" s="382"/>
    </row>
    <row r="12" spans="1:26" ht="16.5" thickBot="1">
      <c r="B12" s="236" t="s">
        <v>215</v>
      </c>
      <c r="C12" s="206"/>
      <c r="D12" s="309"/>
      <c r="E12" s="205"/>
      <c r="F12" s="105"/>
      <c r="G12" s="398" t="s">
        <v>232</v>
      </c>
      <c r="H12" s="399"/>
      <c r="I12" s="234">
        <v>2E-3</v>
      </c>
      <c r="J12" s="60"/>
      <c r="K12" s="187"/>
      <c r="L12" s="214" t="s">
        <v>253</v>
      </c>
      <c r="M12" s="215">
        <f>+IRR!B34</f>
        <v>-1.1516708274707548</v>
      </c>
      <c r="N12" s="53"/>
      <c r="O12" s="216" t="s">
        <v>110</v>
      </c>
      <c r="P12" s="217">
        <f>IFERROR('P&amp;L'!C43,"N.A")</f>
        <v>1.2970606586944933</v>
      </c>
      <c r="Q12" s="62"/>
      <c r="U12" s="382"/>
    </row>
    <row r="13" spans="1:26" ht="16.5" thickBot="1">
      <c r="B13" s="203" t="s">
        <v>290</v>
      </c>
      <c r="C13" s="284" t="s">
        <v>315</v>
      </c>
      <c r="D13" s="310"/>
      <c r="E13" s="283">
        <f>VLOOKUP(C13,'Transmission chg'!G4:H12,2,0)</f>
        <v>1.4999999999999999E-2</v>
      </c>
      <c r="F13" s="105"/>
      <c r="G13" s="400" t="s">
        <v>313</v>
      </c>
      <c r="H13" s="401"/>
      <c r="I13" s="235">
        <v>0.01</v>
      </c>
      <c r="J13" s="60"/>
      <c r="K13" s="187"/>
      <c r="L13" s="53"/>
      <c r="M13" s="218"/>
      <c r="N13" s="53"/>
      <c r="O13" s="216" t="s">
        <v>111</v>
      </c>
      <c r="P13" s="217">
        <f>IFERROR('P&amp;L'!D43,"N.A")</f>
        <v>1.3322915976714251</v>
      </c>
      <c r="Q13" s="62"/>
      <c r="S13" s="100"/>
      <c r="U13" s="382"/>
    </row>
    <row r="14" spans="1:26" ht="16.5" thickBot="1">
      <c r="B14" s="305"/>
      <c r="C14" s="306"/>
      <c r="D14" s="306"/>
      <c r="E14" s="306"/>
      <c r="F14" s="105"/>
      <c r="G14" s="183"/>
      <c r="H14" s="183"/>
      <c r="I14" s="183"/>
      <c r="J14" s="60"/>
      <c r="K14" s="187"/>
      <c r="L14" s="396" t="s">
        <v>254</v>
      </c>
      <c r="M14" s="397"/>
      <c r="N14" s="53"/>
      <c r="O14" s="216" t="s">
        <v>112</v>
      </c>
      <c r="P14" s="217">
        <f>IFERROR('P&amp;L'!E43,"N.A")</f>
        <v>1.3702707070159852</v>
      </c>
      <c r="Q14" s="62"/>
      <c r="U14" s="382"/>
    </row>
    <row r="15" spans="1:26" ht="16.5" thickBot="1">
      <c r="B15" s="402" t="s">
        <v>296</v>
      </c>
      <c r="C15" s="403"/>
      <c r="D15" s="403"/>
      <c r="E15" s="404"/>
      <c r="F15" s="105"/>
      <c r="G15" s="402" t="s">
        <v>298</v>
      </c>
      <c r="H15" s="403"/>
      <c r="I15" s="404"/>
      <c r="J15" s="60"/>
      <c r="K15" s="187"/>
      <c r="L15" s="219" t="s">
        <v>244</v>
      </c>
      <c r="M15" s="220">
        <f>+IRR!B37</f>
        <v>0.18962928273187396</v>
      </c>
      <c r="N15" s="53"/>
      <c r="O15" s="216" t="s">
        <v>113</v>
      </c>
      <c r="P15" s="217">
        <f>IFERROR('P&amp;L'!F43,"N.A")</f>
        <v>1.4113108283337563</v>
      </c>
      <c r="Q15" s="62"/>
      <c r="U15" s="382"/>
      <c r="X15" s="100"/>
    </row>
    <row r="16" spans="1:26" ht="16.5" thickBot="1">
      <c r="B16" s="326" t="s">
        <v>305</v>
      </c>
      <c r="C16" s="327"/>
      <c r="D16" s="405" t="s">
        <v>306</v>
      </c>
      <c r="E16" s="406"/>
      <c r="F16" s="105"/>
      <c r="G16" s="293" t="s">
        <v>228</v>
      </c>
      <c r="H16" s="294"/>
      <c r="I16" s="332"/>
      <c r="J16" s="63"/>
      <c r="K16" s="187"/>
      <c r="L16" s="214" t="s">
        <v>253</v>
      </c>
      <c r="M16" s="215">
        <f>+IRR!B40</f>
        <v>2.0196143022472417</v>
      </c>
      <c r="N16" s="53"/>
      <c r="O16" s="216" t="s">
        <v>114</v>
      </c>
      <c r="P16" s="217">
        <f>IFERROR('P&amp;L'!G43,"N.A")</f>
        <v>1.2271290477875576</v>
      </c>
      <c r="Q16" s="62"/>
      <c r="X16" s="100"/>
    </row>
    <row r="17" spans="2:24" ht="15.75">
      <c r="B17" s="295" t="s">
        <v>217</v>
      </c>
      <c r="C17" s="296" t="s">
        <v>216</v>
      </c>
      <c r="D17" s="296"/>
      <c r="E17" s="209">
        <v>4.05</v>
      </c>
      <c r="F17" s="105"/>
      <c r="G17" s="203" t="s">
        <v>299</v>
      </c>
      <c r="H17" s="206"/>
      <c r="I17" s="333"/>
      <c r="J17" s="60"/>
      <c r="K17" s="188"/>
      <c r="L17" s="53"/>
      <c r="M17" s="53"/>
      <c r="N17" s="53"/>
      <c r="O17" s="216" t="s">
        <v>115</v>
      </c>
      <c r="P17" s="217">
        <f>IFERROR('P&amp;L'!H43,"N.A")</f>
        <v>1.2804494162675792</v>
      </c>
      <c r="Q17" s="62"/>
      <c r="V17" s="383"/>
      <c r="X17" s="100"/>
    </row>
    <row r="18" spans="2:24" ht="16.5" thickBot="1">
      <c r="B18" s="203" t="s">
        <v>297</v>
      </c>
      <c r="C18" s="206" t="s">
        <v>304</v>
      </c>
      <c r="D18" s="206"/>
      <c r="E18" s="304">
        <v>0</v>
      </c>
      <c r="F18" s="105"/>
      <c r="G18" s="207" t="s">
        <v>300</v>
      </c>
      <c r="H18" s="208"/>
      <c r="I18" s="384">
        <f>+E10*42/10000</f>
        <v>15.0276</v>
      </c>
      <c r="K18" s="187"/>
      <c r="L18" s="221"/>
      <c r="M18" s="53"/>
      <c r="N18" s="53"/>
      <c r="O18" s="216" t="s">
        <v>116</v>
      </c>
      <c r="P18" s="217">
        <f>IFERROR('P&amp;L'!I43,"N.A")</f>
        <v>1.3396788891401135</v>
      </c>
      <c r="Q18" s="62"/>
      <c r="V18" s="389"/>
      <c r="X18" s="100"/>
    </row>
    <row r="19" spans="2:24" ht="16.5" thickBot="1">
      <c r="B19" s="285" t="s">
        <v>233</v>
      </c>
      <c r="C19" s="231">
        <v>1</v>
      </c>
      <c r="D19" s="191">
        <v>5</v>
      </c>
      <c r="E19" s="325">
        <v>6</v>
      </c>
      <c r="F19" s="105"/>
      <c r="G19" s="319" t="s">
        <v>301</v>
      </c>
      <c r="H19" s="320"/>
      <c r="I19" s="317">
        <f>SUM(I16:I18)</f>
        <v>15.0276</v>
      </c>
      <c r="K19" s="61"/>
      <c r="L19" s="221"/>
      <c r="M19" s="53"/>
      <c r="N19" s="53"/>
      <c r="O19" s="216" t="s">
        <v>117</v>
      </c>
      <c r="P19" s="217">
        <f>IFERROR('P&amp;L'!J43,"N.A")</f>
        <v>1.4058165094189576</v>
      </c>
      <c r="Q19" s="62"/>
      <c r="X19" s="100"/>
    </row>
    <row r="20" spans="2:24" ht="15.75">
      <c r="B20" s="285" t="s">
        <v>234</v>
      </c>
      <c r="C20" s="231">
        <v>6</v>
      </c>
      <c r="D20" s="191">
        <v>10</v>
      </c>
      <c r="E20" s="325">
        <v>7</v>
      </c>
      <c r="F20" s="105"/>
      <c r="G20" s="321" t="s">
        <v>267</v>
      </c>
      <c r="H20" s="294"/>
      <c r="I20" s="322">
        <f>IF('Dashboard-Input&amp;Output'!H37="Capital Subsidy",(I18+I17)*0.3,0)</f>
        <v>0</v>
      </c>
      <c r="K20" s="61"/>
      <c r="L20" s="221"/>
      <c r="M20" s="53"/>
      <c r="N20" s="53"/>
      <c r="O20" s="216" t="s">
        <v>118</v>
      </c>
      <c r="P20" s="217">
        <f>IFERROR('P&amp;L'!K43,"N.A")</f>
        <v>1.4800977467665839</v>
      </c>
      <c r="Q20" s="62"/>
      <c r="U20" s="387"/>
      <c r="V20" s="388"/>
    </row>
    <row r="21" spans="2:24" ht="16.5" thickBot="1">
      <c r="B21" s="285" t="s">
        <v>235</v>
      </c>
      <c r="C21" s="231">
        <v>11</v>
      </c>
      <c r="D21" s="191">
        <v>15</v>
      </c>
      <c r="E21" s="325">
        <v>8</v>
      </c>
      <c r="F21" s="105"/>
      <c r="G21" s="323" t="s">
        <v>268</v>
      </c>
      <c r="H21" s="315"/>
      <c r="I21" s="324">
        <f>+I18+I17-I20</f>
        <v>15.0276</v>
      </c>
      <c r="K21" s="61"/>
      <c r="L21" s="222"/>
      <c r="M21" s="53"/>
      <c r="N21" s="53"/>
      <c r="O21" s="223" t="s">
        <v>78</v>
      </c>
      <c r="P21" s="224">
        <f>IFERROR(AVERAGE(P11:P20),"N.A")</f>
        <v>1.4202332181093682</v>
      </c>
      <c r="Q21" s="62"/>
    </row>
    <row r="22" spans="2:24" ht="16.5" thickBot="1">
      <c r="B22" s="285" t="s">
        <v>236</v>
      </c>
      <c r="C22" s="231">
        <v>16</v>
      </c>
      <c r="D22" s="191">
        <v>20</v>
      </c>
      <c r="E22" s="325">
        <v>9</v>
      </c>
      <c r="F22" s="105"/>
      <c r="G22" s="316" t="s">
        <v>261</v>
      </c>
      <c r="H22" s="318"/>
      <c r="I22" s="317">
        <f>+I21+I16</f>
        <v>15.0276</v>
      </c>
      <c r="J22" s="60"/>
      <c r="K22" s="94"/>
      <c r="L22" s="227"/>
      <c r="M22" s="228"/>
      <c r="N22" s="229"/>
      <c r="O22" s="228"/>
      <c r="P22" s="228"/>
      <c r="Q22" s="95"/>
    </row>
    <row r="23" spans="2:24" ht="16.5" thickBot="1">
      <c r="B23" s="285" t="s">
        <v>237</v>
      </c>
      <c r="C23" s="231">
        <v>21</v>
      </c>
      <c r="D23" s="191">
        <v>25</v>
      </c>
      <c r="E23" s="325">
        <v>10</v>
      </c>
      <c r="F23" s="105"/>
      <c r="G23" s="183"/>
      <c r="H23" s="183"/>
      <c r="I23" s="183"/>
      <c r="J23" s="60"/>
      <c r="K23" s="60"/>
      <c r="L23" s="37"/>
      <c r="M23" s="60"/>
    </row>
    <row r="24" spans="2:24" ht="16.149999999999999" customHeight="1" thickBot="1">
      <c r="B24" s="285" t="s">
        <v>295</v>
      </c>
      <c r="C24" s="303"/>
      <c r="D24" s="206"/>
      <c r="E24" s="325">
        <v>3</v>
      </c>
      <c r="F24" s="105"/>
      <c r="G24" s="436" t="s">
        <v>74</v>
      </c>
      <c r="H24" s="437"/>
      <c r="I24" s="438"/>
      <c r="J24" s="60"/>
      <c r="K24" s="355"/>
      <c r="L24" s="375" t="s">
        <v>324</v>
      </c>
      <c r="M24" s="376">
        <v>0.12</v>
      </c>
      <c r="N24" s="377"/>
      <c r="O24" s="378" t="s">
        <v>325</v>
      </c>
      <c r="P24" s="377"/>
      <c r="Q24" s="379"/>
    </row>
    <row r="25" spans="2:24" ht="15.6" customHeight="1" thickBot="1">
      <c r="B25" s="203" t="s">
        <v>297</v>
      </c>
      <c r="C25" s="303"/>
      <c r="D25" s="206"/>
      <c r="E25" s="330">
        <v>0.05</v>
      </c>
      <c r="F25" s="105"/>
      <c r="G25" s="287" t="s">
        <v>75</v>
      </c>
      <c r="H25" s="299"/>
      <c r="I25" s="194">
        <v>0</v>
      </c>
      <c r="J25" s="60"/>
      <c r="K25" s="355"/>
      <c r="L25" s="354"/>
      <c r="M25" s="355"/>
      <c r="N25" s="355"/>
      <c r="O25" s="355"/>
      <c r="P25" s="355"/>
      <c r="Q25" s="356"/>
    </row>
    <row r="26" spans="2:24" ht="16.149999999999999" customHeight="1" thickBot="1">
      <c r="B26" s="286" t="s">
        <v>312</v>
      </c>
      <c r="C26" s="329"/>
      <c r="D26" s="201"/>
      <c r="E26" s="328">
        <v>0</v>
      </c>
      <c r="F26" s="105"/>
      <c r="G26" s="288" t="s">
        <v>76</v>
      </c>
      <c r="H26" s="300"/>
      <c r="I26" s="195">
        <v>0.25</v>
      </c>
      <c r="J26" s="60"/>
      <c r="K26" s="355"/>
      <c r="L26" s="362">
        <v>1</v>
      </c>
      <c r="M26" s="363">
        <f>_xlfn.XLOOKUP(L26,'P&amp;L'!$B$5:$Z$5,'P&amp;L'!$B$38:$Z$38,0)</f>
        <v>6.2873473478069188</v>
      </c>
      <c r="N26" s="364"/>
      <c r="O26" s="365">
        <v>11</v>
      </c>
      <c r="P26" s="363">
        <f>_xlfn.XLOOKUP(O26,'P&amp;L'!$B$5:$Z$5,'P&amp;L'!$B$38:$Z$38,0)</f>
        <v>0</v>
      </c>
      <c r="Q26" s="366"/>
    </row>
    <row r="27" spans="2:24" ht="16.5" customHeight="1" thickBot="1">
      <c r="B27" s="314"/>
      <c r="C27" s="53"/>
      <c r="D27" s="53"/>
      <c r="E27" s="221"/>
      <c r="F27" s="105"/>
      <c r="G27" s="105"/>
      <c r="H27" s="105"/>
      <c r="I27" s="105"/>
      <c r="J27" s="60"/>
      <c r="K27" s="355"/>
      <c r="L27" s="367">
        <v>2</v>
      </c>
      <c r="M27" s="359">
        <f>_xlfn.XLOOKUP(L27,'P&amp;L'!$B$5:$Z$5,'P&amp;L'!$B$38:$Z$38,0)</f>
        <v>5.9087681554588469</v>
      </c>
      <c r="N27" s="360"/>
      <c r="O27" s="358">
        <v>12</v>
      </c>
      <c r="P27" s="359">
        <f>_xlfn.XLOOKUP(O27,'P&amp;L'!$B$5:$Z$5,'P&amp;L'!$B$38:$Z$38,0)</f>
        <v>0</v>
      </c>
      <c r="Q27" s="368"/>
    </row>
    <row r="28" spans="2:24" ht="15.75" customHeight="1" thickBot="1">
      <c r="B28" s="402" t="s">
        <v>72</v>
      </c>
      <c r="C28" s="403"/>
      <c r="D28" s="403"/>
      <c r="E28" s="404"/>
      <c r="F28" s="105"/>
      <c r="G28" s="436" t="s">
        <v>320</v>
      </c>
      <c r="H28" s="437"/>
      <c r="I28" s="438"/>
      <c r="J28" s="60"/>
      <c r="K28" s="355"/>
      <c r="L28" s="367">
        <v>3</v>
      </c>
      <c r="M28" s="359">
        <f>_xlfn.XLOOKUP(L28,'P&amp;L'!$B$5:$Z$5,'P&amp;L'!$B$38:$Z$38,0)</f>
        <v>6.1383122773407912</v>
      </c>
      <c r="N28" s="360"/>
      <c r="O28" s="358">
        <v>13</v>
      </c>
      <c r="P28" s="359">
        <f>_xlfn.XLOOKUP(O28,'P&amp;L'!$B$5:$Z$5,'P&amp;L'!$B$38:$Z$38,0)</f>
        <v>0</v>
      </c>
      <c r="Q28" s="368"/>
    </row>
    <row r="29" spans="2:24" ht="12.75" customHeight="1" thickBot="1">
      <c r="B29" s="293" t="s">
        <v>40</v>
      </c>
      <c r="C29" s="196">
        <v>0.25</v>
      </c>
      <c r="D29" s="312"/>
      <c r="E29" s="239">
        <f>C29*I22</f>
        <v>3.7568999999999999</v>
      </c>
      <c r="F29" s="105"/>
      <c r="G29" s="343" t="s">
        <v>321</v>
      </c>
      <c r="H29" s="340"/>
      <c r="I29" s="344">
        <v>0.4</v>
      </c>
      <c r="J29" s="60"/>
      <c r="K29" s="355"/>
      <c r="L29" s="367">
        <v>4</v>
      </c>
      <c r="M29" s="359">
        <f>_xlfn.XLOOKUP(L29,'P&amp;L'!$B$5:$Z$5,'P&amp;L'!$B$38:$Z$38,0)</f>
        <v>6.3563222778198867</v>
      </c>
      <c r="N29" s="360"/>
      <c r="O29" s="358">
        <v>14</v>
      </c>
      <c r="P29" s="359">
        <f>_xlfn.XLOOKUP(O29,'P&amp;L'!$B$5:$Z$5,'P&amp;L'!$B$38:$Z$38,0)</f>
        <v>0</v>
      </c>
      <c r="Q29" s="368"/>
    </row>
    <row r="30" spans="2:24" ht="12.75" customHeight="1" thickBot="1">
      <c r="B30" s="200" t="s">
        <v>70</v>
      </c>
      <c r="C30" s="237">
        <f>100%-C29</f>
        <v>0.75</v>
      </c>
      <c r="D30" s="313"/>
      <c r="E30" s="238">
        <f>C30*I22</f>
        <v>11.2707</v>
      </c>
      <c r="F30" s="105"/>
      <c r="G30" s="289" t="s">
        <v>75</v>
      </c>
      <c r="H30" s="297"/>
      <c r="I30" s="198">
        <v>0.04</v>
      </c>
      <c r="J30" s="60"/>
      <c r="L30" s="367">
        <v>5</v>
      </c>
      <c r="M30" s="359">
        <f>_xlfn.XLOOKUP(L30,'P&amp;L'!$B$5:$Z$5,'P&amp;L'!$B$38:$Z$38,0)</f>
        <v>6.5610445187732456</v>
      </c>
      <c r="N30" s="59"/>
      <c r="O30" s="358">
        <v>15</v>
      </c>
      <c r="P30" s="359">
        <f>_xlfn.XLOOKUP(O30,'P&amp;L'!$B$5:$Z$5,'P&amp;L'!$B$38:$Z$38,0)</f>
        <v>0</v>
      </c>
      <c r="Q30" s="245"/>
    </row>
    <row r="31" spans="2:24" ht="18" customHeight="1" thickBot="1">
      <c r="B31" s="197"/>
      <c r="C31" s="53"/>
      <c r="D31" s="53"/>
      <c r="E31" s="197"/>
      <c r="F31" s="105"/>
      <c r="G31" s="290" t="s">
        <v>76</v>
      </c>
      <c r="H31" s="298"/>
      <c r="I31" s="192">
        <v>0.04</v>
      </c>
      <c r="K31" s="353"/>
      <c r="L31" s="367">
        <v>6</v>
      </c>
      <c r="M31" s="359">
        <f>_xlfn.XLOOKUP(L31,'P&amp;L'!$B$5:$Z$5,'P&amp;L'!$B$38:$Z$38,0)</f>
        <v>6.7505015656315512</v>
      </c>
      <c r="N31" s="361"/>
      <c r="O31" s="358">
        <v>16</v>
      </c>
      <c r="P31" s="359">
        <f>_xlfn.XLOOKUP(O31,'P&amp;L'!$B$5:$Z$5,'P&amp;L'!$B$38:$Z$38,0)</f>
        <v>0</v>
      </c>
      <c r="Q31" s="369"/>
    </row>
    <row r="32" spans="2:24" ht="16.5" customHeight="1" thickBot="1">
      <c r="B32" s="402" t="s">
        <v>73</v>
      </c>
      <c r="C32" s="403"/>
      <c r="D32" s="403"/>
      <c r="E32" s="404"/>
      <c r="F32" s="105"/>
      <c r="G32" s="200" t="s">
        <v>238</v>
      </c>
      <c r="H32" s="201"/>
      <c r="I32" s="193">
        <v>0.95</v>
      </c>
      <c r="J32" s="226"/>
      <c r="K32" s="353"/>
      <c r="L32" s="367">
        <v>7</v>
      </c>
      <c r="M32" s="359">
        <f>_xlfn.XLOOKUP(L32,'P&amp;L'!$B$5:$Z$5,'P&amp;L'!$B$38:$Z$38,0)</f>
        <v>7.1833247949023535</v>
      </c>
      <c r="N32" s="361"/>
      <c r="O32" s="358">
        <v>17</v>
      </c>
      <c r="P32" s="359">
        <f>_xlfn.XLOOKUP(O32,'P&amp;L'!$B$5:$Z$5,'P&amp;L'!$B$38:$Z$38,0)</f>
        <v>0</v>
      </c>
      <c r="Q32" s="369"/>
    </row>
    <row r="33" spans="1:18" ht="15.75" customHeight="1" thickBot="1">
      <c r="B33" s="293" t="s">
        <v>69</v>
      </c>
      <c r="C33" s="294"/>
      <c r="D33" s="307"/>
      <c r="E33" s="198">
        <v>9.5000000000000001E-2</v>
      </c>
      <c r="F33" s="105"/>
      <c r="J33" s="226"/>
      <c r="K33" s="353"/>
      <c r="L33" s="367">
        <v>8</v>
      </c>
      <c r="M33" s="359">
        <f>_xlfn.XLOOKUP(L33,'P&amp;L'!$B$5:$Z$5,'P&amp;L'!$B$38:$Z$38,0)</f>
        <v>7.6017482598233643</v>
      </c>
      <c r="N33" s="361"/>
      <c r="O33" s="358">
        <v>18</v>
      </c>
      <c r="P33" s="359">
        <f>_xlfn.XLOOKUP(O33,'P&amp;L'!$B$5:$Z$5,'P&amp;L'!$B$38:$Z$38,0)</f>
        <v>0</v>
      </c>
      <c r="Q33" s="369"/>
    </row>
    <row r="34" spans="1:18" ht="16.5" customHeight="1" thickBot="1">
      <c r="B34" s="203" t="s">
        <v>77</v>
      </c>
      <c r="C34" s="206"/>
      <c r="D34" s="309"/>
      <c r="E34" s="199">
        <v>15</v>
      </c>
      <c r="F34" s="105"/>
      <c r="G34" s="439" t="s">
        <v>265</v>
      </c>
      <c r="H34" s="440"/>
      <c r="I34" s="441"/>
      <c r="J34" s="226"/>
      <c r="K34" s="353"/>
      <c r="L34" s="367">
        <v>9</v>
      </c>
      <c r="M34" s="359">
        <f>_xlfn.XLOOKUP(L34,'P&amp;L'!$B$5:$Z$5,'P&amp;L'!$B$38:$Z$38,0)</f>
        <v>8.0036154609491224</v>
      </c>
      <c r="N34" s="361"/>
      <c r="O34" s="358">
        <v>19</v>
      </c>
      <c r="P34" s="359">
        <f>_xlfn.XLOOKUP(O34,'P&amp;L'!$B$5:$Z$5,'P&amp;L'!$B$38:$Z$38,0)</f>
        <v>0</v>
      </c>
      <c r="Q34" s="369"/>
    </row>
    <row r="35" spans="1:18" ht="12.75" customHeight="1" thickBot="1">
      <c r="B35" s="207" t="s">
        <v>322</v>
      </c>
      <c r="C35" s="208"/>
      <c r="D35" s="346"/>
      <c r="E35" s="347">
        <v>1</v>
      </c>
      <c r="F35" s="105"/>
      <c r="G35" s="291" t="s">
        <v>259</v>
      </c>
      <c r="H35" s="442" t="s">
        <v>260</v>
      </c>
      <c r="I35" s="443"/>
      <c r="J35" s="226"/>
      <c r="K35" s="353"/>
      <c r="L35" s="370">
        <v>10</v>
      </c>
      <c r="M35" s="371">
        <f>_xlfn.XLOOKUP(L35,'P&amp;L'!$B$5:$Z$5,'P&amp;L'!$B$38:$Z$38,0)</f>
        <v>8.3864938759004506</v>
      </c>
      <c r="N35" s="372"/>
      <c r="O35" s="373">
        <v>20</v>
      </c>
      <c r="P35" s="371">
        <f>_xlfn.XLOOKUP(O35,'P&amp;L'!$B$5:$Z$5,'P&amp;L'!$B$38:$Z$38,0)</f>
        <v>0</v>
      </c>
      <c r="Q35" s="374"/>
    </row>
    <row r="36" spans="1:18" ht="12.75" customHeight="1" thickBot="1">
      <c r="B36" s="200" t="s">
        <v>302</v>
      </c>
      <c r="C36" s="201" t="s">
        <v>303</v>
      </c>
      <c r="D36" s="311"/>
      <c r="E36" s="202">
        <v>4</v>
      </c>
      <c r="G36" s="189"/>
      <c r="H36" s="53"/>
      <c r="I36" s="190"/>
      <c r="L36" s="37"/>
    </row>
    <row r="37" spans="1:18" ht="16.5" customHeight="1" thickBot="1">
      <c r="G37" s="292" t="s">
        <v>266</v>
      </c>
      <c r="H37" s="412" t="s">
        <v>317</v>
      </c>
      <c r="I37" s="413"/>
      <c r="L37" s="341" t="s">
        <v>319</v>
      </c>
      <c r="M37" s="266">
        <v>25</v>
      </c>
      <c r="P37" s="334" t="s">
        <v>314</v>
      </c>
      <c r="Q37" s="335">
        <f ca="1">TODAY()</f>
        <v>45161</v>
      </c>
    </row>
    <row r="38" spans="1:18" ht="12.75" customHeight="1" thickBot="1">
      <c r="G38" s="225"/>
      <c r="H38" s="53"/>
      <c r="I38" s="225"/>
      <c r="L38" s="37"/>
    </row>
    <row r="39" spans="1:18" ht="12.75" customHeight="1" thickBot="1">
      <c r="G39" s="409" t="s">
        <v>316</v>
      </c>
      <c r="H39" s="410"/>
      <c r="I39" s="411"/>
      <c r="L39" s="37"/>
    </row>
    <row r="40" spans="1:18" ht="12.75" customHeight="1">
      <c r="G40" s="414" t="s">
        <v>289</v>
      </c>
      <c r="H40" s="415"/>
      <c r="I40" s="337">
        <v>6483</v>
      </c>
      <c r="L40" s="37"/>
    </row>
    <row r="41" spans="1:18" ht="12.75" customHeight="1">
      <c r="G41" s="444" t="s">
        <v>288</v>
      </c>
      <c r="H41" s="445"/>
      <c r="I41" s="338">
        <v>0.23169999999999999</v>
      </c>
    </row>
    <row r="42" spans="1:18" ht="12.75" customHeight="1">
      <c r="G42" s="342"/>
      <c r="H42" s="281"/>
      <c r="I42" s="338"/>
    </row>
    <row r="43" spans="1:18" ht="12.75" customHeight="1">
      <c r="G43" s="446" t="s">
        <v>311</v>
      </c>
      <c r="H43" s="447"/>
      <c r="I43" s="339">
        <f>300/1.65</f>
        <v>181.81818181818184</v>
      </c>
      <c r="L43" s="70"/>
      <c r="O43" s="70"/>
    </row>
    <row r="44" spans="1:18" ht="12.75" customHeight="1" thickBot="1">
      <c r="G44" s="407" t="s">
        <v>310</v>
      </c>
      <c r="H44" s="408"/>
      <c r="I44" s="331">
        <v>0.05</v>
      </c>
      <c r="L44" s="37"/>
      <c r="M44" s="336"/>
    </row>
    <row r="45" spans="1:18" ht="12.75" customHeight="1">
      <c r="L45" s="37"/>
    </row>
    <row r="46" spans="1:18" ht="12.75" customHeight="1">
      <c r="L46" s="37"/>
    </row>
    <row r="47" spans="1:18">
      <c r="L47" s="37"/>
    </row>
    <row r="48" spans="1:18">
      <c r="A48" s="70"/>
      <c r="L48" s="37"/>
      <c r="R48" s="70"/>
    </row>
    <row r="49" spans="2:12">
      <c r="G49" s="56"/>
      <c r="H49" s="56"/>
      <c r="L49" s="37"/>
    </row>
    <row r="50" spans="2:12" ht="12.75" customHeight="1">
      <c r="C50" s="56"/>
      <c r="D50" s="56"/>
      <c r="E50" s="230"/>
      <c r="G50" s="56"/>
      <c r="H50" s="56"/>
      <c r="L50" s="37"/>
    </row>
    <row r="51" spans="2:12">
      <c r="C51" s="56"/>
      <c r="D51" s="56"/>
      <c r="E51" s="230"/>
      <c r="G51" s="64"/>
      <c r="H51" s="64"/>
      <c r="L51" s="37"/>
    </row>
    <row r="52" spans="2:12">
      <c r="C52" s="56"/>
      <c r="D52" s="56"/>
      <c r="E52" s="230"/>
      <c r="L52" s="37"/>
    </row>
    <row r="53" spans="2:12">
      <c r="C53" s="56"/>
      <c r="D53" s="56"/>
      <c r="E53" s="230"/>
      <c r="L53" s="37"/>
    </row>
    <row r="54" spans="2:12">
      <c r="C54" s="56"/>
      <c r="D54" s="56"/>
      <c r="E54" s="230"/>
      <c r="L54" s="37"/>
    </row>
    <row r="55" spans="2:12">
      <c r="C55" s="56"/>
      <c r="D55" s="56"/>
      <c r="E55" s="230"/>
      <c r="L55" s="37"/>
    </row>
    <row r="56" spans="2:12">
      <c r="C56" s="56"/>
      <c r="D56" s="56"/>
      <c r="E56" s="230"/>
      <c r="L56" s="37"/>
    </row>
    <row r="57" spans="2:12">
      <c r="C57" s="56"/>
      <c r="D57" s="56"/>
      <c r="E57" s="230"/>
      <c r="L57" s="37"/>
    </row>
    <row r="58" spans="2:12">
      <c r="C58" s="56"/>
      <c r="D58" s="56"/>
      <c r="E58" s="230"/>
      <c r="L58" s="37"/>
    </row>
    <row r="59" spans="2:12">
      <c r="B59" s="58"/>
      <c r="C59" s="56"/>
      <c r="D59" s="56"/>
      <c r="E59" s="230"/>
      <c r="L59" s="37"/>
    </row>
    <row r="60" spans="2:12">
      <c r="B60" s="58"/>
      <c r="C60" s="56"/>
      <c r="D60" s="56"/>
      <c r="E60" s="230"/>
      <c r="L60" s="37"/>
    </row>
    <row r="61" spans="2:12">
      <c r="B61" s="58"/>
      <c r="C61" s="56"/>
      <c r="D61" s="56"/>
      <c r="E61" s="230"/>
      <c r="L61" s="37"/>
    </row>
    <row r="62" spans="2:12">
      <c r="B62" s="58"/>
      <c r="C62" s="58"/>
      <c r="D62" s="58"/>
      <c r="L62" s="37"/>
    </row>
    <row r="63" spans="2:12">
      <c r="B63" s="58"/>
      <c r="C63" s="58"/>
      <c r="D63" s="58"/>
      <c r="L63" s="37"/>
    </row>
    <row r="64" spans="2:12">
      <c r="B64" s="58"/>
      <c r="C64" s="58"/>
      <c r="D64" s="58"/>
      <c r="L64" s="37"/>
    </row>
    <row r="65" spans="2:15">
      <c r="B65" s="58"/>
      <c r="C65" s="58"/>
      <c r="D65" s="58"/>
      <c r="L65" s="37"/>
    </row>
    <row r="66" spans="2:15">
      <c r="B66" s="58"/>
      <c r="C66" s="58"/>
      <c r="D66" s="58"/>
      <c r="K66"/>
      <c r="L66" s="37"/>
    </row>
    <row r="67" spans="2:15">
      <c r="B67" s="58"/>
      <c r="C67" s="58"/>
      <c r="D67" s="58"/>
      <c r="L67" s="37"/>
      <c r="N67"/>
      <c r="O67"/>
    </row>
    <row r="68" spans="2:15">
      <c r="B68" s="58"/>
      <c r="C68" s="58"/>
      <c r="D68" s="58"/>
      <c r="J68"/>
      <c r="L68" s="37"/>
    </row>
    <row r="69" spans="2:15">
      <c r="B69" s="58"/>
      <c r="C69" s="58"/>
      <c r="D69" s="58"/>
      <c r="L69"/>
      <c r="M69"/>
    </row>
    <row r="70" spans="2:15">
      <c r="B70" s="58"/>
      <c r="C70" s="58"/>
      <c r="D70" s="58"/>
      <c r="L70" s="37"/>
    </row>
    <row r="71" spans="2:15">
      <c r="B71" s="58"/>
      <c r="C71" s="58"/>
      <c r="D71" s="58"/>
      <c r="L71" s="37"/>
    </row>
    <row r="72" spans="2:15">
      <c r="B72" s="58"/>
      <c r="C72" s="58"/>
      <c r="D72" s="58"/>
      <c r="F72"/>
      <c r="L72" s="37"/>
    </row>
    <row r="73" spans="2:15">
      <c r="B73" s="58"/>
      <c r="C73" s="58"/>
      <c r="D73" s="58"/>
      <c r="L73" s="37"/>
    </row>
    <row r="74" spans="2:15">
      <c r="B74" s="58"/>
      <c r="C74" s="58"/>
      <c r="D74" s="58"/>
      <c r="G74"/>
      <c r="H74"/>
      <c r="I74"/>
      <c r="L74" s="37"/>
    </row>
    <row r="75" spans="2:15">
      <c r="B75" s="58"/>
      <c r="C75" s="58"/>
      <c r="D75" s="58"/>
      <c r="L75" s="37"/>
    </row>
    <row r="76" spans="2:15">
      <c r="B76" s="58"/>
      <c r="C76" s="58"/>
      <c r="D76" s="58"/>
      <c r="L76" s="37"/>
    </row>
    <row r="77" spans="2:15">
      <c r="B77" s="58"/>
      <c r="C77" s="58"/>
      <c r="D77" s="58"/>
      <c r="L77" s="37"/>
    </row>
    <row r="78" spans="2:15">
      <c r="B78" s="58"/>
      <c r="C78" s="58"/>
      <c r="D78" s="58"/>
      <c r="L78" s="37"/>
    </row>
    <row r="79" spans="2:15">
      <c r="B79" s="58"/>
      <c r="C79" s="58"/>
      <c r="D79" s="58"/>
      <c r="L79" s="37"/>
    </row>
    <row r="80" spans="2:15">
      <c r="B80" s="58"/>
      <c r="C80" s="58"/>
      <c r="D80" s="58"/>
      <c r="L80" s="37"/>
    </row>
    <row r="81" spans="2:12">
      <c r="B81" s="58"/>
      <c r="C81" s="65"/>
      <c r="D81" s="65"/>
      <c r="E81" s="66"/>
      <c r="L81" s="37"/>
    </row>
    <row r="82" spans="2:12">
      <c r="B82" s="58"/>
      <c r="C82" s="58"/>
      <c r="D82" s="58"/>
      <c r="E82" s="66"/>
      <c r="L82" s="37"/>
    </row>
    <row r="83" spans="2:12">
      <c r="B83" s="58"/>
      <c r="C83" s="67"/>
      <c r="D83" s="67"/>
      <c r="E83" s="66"/>
      <c r="L83" s="37"/>
    </row>
    <row r="84" spans="2:12">
      <c r="E84" s="58"/>
      <c r="L84" s="37"/>
    </row>
    <row r="85" spans="2:12">
      <c r="E85" s="58"/>
      <c r="L85" s="37"/>
    </row>
    <row r="86" spans="2:12">
      <c r="L86" s="37"/>
    </row>
    <row r="87" spans="2:12">
      <c r="L87" s="37"/>
    </row>
    <row r="88" spans="2:12">
      <c r="L88" s="37"/>
    </row>
    <row r="89" spans="2:12">
      <c r="L89" s="37"/>
    </row>
    <row r="90" spans="2:12">
      <c r="L90" s="37"/>
    </row>
    <row r="91" spans="2:12">
      <c r="L91" s="37"/>
    </row>
    <row r="92" spans="2:12">
      <c r="L92" s="37"/>
    </row>
    <row r="93" spans="2:12">
      <c r="L93" s="37"/>
    </row>
    <row r="95" spans="2:12">
      <c r="G95" s="58"/>
      <c r="H95" s="58"/>
    </row>
    <row r="96" spans="2:12">
      <c r="G96" s="58"/>
      <c r="H96" s="58"/>
    </row>
    <row r="97" spans="6:8">
      <c r="F97" s="58"/>
      <c r="G97" s="58"/>
      <c r="H97" s="58"/>
    </row>
    <row r="98" spans="6:8">
      <c r="F98" s="58"/>
      <c r="G98" s="58"/>
      <c r="H98" s="58"/>
    </row>
    <row r="99" spans="6:8">
      <c r="F99" s="58"/>
      <c r="G99" s="58"/>
      <c r="H99" s="58"/>
    </row>
    <row r="100" spans="6:8">
      <c r="F100" s="58"/>
    </row>
    <row r="101" spans="6:8">
      <c r="F101" s="58"/>
    </row>
  </sheetData>
  <mergeCells count="29">
    <mergeCell ref="G41:H41"/>
    <mergeCell ref="G43:H43"/>
    <mergeCell ref="G44:H44"/>
    <mergeCell ref="G39:I39"/>
    <mergeCell ref="H37:I37"/>
    <mergeCell ref="G40:H40"/>
    <mergeCell ref="B2:B6"/>
    <mergeCell ref="B9:E9"/>
    <mergeCell ref="G9:I9"/>
    <mergeCell ref="G10:H10"/>
    <mergeCell ref="G11:H11"/>
    <mergeCell ref="C2:F6"/>
    <mergeCell ref="G2:I6"/>
    <mergeCell ref="B32:E32"/>
    <mergeCell ref="G24:I24"/>
    <mergeCell ref="G28:I28"/>
    <mergeCell ref="G34:I34"/>
    <mergeCell ref="H35:I35"/>
    <mergeCell ref="B28:E28"/>
    <mergeCell ref="B15:E15"/>
    <mergeCell ref="G15:I15"/>
    <mergeCell ref="D16:E16"/>
    <mergeCell ref="O10:P10"/>
    <mergeCell ref="B8:I8"/>
    <mergeCell ref="L9:P9"/>
    <mergeCell ref="L10:M10"/>
    <mergeCell ref="L14:M14"/>
    <mergeCell ref="G12:H12"/>
    <mergeCell ref="G13:H13"/>
  </mergeCells>
  <phoneticPr fontId="14" type="noConversion"/>
  <conditionalFormatting sqref="C13:E13">
    <cfRule type="expression" dxfId="8" priority="3">
      <formula>$H$37="REC (BOO/Captive)"</formula>
    </cfRule>
  </conditionalFormatting>
  <conditionalFormatting sqref="C19:E23">
    <cfRule type="expression" dxfId="7" priority="11">
      <formula>$D$16="Fixed Escalation"</formula>
    </cfRule>
  </conditionalFormatting>
  <conditionalFormatting sqref="E17:E18">
    <cfRule type="expression" dxfId="6" priority="7">
      <formula>$D$16="Band of Rates"</formula>
    </cfRule>
  </conditionalFormatting>
  <conditionalFormatting sqref="E24:E25">
    <cfRule type="expression" dxfId="5" priority="8">
      <formula>$E$26=0</formula>
    </cfRule>
  </conditionalFormatting>
  <conditionalFormatting sqref="G29:I29">
    <cfRule type="expression" dxfId="4" priority="2">
      <formula>$H$35="No"</formula>
    </cfRule>
  </conditionalFormatting>
  <conditionalFormatting sqref="G30:I32">
    <cfRule type="expression" dxfId="3" priority="1">
      <formula>$H$35="Yes"</formula>
    </cfRule>
  </conditionalFormatting>
  <conditionalFormatting sqref="G39:I44">
    <cfRule type="expression" dxfId="2" priority="5">
      <formula>$H$37="Capital Subsidy"</formula>
    </cfRule>
    <cfRule type="expression" dxfId="1" priority="10">
      <formula>$H$37="REC (BOO/Captive)"</formula>
    </cfRule>
  </conditionalFormatting>
  <conditionalFormatting sqref="I40:I44">
    <cfRule type="expression" dxfId="0" priority="6">
      <formula>$H$37="REC (BOO/Captive)"</formula>
    </cfRule>
  </conditionalFormatting>
  <dataValidations count="4">
    <dataValidation type="list" allowBlank="1" showInputMessage="1" showErrorMessage="1" sqref="H35" xr:uid="{00000000-0002-0000-0000-000000000000}">
      <formula1>$AB$4:$AB$5</formula1>
    </dataValidation>
    <dataValidation type="list" allowBlank="1" showInputMessage="1" showErrorMessage="1" sqref="I38 H37" xr:uid="{00000000-0002-0000-0000-000001000000}">
      <formula1>$T$5:$T$7</formula1>
    </dataValidation>
    <dataValidation type="list" allowBlank="1" showInputMessage="1" showErrorMessage="1" sqref="C13:D13" xr:uid="{00000000-0002-0000-0000-000002000000}">
      <formula1>$AC$4:$AC$12</formula1>
    </dataValidation>
    <dataValidation type="list" allowBlank="1" showInputMessage="1" showErrorMessage="1" sqref="D16:E16" xr:uid="{00000000-0002-0000-0000-000003000000}">
      <formula1>$T$10:$T$11</formula1>
    </dataValidation>
  </dataValidations>
  <hyperlinks>
    <hyperlink ref="B12" location="'Tech Summary'!A1" display="(See Tech Summary Sheet)" xr:uid="{00000000-0004-0000-0000-000000000000}"/>
  </hyperlinks>
  <pageMargins left="0.19685039370078741" right="0.19685039370078741" top="0.39370078740157483" bottom="0.27559055118110237" header="0.31496062992125984" footer="0.15748031496062992"/>
  <pageSetup paperSize="9" scale="71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3:BJ43"/>
  <sheetViews>
    <sheetView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B14" sqref="B14"/>
    </sheetView>
  </sheetViews>
  <sheetFormatPr defaultColWidth="9.28515625" defaultRowHeight="12.75"/>
  <cols>
    <col min="1" max="1" width="33.28515625" style="37" customWidth="1"/>
    <col min="2" max="2" width="13.42578125" style="37" customWidth="1"/>
    <col min="3" max="6" width="10.7109375" style="37" customWidth="1"/>
    <col min="7" max="9" width="11" style="37" customWidth="1"/>
    <col min="10" max="42" width="10.7109375" style="37" customWidth="1"/>
    <col min="43" max="16384" width="9.28515625" style="37"/>
  </cols>
  <sheetData>
    <row r="3" spans="1:62" ht="31.5" customHeight="1">
      <c r="A3" s="481">
        <f>'Dashboard-Input&amp;Output'!B2</f>
        <v>3578</v>
      </c>
      <c r="B3" s="466" t="s">
        <v>273</v>
      </c>
      <c r="C3" s="466"/>
      <c r="D3" s="466"/>
      <c r="E3" s="466"/>
      <c r="F3" s="466"/>
      <c r="G3" s="466"/>
      <c r="H3" s="466"/>
      <c r="I3" s="458" t="str">
        <f>+'Dashboard-Input&amp;Output'!H37</f>
        <v>REC (BOO/Captive)</v>
      </c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458"/>
      <c r="AI3" s="458"/>
      <c r="AJ3" s="458"/>
      <c r="AK3" s="458"/>
      <c r="AL3" s="458"/>
      <c r="AM3" s="458"/>
      <c r="AN3" s="458"/>
      <c r="AO3" s="458"/>
    </row>
    <row r="4" spans="1:62" ht="12.75" customHeight="1">
      <c r="A4" s="482"/>
      <c r="B4" s="466"/>
      <c r="C4" s="466"/>
      <c r="D4" s="466"/>
      <c r="E4" s="466"/>
      <c r="F4" s="466"/>
      <c r="G4" s="466"/>
      <c r="H4" s="466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58"/>
      <c r="AE4" s="458"/>
      <c r="AF4" s="458"/>
      <c r="AG4" s="458"/>
      <c r="AH4" s="458"/>
      <c r="AI4" s="458"/>
      <c r="AJ4" s="458"/>
      <c r="AK4" s="458"/>
      <c r="AL4" s="458"/>
      <c r="AM4" s="458"/>
      <c r="AN4" s="458"/>
      <c r="AO4" s="458"/>
    </row>
    <row r="5" spans="1:62" ht="12.75" customHeight="1">
      <c r="A5" s="482"/>
      <c r="B5" s="466"/>
      <c r="C5" s="466"/>
      <c r="D5" s="466"/>
      <c r="E5" s="466"/>
      <c r="F5" s="466"/>
      <c r="G5" s="466"/>
      <c r="H5" s="466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458"/>
      <c r="AL5" s="458"/>
      <c r="AM5" s="458"/>
      <c r="AN5" s="458"/>
      <c r="AO5" s="458"/>
    </row>
    <row r="6" spans="1:62" ht="13.5" customHeight="1">
      <c r="A6" s="482"/>
      <c r="B6" s="466"/>
      <c r="C6" s="466"/>
      <c r="D6" s="466"/>
      <c r="E6" s="466"/>
      <c r="F6" s="466"/>
      <c r="G6" s="466"/>
      <c r="H6" s="466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8"/>
      <c r="AL6" s="458"/>
      <c r="AM6" s="458"/>
      <c r="AN6" s="458"/>
      <c r="AO6" s="458"/>
    </row>
    <row r="7" spans="1:62" ht="13.5" customHeight="1" thickBot="1">
      <c r="A7" s="70" t="s">
        <v>88</v>
      </c>
      <c r="B7" s="97"/>
      <c r="D7" s="97"/>
      <c r="E7" s="97"/>
      <c r="F7" s="97"/>
      <c r="G7" s="97"/>
      <c r="H7" s="97"/>
      <c r="I7" s="97"/>
      <c r="J7" s="97"/>
      <c r="K7" s="97"/>
      <c r="L7" s="97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62" ht="13.5" thickBot="1">
      <c r="A8" s="264" t="s">
        <v>97</v>
      </c>
      <c r="C8" s="255">
        <v>1</v>
      </c>
      <c r="D8" s="265">
        <v>2</v>
      </c>
      <c r="E8" s="265">
        <v>3</v>
      </c>
      <c r="F8" s="265">
        <v>4</v>
      </c>
      <c r="G8" s="265">
        <v>5</v>
      </c>
      <c r="H8" s="265">
        <v>6</v>
      </c>
      <c r="I8" s="265">
        <v>7</v>
      </c>
      <c r="J8" s="265">
        <v>8</v>
      </c>
      <c r="K8" s="265">
        <v>9</v>
      </c>
      <c r="L8" s="265">
        <v>10</v>
      </c>
      <c r="M8" s="265">
        <v>11</v>
      </c>
      <c r="N8" s="265">
        <v>12</v>
      </c>
      <c r="O8" s="265">
        <v>13</v>
      </c>
      <c r="P8" s="265">
        <v>14</v>
      </c>
      <c r="Q8" s="265">
        <v>15</v>
      </c>
      <c r="R8" s="265">
        <v>16</v>
      </c>
      <c r="S8" s="265">
        <v>17</v>
      </c>
      <c r="T8" s="265">
        <v>18</v>
      </c>
      <c r="U8" s="265">
        <v>19</v>
      </c>
      <c r="V8" s="265">
        <v>20</v>
      </c>
      <c r="W8" s="265">
        <v>21</v>
      </c>
      <c r="X8" s="265">
        <v>22</v>
      </c>
      <c r="Y8" s="265">
        <v>23</v>
      </c>
      <c r="Z8" s="265">
        <v>24</v>
      </c>
      <c r="AA8" s="265">
        <v>25</v>
      </c>
      <c r="AB8" s="265">
        <v>26</v>
      </c>
      <c r="AC8" s="265">
        <v>27</v>
      </c>
      <c r="AD8" s="265">
        <v>28</v>
      </c>
      <c r="AE8" s="265">
        <v>29</v>
      </c>
      <c r="AF8" s="265">
        <v>30</v>
      </c>
      <c r="AG8" s="265">
        <v>31</v>
      </c>
      <c r="AH8" s="265">
        <v>32</v>
      </c>
      <c r="AI8" s="265">
        <v>33</v>
      </c>
      <c r="AJ8" s="265">
        <v>34</v>
      </c>
      <c r="AK8" s="265">
        <v>35</v>
      </c>
      <c r="AL8" s="265">
        <v>36</v>
      </c>
      <c r="AM8" s="265">
        <v>37</v>
      </c>
      <c r="AN8" s="265">
        <f>+AM8+1</f>
        <v>38</v>
      </c>
      <c r="AO8" s="265">
        <f t="shared" ref="AO8:BJ8" si="0">+AN8+1</f>
        <v>39</v>
      </c>
      <c r="AP8" s="265">
        <f t="shared" si="0"/>
        <v>40</v>
      </c>
      <c r="AQ8" s="265">
        <f t="shared" si="0"/>
        <v>41</v>
      </c>
      <c r="AR8" s="265">
        <f t="shared" si="0"/>
        <v>42</v>
      </c>
      <c r="AS8" s="265">
        <f t="shared" si="0"/>
        <v>43</v>
      </c>
      <c r="AT8" s="265">
        <f t="shared" si="0"/>
        <v>44</v>
      </c>
      <c r="AU8" s="265">
        <f t="shared" si="0"/>
        <v>45</v>
      </c>
      <c r="AV8" s="265">
        <f t="shared" si="0"/>
        <v>46</v>
      </c>
      <c r="AW8" s="265">
        <f t="shared" si="0"/>
        <v>47</v>
      </c>
      <c r="AX8" s="265">
        <f t="shared" si="0"/>
        <v>48</v>
      </c>
      <c r="AY8" s="265">
        <f t="shared" si="0"/>
        <v>49</v>
      </c>
      <c r="AZ8" s="265">
        <f t="shared" si="0"/>
        <v>50</v>
      </c>
      <c r="BA8" s="265">
        <f t="shared" si="0"/>
        <v>51</v>
      </c>
      <c r="BB8" s="265">
        <f t="shared" si="0"/>
        <v>52</v>
      </c>
      <c r="BC8" s="265">
        <f t="shared" si="0"/>
        <v>53</v>
      </c>
      <c r="BD8" s="265">
        <f t="shared" si="0"/>
        <v>54</v>
      </c>
      <c r="BE8" s="265">
        <f t="shared" si="0"/>
        <v>55</v>
      </c>
      <c r="BF8" s="265">
        <f t="shared" si="0"/>
        <v>56</v>
      </c>
      <c r="BG8" s="265">
        <f t="shared" si="0"/>
        <v>57</v>
      </c>
      <c r="BH8" s="265">
        <f t="shared" si="0"/>
        <v>58</v>
      </c>
      <c r="BI8" s="265">
        <f t="shared" si="0"/>
        <v>59</v>
      </c>
      <c r="BJ8" s="265">
        <f t="shared" si="0"/>
        <v>60</v>
      </c>
    </row>
    <row r="9" spans="1:62" ht="13.5" thickBot="1">
      <c r="A9" s="264" t="s">
        <v>61</v>
      </c>
      <c r="C9" s="348">
        <v>1</v>
      </c>
      <c r="D9" s="349">
        <v>1</v>
      </c>
      <c r="E9" s="349">
        <v>1</v>
      </c>
      <c r="F9" s="350">
        <v>1</v>
      </c>
      <c r="G9" s="348">
        <v>2</v>
      </c>
      <c r="H9" s="349">
        <v>2</v>
      </c>
      <c r="I9" s="349">
        <v>2</v>
      </c>
      <c r="J9" s="350">
        <v>2</v>
      </c>
      <c r="K9" s="348">
        <v>3</v>
      </c>
      <c r="L9" s="349">
        <v>3</v>
      </c>
      <c r="M9" s="349">
        <v>3</v>
      </c>
      <c r="N9" s="350">
        <v>3</v>
      </c>
      <c r="O9" s="348">
        <v>4</v>
      </c>
      <c r="P9" s="349">
        <v>4</v>
      </c>
      <c r="Q9" s="349">
        <v>4</v>
      </c>
      <c r="R9" s="350">
        <v>4</v>
      </c>
      <c r="S9" s="348">
        <v>5</v>
      </c>
      <c r="T9" s="349">
        <v>5</v>
      </c>
      <c r="U9" s="349">
        <v>5</v>
      </c>
      <c r="V9" s="350">
        <v>5</v>
      </c>
      <c r="W9" s="348">
        <v>6</v>
      </c>
      <c r="X9" s="349">
        <v>6</v>
      </c>
      <c r="Y9" s="349">
        <v>6</v>
      </c>
      <c r="Z9" s="350">
        <v>6</v>
      </c>
      <c r="AA9" s="348">
        <v>7</v>
      </c>
      <c r="AB9" s="349">
        <v>7</v>
      </c>
      <c r="AC9" s="349">
        <v>7</v>
      </c>
      <c r="AD9" s="350">
        <v>7</v>
      </c>
      <c r="AE9" s="348">
        <v>8</v>
      </c>
      <c r="AF9" s="349">
        <v>8</v>
      </c>
      <c r="AG9" s="349">
        <v>8</v>
      </c>
      <c r="AH9" s="350">
        <v>8</v>
      </c>
      <c r="AI9" s="348">
        <v>9</v>
      </c>
      <c r="AJ9" s="349">
        <v>9</v>
      </c>
      <c r="AK9" s="349">
        <v>9</v>
      </c>
      <c r="AL9" s="350">
        <v>9</v>
      </c>
      <c r="AM9" s="348">
        <v>10</v>
      </c>
      <c r="AN9" s="349">
        <v>10</v>
      </c>
      <c r="AO9" s="349">
        <v>10</v>
      </c>
      <c r="AP9" s="350">
        <v>10</v>
      </c>
      <c r="AQ9" s="348">
        <v>11</v>
      </c>
      <c r="AR9" s="348">
        <v>11</v>
      </c>
      <c r="AS9" s="348">
        <v>11</v>
      </c>
      <c r="AT9" s="348">
        <v>11</v>
      </c>
      <c r="AU9" s="348">
        <v>12</v>
      </c>
      <c r="AV9" s="348">
        <v>12</v>
      </c>
      <c r="AW9" s="348">
        <v>12</v>
      </c>
      <c r="AX9" s="348">
        <v>12</v>
      </c>
      <c r="AY9" s="348">
        <v>13</v>
      </c>
      <c r="AZ9" s="348">
        <v>13</v>
      </c>
      <c r="BA9" s="348">
        <v>13</v>
      </c>
      <c r="BB9" s="348">
        <v>13</v>
      </c>
      <c r="BC9" s="348">
        <v>14</v>
      </c>
      <c r="BD9" s="348">
        <v>14</v>
      </c>
      <c r="BE9" s="348">
        <v>14</v>
      </c>
      <c r="BF9" s="348">
        <v>14</v>
      </c>
      <c r="BG9" s="348">
        <v>15</v>
      </c>
      <c r="BH9" s="348">
        <v>15</v>
      </c>
      <c r="BI9" s="348">
        <v>15</v>
      </c>
      <c r="BJ9" s="348">
        <v>15</v>
      </c>
    </row>
    <row r="10" spans="1:62">
      <c r="A10" s="240" t="s">
        <v>98</v>
      </c>
      <c r="B10" s="241">
        <f>'Dashboard-Input&amp;Output'!E30</f>
        <v>11.2707</v>
      </c>
    </row>
    <row r="11" spans="1:62">
      <c r="A11" s="242" t="s">
        <v>81</v>
      </c>
      <c r="B11" s="243">
        <f>'Dashboard-Input&amp;Output'!E33/'Dashboard-Input&amp;Output'!E36</f>
        <v>2.375E-2</v>
      </c>
    </row>
    <row r="12" spans="1:62" ht="13.5" thickBot="1">
      <c r="A12" s="246" t="s">
        <v>99</v>
      </c>
      <c r="B12" s="263">
        <f>B10/(('Dashboard-Input&amp;Output'!E34-'Dashboard-Input&amp;Output'!E35)*'Dashboard-Input&amp;Output'!E36)</f>
        <v>0.20126249999999998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</row>
    <row r="13" spans="1:62"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</row>
    <row r="14" spans="1:62" ht="13.5" thickBot="1">
      <c r="A14" s="37" t="s">
        <v>218</v>
      </c>
      <c r="B14" s="100"/>
      <c r="C14" s="100"/>
      <c r="D14" s="100"/>
      <c r="E14" s="100"/>
      <c r="F14" s="100"/>
      <c r="G14" s="380">
        <v>1.2500000000000001E-2</v>
      </c>
      <c r="H14" s="380">
        <v>1.2500000000000001E-2</v>
      </c>
      <c r="I14" s="380">
        <v>1.2500000000000001E-2</v>
      </c>
      <c r="J14" s="380">
        <v>1.2500000000000001E-2</v>
      </c>
      <c r="K14" s="380">
        <v>1.2500000000000001E-2</v>
      </c>
      <c r="L14" s="380">
        <v>1.2500000000000001E-2</v>
      </c>
      <c r="M14" s="380">
        <v>1.2500000000000001E-2</v>
      </c>
      <c r="N14" s="380">
        <v>1.2500000000000001E-2</v>
      </c>
      <c r="O14" s="380">
        <v>1.2500000000000001E-2</v>
      </c>
      <c r="P14" s="380">
        <v>1.2500000000000001E-2</v>
      </c>
      <c r="Q14" s="380">
        <v>1.2500000000000001E-2</v>
      </c>
      <c r="R14" s="380">
        <v>1.2500000000000001E-2</v>
      </c>
      <c r="S14" s="380">
        <v>1.2500000000000001E-2</v>
      </c>
      <c r="T14" s="380">
        <v>1.2500000000000001E-2</v>
      </c>
      <c r="U14" s="380">
        <v>1.2500000000000001E-2</v>
      </c>
      <c r="V14" s="380">
        <v>1.2500000000000001E-2</v>
      </c>
      <c r="W14" s="380">
        <v>1.8499999999999999E-2</v>
      </c>
      <c r="X14" s="380">
        <v>1.8499999999999999E-2</v>
      </c>
      <c r="Y14" s="380">
        <v>1.8499999999999999E-2</v>
      </c>
      <c r="Z14" s="380">
        <v>1.8499999999999999E-2</v>
      </c>
      <c r="AA14" s="380">
        <v>1.8499999999999999E-2</v>
      </c>
      <c r="AB14" s="380">
        <v>1.8499999999999999E-2</v>
      </c>
      <c r="AC14" s="380">
        <v>1.8499999999999999E-2</v>
      </c>
      <c r="AD14" s="380">
        <v>1.8499999999999999E-2</v>
      </c>
      <c r="AE14" s="380">
        <v>1.8499999999999999E-2</v>
      </c>
      <c r="AF14" s="380">
        <v>1.8499999999999999E-2</v>
      </c>
      <c r="AG14" s="380">
        <v>1.8499999999999999E-2</v>
      </c>
      <c r="AH14" s="380">
        <v>1.8499999999999999E-2</v>
      </c>
      <c r="AI14" s="380">
        <v>1.8499999999999999E-2</v>
      </c>
      <c r="AJ14" s="380">
        <v>1.8499999999999999E-2</v>
      </c>
      <c r="AK14" s="380">
        <v>1.8499999999999999E-2</v>
      </c>
      <c r="AL14" s="380">
        <v>1.8499999999999999E-2</v>
      </c>
      <c r="AM14" s="380">
        <v>1.8499999999999999E-2</v>
      </c>
      <c r="AN14" s="380">
        <v>1.8499999999999999E-2</v>
      </c>
      <c r="AO14" s="380">
        <v>1.8499999999999999E-2</v>
      </c>
      <c r="AP14" s="380">
        <v>1.8499999999999999E-2</v>
      </c>
      <c r="AQ14" s="336">
        <v>2.1499999999999998E-2</v>
      </c>
      <c r="AR14" s="336">
        <v>2.1499999999999998E-2</v>
      </c>
      <c r="AS14" s="336">
        <v>2.1499999999999998E-2</v>
      </c>
      <c r="AT14" s="336">
        <v>2.1499999999999998E-2</v>
      </c>
      <c r="AU14" s="336">
        <v>2.1499999999999998E-2</v>
      </c>
      <c r="AV14" s="336">
        <v>2.1499999999999998E-2</v>
      </c>
      <c r="AW14" s="336">
        <v>2.1499999999999998E-2</v>
      </c>
      <c r="AX14" s="336">
        <v>2.1499999999999998E-2</v>
      </c>
      <c r="AY14" s="336">
        <v>2.1499999999999998E-2</v>
      </c>
      <c r="AZ14" s="336">
        <v>2.1499999999999998E-2</v>
      </c>
      <c r="BA14" s="336">
        <v>2.1499999999999998E-2</v>
      </c>
      <c r="BB14" s="336">
        <v>2.1499999999999998E-2</v>
      </c>
      <c r="BC14" s="336">
        <v>2.1499999999999998E-2</v>
      </c>
      <c r="BD14" s="336">
        <v>2.1499999999999998E-2</v>
      </c>
      <c r="BE14" s="336">
        <v>2.1499999999999998E-2</v>
      </c>
      <c r="BF14" s="336">
        <v>2.1499999999999998E-2</v>
      </c>
      <c r="BG14" s="336">
        <v>2.1499999999999998E-2</v>
      </c>
      <c r="BH14" s="336">
        <v>2.1499999999999998E-2</v>
      </c>
      <c r="BI14" s="336">
        <v>2.1499999999999998E-2</v>
      </c>
      <c r="BJ14" s="336"/>
    </row>
    <row r="15" spans="1:62">
      <c r="A15" s="98" t="s">
        <v>101</v>
      </c>
      <c r="B15" s="100"/>
      <c r="C15" s="110">
        <f>IF(C$9&gt;'Dashboard-Input&amp;Output'!$E$35,$B$12,0)</f>
        <v>0</v>
      </c>
      <c r="D15" s="111">
        <f>IF(D$9&gt;'Dashboard-Input&amp;Output'!$E$35,IF(C16&gt;0.01,$B$12,0),0)</f>
        <v>0</v>
      </c>
      <c r="E15" s="111">
        <f>IF(E$9&gt;'Dashboard-Input&amp;Output'!$E$35,IF(D16&gt;0.01,$B$12,0),0)</f>
        <v>0</v>
      </c>
      <c r="F15" s="112">
        <f>IF(F$9&gt;'Dashboard-Input&amp;Output'!$E$35,IF(E16&gt;0.01,$B$12,0),0)</f>
        <v>0</v>
      </c>
      <c r="G15" s="110">
        <f>+$B$10*G14</f>
        <v>0.14088375</v>
      </c>
      <c r="H15" s="111">
        <f t="shared" ref="H15:BJ15" si="1">+$B$10*H14</f>
        <v>0.14088375</v>
      </c>
      <c r="I15" s="111">
        <f t="shared" si="1"/>
        <v>0.14088375</v>
      </c>
      <c r="J15" s="112">
        <f t="shared" si="1"/>
        <v>0.14088375</v>
      </c>
      <c r="K15" s="110">
        <f t="shared" si="1"/>
        <v>0.14088375</v>
      </c>
      <c r="L15" s="111">
        <f t="shared" si="1"/>
        <v>0.14088375</v>
      </c>
      <c r="M15" s="111">
        <f t="shared" si="1"/>
        <v>0.14088375</v>
      </c>
      <c r="N15" s="112">
        <f t="shared" si="1"/>
        <v>0.14088375</v>
      </c>
      <c r="O15" s="110">
        <f t="shared" si="1"/>
        <v>0.14088375</v>
      </c>
      <c r="P15" s="111">
        <f t="shared" si="1"/>
        <v>0.14088375</v>
      </c>
      <c r="Q15" s="111">
        <f t="shared" si="1"/>
        <v>0.14088375</v>
      </c>
      <c r="R15" s="112">
        <f t="shared" si="1"/>
        <v>0.14088375</v>
      </c>
      <c r="S15" s="110">
        <f t="shared" si="1"/>
        <v>0.14088375</v>
      </c>
      <c r="T15" s="111">
        <f t="shared" si="1"/>
        <v>0.14088375</v>
      </c>
      <c r="U15" s="111">
        <f t="shared" si="1"/>
        <v>0.14088375</v>
      </c>
      <c r="V15" s="112">
        <f t="shared" si="1"/>
        <v>0.14088375</v>
      </c>
      <c r="W15" s="110">
        <f t="shared" si="1"/>
        <v>0.20850795</v>
      </c>
      <c r="X15" s="111">
        <f t="shared" si="1"/>
        <v>0.20850795</v>
      </c>
      <c r="Y15" s="111">
        <f t="shared" si="1"/>
        <v>0.20850795</v>
      </c>
      <c r="Z15" s="112">
        <f t="shared" si="1"/>
        <v>0.20850795</v>
      </c>
      <c r="AA15" s="110">
        <f t="shared" si="1"/>
        <v>0.20850795</v>
      </c>
      <c r="AB15" s="111">
        <f t="shared" si="1"/>
        <v>0.20850795</v>
      </c>
      <c r="AC15" s="111">
        <f t="shared" si="1"/>
        <v>0.20850795</v>
      </c>
      <c r="AD15" s="112">
        <f t="shared" si="1"/>
        <v>0.20850795</v>
      </c>
      <c r="AE15" s="110">
        <f t="shared" si="1"/>
        <v>0.20850795</v>
      </c>
      <c r="AF15" s="111">
        <f t="shared" si="1"/>
        <v>0.20850795</v>
      </c>
      <c r="AG15" s="111">
        <f t="shared" si="1"/>
        <v>0.20850795</v>
      </c>
      <c r="AH15" s="112">
        <f t="shared" si="1"/>
        <v>0.20850795</v>
      </c>
      <c r="AI15" s="110">
        <f t="shared" si="1"/>
        <v>0.20850795</v>
      </c>
      <c r="AJ15" s="111">
        <f t="shared" si="1"/>
        <v>0.20850795</v>
      </c>
      <c r="AK15" s="111">
        <f t="shared" si="1"/>
        <v>0.20850795</v>
      </c>
      <c r="AL15" s="112">
        <f t="shared" si="1"/>
        <v>0.20850795</v>
      </c>
      <c r="AM15" s="110">
        <f t="shared" si="1"/>
        <v>0.20850795</v>
      </c>
      <c r="AN15" s="111">
        <f t="shared" si="1"/>
        <v>0.20850795</v>
      </c>
      <c r="AO15" s="111">
        <f t="shared" si="1"/>
        <v>0.20850795</v>
      </c>
      <c r="AP15" s="112">
        <f t="shared" si="1"/>
        <v>0.20850795</v>
      </c>
      <c r="AQ15" s="110">
        <f t="shared" si="1"/>
        <v>0.24232004999999998</v>
      </c>
      <c r="AR15" s="111">
        <f t="shared" si="1"/>
        <v>0.24232004999999998</v>
      </c>
      <c r="AS15" s="111">
        <f t="shared" si="1"/>
        <v>0.24232004999999998</v>
      </c>
      <c r="AT15" s="112">
        <f t="shared" si="1"/>
        <v>0.24232004999999998</v>
      </c>
      <c r="AU15" s="110">
        <f t="shared" si="1"/>
        <v>0.24232004999999998</v>
      </c>
      <c r="AV15" s="111">
        <f t="shared" si="1"/>
        <v>0.24232004999999998</v>
      </c>
      <c r="AW15" s="111">
        <f t="shared" si="1"/>
        <v>0.24232004999999998</v>
      </c>
      <c r="AX15" s="112">
        <f t="shared" si="1"/>
        <v>0.24232004999999998</v>
      </c>
      <c r="AY15" s="110">
        <f t="shared" si="1"/>
        <v>0.24232004999999998</v>
      </c>
      <c r="AZ15" s="111">
        <f t="shared" si="1"/>
        <v>0.24232004999999998</v>
      </c>
      <c r="BA15" s="111">
        <f t="shared" si="1"/>
        <v>0.24232004999999998</v>
      </c>
      <c r="BB15" s="112">
        <f t="shared" si="1"/>
        <v>0.24232004999999998</v>
      </c>
      <c r="BC15" s="110">
        <f t="shared" si="1"/>
        <v>0.24232004999999998</v>
      </c>
      <c r="BD15" s="111">
        <f t="shared" si="1"/>
        <v>0.24232004999999998</v>
      </c>
      <c r="BE15" s="111">
        <f t="shared" si="1"/>
        <v>0.24232004999999998</v>
      </c>
      <c r="BF15" s="112">
        <f t="shared" si="1"/>
        <v>0.24232004999999998</v>
      </c>
      <c r="BG15" s="110">
        <f t="shared" si="1"/>
        <v>0.24232004999999998</v>
      </c>
      <c r="BH15" s="111">
        <f t="shared" si="1"/>
        <v>0.24232004999999998</v>
      </c>
      <c r="BI15" s="111">
        <f t="shared" si="1"/>
        <v>0.24232004999999998</v>
      </c>
      <c r="BJ15" s="111">
        <f>+BI16</f>
        <v>0.24232005000000181</v>
      </c>
    </row>
    <row r="16" spans="1:62">
      <c r="A16" s="98" t="s">
        <v>100</v>
      </c>
      <c r="B16" s="100"/>
      <c r="C16" s="113">
        <f>B10-C15</f>
        <v>11.2707</v>
      </c>
      <c r="D16" s="114">
        <f t="shared" ref="D16:AP16" si="2">C16-D15</f>
        <v>11.2707</v>
      </c>
      <c r="E16" s="114">
        <f t="shared" si="2"/>
        <v>11.2707</v>
      </c>
      <c r="F16" s="115">
        <f t="shared" si="2"/>
        <v>11.2707</v>
      </c>
      <c r="G16" s="113">
        <f t="shared" si="2"/>
        <v>11.129816249999999</v>
      </c>
      <c r="H16" s="114">
        <f t="shared" si="2"/>
        <v>10.988932499999999</v>
      </c>
      <c r="I16" s="114">
        <f t="shared" si="2"/>
        <v>10.848048749999998</v>
      </c>
      <c r="J16" s="115">
        <f t="shared" si="2"/>
        <v>10.707164999999998</v>
      </c>
      <c r="K16" s="113">
        <f t="shared" si="2"/>
        <v>10.566281249999998</v>
      </c>
      <c r="L16" s="114">
        <f t="shared" si="2"/>
        <v>10.425397499999997</v>
      </c>
      <c r="M16" s="114">
        <f t="shared" si="2"/>
        <v>10.284513749999997</v>
      </c>
      <c r="N16" s="115">
        <f t="shared" si="2"/>
        <v>10.143629999999996</v>
      </c>
      <c r="O16" s="113">
        <f t="shared" si="2"/>
        <v>10.002746249999996</v>
      </c>
      <c r="P16" s="114">
        <f t="shared" si="2"/>
        <v>9.8618624999999955</v>
      </c>
      <c r="Q16" s="114">
        <f t="shared" si="2"/>
        <v>9.7209787499999951</v>
      </c>
      <c r="R16" s="115">
        <f t="shared" si="2"/>
        <v>9.5800949999999947</v>
      </c>
      <c r="S16" s="113">
        <f t="shared" si="2"/>
        <v>9.4392112499999943</v>
      </c>
      <c r="T16" s="114">
        <f t="shared" si="2"/>
        <v>9.2983274999999939</v>
      </c>
      <c r="U16" s="114">
        <f t="shared" si="2"/>
        <v>9.1574437499999934</v>
      </c>
      <c r="V16" s="115">
        <f t="shared" si="2"/>
        <v>9.016559999999993</v>
      </c>
      <c r="W16" s="113">
        <f t="shared" si="2"/>
        <v>8.8080520499999935</v>
      </c>
      <c r="X16" s="114">
        <f t="shared" si="2"/>
        <v>8.5995440999999939</v>
      </c>
      <c r="Y16" s="114">
        <f t="shared" si="2"/>
        <v>8.3910361499999944</v>
      </c>
      <c r="Z16" s="115">
        <f t="shared" si="2"/>
        <v>8.1825281999999948</v>
      </c>
      <c r="AA16" s="113">
        <f t="shared" si="2"/>
        <v>7.9740202499999953</v>
      </c>
      <c r="AB16" s="114">
        <f t="shared" si="2"/>
        <v>7.7655122999999957</v>
      </c>
      <c r="AC16" s="114">
        <f t="shared" si="2"/>
        <v>7.5570043499999962</v>
      </c>
      <c r="AD16" s="115">
        <f t="shared" si="2"/>
        <v>7.3484963999999966</v>
      </c>
      <c r="AE16" s="113">
        <f t="shared" si="2"/>
        <v>7.139988449999997</v>
      </c>
      <c r="AF16" s="114">
        <f t="shared" si="2"/>
        <v>6.9314804999999975</v>
      </c>
      <c r="AG16" s="114">
        <f t="shared" si="2"/>
        <v>6.7229725499999979</v>
      </c>
      <c r="AH16" s="115">
        <f t="shared" si="2"/>
        <v>6.5144645999999984</v>
      </c>
      <c r="AI16" s="113">
        <f t="shared" si="2"/>
        <v>6.3059566499999988</v>
      </c>
      <c r="AJ16" s="114">
        <f t="shared" si="2"/>
        <v>6.0974486999999993</v>
      </c>
      <c r="AK16" s="114">
        <f t="shared" si="2"/>
        <v>5.8889407499999997</v>
      </c>
      <c r="AL16" s="115">
        <f t="shared" si="2"/>
        <v>5.6804328000000002</v>
      </c>
      <c r="AM16" s="113">
        <f t="shared" si="2"/>
        <v>5.4719248500000006</v>
      </c>
      <c r="AN16" s="114">
        <f t="shared" si="2"/>
        <v>5.2634169000000011</v>
      </c>
      <c r="AO16" s="114">
        <f t="shared" si="2"/>
        <v>5.0549089500000015</v>
      </c>
      <c r="AP16" s="115">
        <f t="shared" si="2"/>
        <v>4.846401000000002</v>
      </c>
      <c r="AQ16" s="113">
        <f t="shared" ref="AQ16" si="3">AP16-AQ15</f>
        <v>4.6040809500000019</v>
      </c>
      <c r="AR16" s="114">
        <f t="shared" ref="AR16" si="4">AQ16-AR15</f>
        <v>4.3617609000000019</v>
      </c>
      <c r="AS16" s="114">
        <f t="shared" ref="AS16" si="5">AR16-AS15</f>
        <v>4.1194408500000019</v>
      </c>
      <c r="AT16" s="115">
        <f t="shared" ref="AT16" si="6">AS16-AT15</f>
        <v>3.8771208000000019</v>
      </c>
      <c r="AU16" s="113">
        <f t="shared" ref="AU16" si="7">AT16-AU15</f>
        <v>3.6348007500000019</v>
      </c>
      <c r="AV16" s="114">
        <f t="shared" ref="AV16" si="8">AU16-AV15</f>
        <v>3.3924807000000019</v>
      </c>
      <c r="AW16" s="114">
        <f t="shared" ref="AW16" si="9">AV16-AW15</f>
        <v>3.1501606500000019</v>
      </c>
      <c r="AX16" s="115">
        <f t="shared" ref="AX16" si="10">AW16-AX15</f>
        <v>2.9078406000000019</v>
      </c>
      <c r="AY16" s="113">
        <f t="shared" ref="AY16" si="11">AX16-AY15</f>
        <v>2.6655205500000019</v>
      </c>
      <c r="AZ16" s="114">
        <f t="shared" ref="AZ16" si="12">AY16-AZ15</f>
        <v>2.4232005000000019</v>
      </c>
      <c r="BA16" s="114">
        <f t="shared" ref="BA16" si="13">AZ16-BA15</f>
        <v>2.1808804500000019</v>
      </c>
      <c r="BB16" s="115">
        <f t="shared" ref="BB16" si="14">BA16-BB15</f>
        <v>1.9385604000000018</v>
      </c>
      <c r="BC16" s="113">
        <f t="shared" ref="BC16" si="15">BB16-BC15</f>
        <v>1.6962403500000018</v>
      </c>
      <c r="BD16" s="114">
        <f t="shared" ref="BD16" si="16">BC16-BD15</f>
        <v>1.4539203000000018</v>
      </c>
      <c r="BE16" s="114">
        <f t="shared" ref="BE16" si="17">BD16-BE15</f>
        <v>1.2116002500000018</v>
      </c>
      <c r="BF16" s="115">
        <f t="shared" ref="BF16" si="18">BE16-BF15</f>
        <v>0.96928020000000181</v>
      </c>
      <c r="BG16" s="113">
        <f t="shared" ref="BG16" si="19">BF16-BG15</f>
        <v>0.7269601500000018</v>
      </c>
      <c r="BH16" s="114">
        <f t="shared" ref="BH16" si="20">BG16-BH15</f>
        <v>0.48464010000000179</v>
      </c>
      <c r="BI16" s="114">
        <f t="shared" ref="BI16" si="21">BH16-BI15</f>
        <v>0.24232005000000181</v>
      </c>
      <c r="BJ16" s="115">
        <f t="shared" ref="BJ16" si="22">BI16-BJ15</f>
        <v>0</v>
      </c>
    </row>
    <row r="17" spans="1:62" ht="13.5" thickBot="1">
      <c r="A17" s="98" t="s">
        <v>102</v>
      </c>
      <c r="B17" s="100"/>
      <c r="C17" s="116">
        <f>B10*$B$11</f>
        <v>0.26767912500000002</v>
      </c>
      <c r="D17" s="117">
        <f>C16*$B$11</f>
        <v>0.26767912500000002</v>
      </c>
      <c r="E17" s="117">
        <f t="shared" ref="E17:AP17" si="23">D16*$B$11</f>
        <v>0.26767912500000002</v>
      </c>
      <c r="F17" s="118">
        <f t="shared" si="23"/>
        <v>0.26767912500000002</v>
      </c>
      <c r="G17" s="116">
        <f t="shared" si="23"/>
        <v>0.26767912500000002</v>
      </c>
      <c r="H17" s="117">
        <f t="shared" si="23"/>
        <v>0.26433313593749996</v>
      </c>
      <c r="I17" s="117">
        <f t="shared" si="23"/>
        <v>0.26098714687499996</v>
      </c>
      <c r="J17" s="118">
        <f t="shared" si="23"/>
        <v>0.25764115781249997</v>
      </c>
      <c r="K17" s="116">
        <f t="shared" si="23"/>
        <v>0.25429516874999997</v>
      </c>
      <c r="L17" s="117">
        <f t="shared" si="23"/>
        <v>0.25094917968749997</v>
      </c>
      <c r="M17" s="117">
        <f t="shared" si="23"/>
        <v>0.24760319062499994</v>
      </c>
      <c r="N17" s="118">
        <f t="shared" si="23"/>
        <v>0.24425720156249991</v>
      </c>
      <c r="O17" s="116">
        <f t="shared" si="23"/>
        <v>0.24091121249999992</v>
      </c>
      <c r="P17" s="117">
        <f t="shared" si="23"/>
        <v>0.23756522343749992</v>
      </c>
      <c r="Q17" s="117">
        <f t="shared" si="23"/>
        <v>0.23421923437499989</v>
      </c>
      <c r="R17" s="118">
        <f t="shared" si="23"/>
        <v>0.23087324531249989</v>
      </c>
      <c r="S17" s="116">
        <f t="shared" si="23"/>
        <v>0.22752725624999987</v>
      </c>
      <c r="T17" s="117">
        <f t="shared" si="23"/>
        <v>0.22418126718749987</v>
      </c>
      <c r="U17" s="117">
        <f t="shared" si="23"/>
        <v>0.22083527812499987</v>
      </c>
      <c r="V17" s="118">
        <f t="shared" si="23"/>
        <v>0.21748928906249984</v>
      </c>
      <c r="W17" s="116">
        <f t="shared" si="23"/>
        <v>0.21414329999999984</v>
      </c>
      <c r="X17" s="117">
        <f t="shared" si="23"/>
        <v>0.20919123618749985</v>
      </c>
      <c r="Y17" s="117">
        <f t="shared" si="23"/>
        <v>0.20423917237499986</v>
      </c>
      <c r="Z17" s="118">
        <f t="shared" si="23"/>
        <v>0.19928710856249987</v>
      </c>
      <c r="AA17" s="116">
        <f t="shared" si="23"/>
        <v>0.19433504474999988</v>
      </c>
      <c r="AB17" s="117">
        <f t="shared" si="23"/>
        <v>0.18938298093749989</v>
      </c>
      <c r="AC17" s="117">
        <f t="shared" si="23"/>
        <v>0.1844309171249999</v>
      </c>
      <c r="AD17" s="118">
        <f t="shared" si="23"/>
        <v>0.17947885331249991</v>
      </c>
      <c r="AE17" s="116">
        <f t="shared" si="23"/>
        <v>0.17452678949999992</v>
      </c>
      <c r="AF17" s="117">
        <f t="shared" si="23"/>
        <v>0.16957472568749993</v>
      </c>
      <c r="AG17" s="117">
        <f t="shared" si="23"/>
        <v>0.16462266187499994</v>
      </c>
      <c r="AH17" s="118">
        <f t="shared" si="23"/>
        <v>0.15967059806249995</v>
      </c>
      <c r="AI17" s="116">
        <f t="shared" si="23"/>
        <v>0.15471853424999996</v>
      </c>
      <c r="AJ17" s="117">
        <f t="shared" si="23"/>
        <v>0.14976647043749997</v>
      </c>
      <c r="AK17" s="117">
        <f t="shared" si="23"/>
        <v>0.14481440662499998</v>
      </c>
      <c r="AL17" s="118">
        <f t="shared" si="23"/>
        <v>0.13986234281249998</v>
      </c>
      <c r="AM17" s="116">
        <f t="shared" si="23"/>
        <v>0.13491027899999999</v>
      </c>
      <c r="AN17" s="117">
        <f t="shared" si="23"/>
        <v>0.1299582151875</v>
      </c>
      <c r="AO17" s="117">
        <f t="shared" si="23"/>
        <v>0.12500615137500001</v>
      </c>
      <c r="AP17" s="118">
        <f t="shared" si="23"/>
        <v>0.12005408756250004</v>
      </c>
      <c r="AQ17" s="116">
        <f t="shared" ref="AQ17" si="24">AP16*$B$11</f>
        <v>0.11510202375000005</v>
      </c>
      <c r="AR17" s="117">
        <f t="shared" ref="AR17" si="25">AQ16*$B$11</f>
        <v>0.10934692256250005</v>
      </c>
      <c r="AS17" s="117">
        <f t="shared" ref="AS17" si="26">AR16*$B$11</f>
        <v>0.10359182137500005</v>
      </c>
      <c r="AT17" s="118">
        <f t="shared" ref="AT17" si="27">AS16*$B$11</f>
        <v>9.7836720187500045E-2</v>
      </c>
      <c r="AU17" s="116">
        <f t="shared" ref="AU17" si="28">AT16*$B$11</f>
        <v>9.2081619000000045E-2</v>
      </c>
      <c r="AV17" s="117">
        <f t="shared" ref="AV17" si="29">AU16*$B$11</f>
        <v>8.6326517812500045E-2</v>
      </c>
      <c r="AW17" s="117">
        <f t="shared" ref="AW17" si="30">AV16*$B$11</f>
        <v>8.0571416625000045E-2</v>
      </c>
      <c r="AX17" s="118">
        <f t="shared" ref="AX17" si="31">AW16*$B$11</f>
        <v>7.4816315437500044E-2</v>
      </c>
      <c r="AY17" s="116">
        <f t="shared" ref="AY17" si="32">AX16*$B$11</f>
        <v>6.9061214250000044E-2</v>
      </c>
      <c r="AZ17" s="117">
        <f t="shared" ref="AZ17" si="33">AY16*$B$11</f>
        <v>6.3306113062500044E-2</v>
      </c>
      <c r="BA17" s="117">
        <f t="shared" ref="BA17" si="34">AZ16*$B$11</f>
        <v>5.7551011875000044E-2</v>
      </c>
      <c r="BB17" s="118">
        <f t="shared" ref="BB17" si="35">BA16*$B$11</f>
        <v>5.1795910687500044E-2</v>
      </c>
      <c r="BC17" s="116">
        <f t="shared" ref="BC17" si="36">BB16*$B$11</f>
        <v>4.6040809500000043E-2</v>
      </c>
      <c r="BD17" s="117">
        <f t="shared" ref="BD17" si="37">BC16*$B$11</f>
        <v>4.0285708312500043E-2</v>
      </c>
      <c r="BE17" s="117">
        <f t="shared" ref="BE17" si="38">BD16*$B$11</f>
        <v>3.4530607125000043E-2</v>
      </c>
      <c r="BF17" s="118">
        <f t="shared" ref="BF17" si="39">BE16*$B$11</f>
        <v>2.8775505937500043E-2</v>
      </c>
      <c r="BG17" s="116">
        <f t="shared" ref="BG17" si="40">BF16*$B$11</f>
        <v>2.3020404750000042E-2</v>
      </c>
      <c r="BH17" s="117">
        <f t="shared" ref="BH17" si="41">BG16*$B$11</f>
        <v>1.7265303562500042E-2</v>
      </c>
      <c r="BI17" s="117">
        <f t="shared" ref="BI17" si="42">BH16*$B$11</f>
        <v>1.1510202375000042E-2</v>
      </c>
      <c r="BJ17" s="118">
        <f t="shared" ref="BJ17" si="43">BI16*$B$11</f>
        <v>5.7551011875000427E-3</v>
      </c>
    </row>
    <row r="18" spans="1:62"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</row>
    <row r="19" spans="1:62" ht="13.5" thickBot="1">
      <c r="A19" s="37" t="s">
        <v>103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</row>
    <row r="20" spans="1:62">
      <c r="A20" s="98" t="s">
        <v>101</v>
      </c>
      <c r="B20" s="100"/>
      <c r="C20" s="110"/>
      <c r="D20" s="111"/>
      <c r="E20" s="111"/>
      <c r="F20" s="112">
        <f>SUM(C15:F15)</f>
        <v>0</v>
      </c>
      <c r="G20" s="110"/>
      <c r="H20" s="111"/>
      <c r="I20" s="111"/>
      <c r="J20" s="112">
        <f>SUM(G15:J15)</f>
        <v>0.56353500000000001</v>
      </c>
      <c r="K20" s="110"/>
      <c r="L20" s="111"/>
      <c r="M20" s="111"/>
      <c r="N20" s="112">
        <f>SUM(K15:N15)</f>
        <v>0.56353500000000001</v>
      </c>
      <c r="O20" s="110"/>
      <c r="P20" s="111"/>
      <c r="Q20" s="111"/>
      <c r="R20" s="112">
        <f>SUM(O15:R15)</f>
        <v>0.56353500000000001</v>
      </c>
      <c r="S20" s="110"/>
      <c r="T20" s="111"/>
      <c r="U20" s="111"/>
      <c r="V20" s="112">
        <f>SUM(S15:V15)</f>
        <v>0.56353500000000001</v>
      </c>
      <c r="W20" s="110"/>
      <c r="X20" s="111"/>
      <c r="Y20" s="111"/>
      <c r="Z20" s="112">
        <f>SUM(W15:Z15)</f>
        <v>0.83403179999999999</v>
      </c>
      <c r="AA20" s="110"/>
      <c r="AB20" s="111"/>
      <c r="AC20" s="111"/>
      <c r="AD20" s="112">
        <f>SUM(AA15:AD15)</f>
        <v>0.83403179999999999</v>
      </c>
      <c r="AE20" s="110"/>
      <c r="AF20" s="111"/>
      <c r="AG20" s="111"/>
      <c r="AH20" s="112">
        <f>SUM(AE15:AH15)</f>
        <v>0.83403179999999999</v>
      </c>
      <c r="AI20" s="110"/>
      <c r="AJ20" s="111"/>
      <c r="AK20" s="111"/>
      <c r="AL20" s="112">
        <f>SUM(AI15:AL15)</f>
        <v>0.83403179999999999</v>
      </c>
      <c r="AM20" s="110"/>
      <c r="AN20" s="111"/>
      <c r="AO20" s="111"/>
      <c r="AP20" s="112">
        <f>SUM(AM15:AP15)</f>
        <v>0.83403179999999999</v>
      </c>
      <c r="AQ20" s="110"/>
      <c r="AR20" s="111"/>
      <c r="AS20" s="111"/>
      <c r="AT20" s="112">
        <f t="shared" ref="AT20" si="44">SUM(AQ15:AT15)</f>
        <v>0.96928019999999993</v>
      </c>
      <c r="AU20" s="110"/>
      <c r="AV20" s="111"/>
      <c r="AW20" s="111"/>
      <c r="AX20" s="112">
        <f t="shared" ref="AX20" si="45">SUM(AU15:AX15)</f>
        <v>0.96928019999999993</v>
      </c>
      <c r="AY20" s="110"/>
      <c r="AZ20" s="111"/>
      <c r="BA20" s="111"/>
      <c r="BB20" s="112">
        <f t="shared" ref="BB20" si="46">SUM(AY15:BB15)</f>
        <v>0.96928019999999993</v>
      </c>
      <c r="BC20" s="110"/>
      <c r="BD20" s="111"/>
      <c r="BE20" s="111"/>
      <c r="BF20" s="112">
        <f t="shared" ref="BF20" si="47">SUM(BC15:BF15)</f>
        <v>0.96928019999999993</v>
      </c>
      <c r="BG20" s="110"/>
      <c r="BH20" s="111"/>
      <c r="BI20" s="111"/>
      <c r="BJ20" s="112">
        <f t="shared" ref="BJ20" si="48">SUM(BG15:BJ15)</f>
        <v>0.9692802000000017</v>
      </c>
    </row>
    <row r="21" spans="1:62">
      <c r="A21" s="98" t="s">
        <v>102</v>
      </c>
      <c r="B21" s="100"/>
      <c r="C21" s="113"/>
      <c r="D21" s="114"/>
      <c r="E21" s="114"/>
      <c r="F21" s="115">
        <f>SUM(C17:F17)</f>
        <v>1.0707165000000001</v>
      </c>
      <c r="G21" s="113"/>
      <c r="H21" s="114"/>
      <c r="I21" s="114"/>
      <c r="J21" s="115">
        <f>SUM(G17:J17)</f>
        <v>1.050640565625</v>
      </c>
      <c r="K21" s="113"/>
      <c r="L21" s="114"/>
      <c r="M21" s="114"/>
      <c r="N21" s="115">
        <f>SUM(K17:N17)</f>
        <v>0.99710474062499976</v>
      </c>
      <c r="O21" s="113"/>
      <c r="P21" s="114"/>
      <c r="Q21" s="114"/>
      <c r="R21" s="115">
        <f>SUM(O17:R17)</f>
        <v>0.94356891562499956</v>
      </c>
      <c r="S21" s="113"/>
      <c r="T21" s="114"/>
      <c r="U21" s="114"/>
      <c r="V21" s="115">
        <f>SUM(S17:V17)</f>
        <v>0.89003309062499947</v>
      </c>
      <c r="W21" s="113"/>
      <c r="X21" s="114"/>
      <c r="Y21" s="114"/>
      <c r="Z21" s="115">
        <f>SUM(W17:Z17)</f>
        <v>0.82686081712499948</v>
      </c>
      <c r="AA21" s="113"/>
      <c r="AB21" s="114"/>
      <c r="AC21" s="114"/>
      <c r="AD21" s="115">
        <f>SUM(AA17:AD17)</f>
        <v>0.74762779612499963</v>
      </c>
      <c r="AE21" s="113"/>
      <c r="AF21" s="114"/>
      <c r="AG21" s="114"/>
      <c r="AH21" s="115">
        <f>SUM(AE17:AH17)</f>
        <v>0.66839477512499978</v>
      </c>
      <c r="AI21" s="113"/>
      <c r="AJ21" s="114"/>
      <c r="AK21" s="114"/>
      <c r="AL21" s="115">
        <f>SUM(AI17:AL17)</f>
        <v>0.58916175412499994</v>
      </c>
      <c r="AM21" s="113"/>
      <c r="AN21" s="114"/>
      <c r="AO21" s="114"/>
      <c r="AP21" s="115">
        <f>SUM(AM17:AP17)</f>
        <v>0.50992873312500009</v>
      </c>
      <c r="AQ21" s="113"/>
      <c r="AR21" s="114"/>
      <c r="AS21" s="114"/>
      <c r="AT21" s="115">
        <f t="shared" ref="AT21" si="49">SUM(AQ17:AT17)</f>
        <v>0.42587748787500018</v>
      </c>
      <c r="AU21" s="113"/>
      <c r="AV21" s="114"/>
      <c r="AW21" s="114"/>
      <c r="AX21" s="115">
        <f t="shared" ref="AX21" si="50">SUM(AU17:AX17)</f>
        <v>0.33379586887500018</v>
      </c>
      <c r="AY21" s="113"/>
      <c r="AZ21" s="114"/>
      <c r="BA21" s="114"/>
      <c r="BB21" s="115">
        <f t="shared" ref="BB21" si="51">SUM(AY17:BB17)</f>
        <v>0.24171424987500018</v>
      </c>
      <c r="BC21" s="113"/>
      <c r="BD21" s="114"/>
      <c r="BE21" s="114"/>
      <c r="BF21" s="115">
        <f t="shared" ref="BF21" si="52">SUM(BC17:BF17)</f>
        <v>0.14963263087500017</v>
      </c>
      <c r="BG21" s="113"/>
      <c r="BH21" s="114"/>
      <c r="BI21" s="114"/>
      <c r="BJ21" s="115">
        <f t="shared" ref="BJ21" si="53">SUM(BG17:BJ17)</f>
        <v>5.7551011875000169E-2</v>
      </c>
    </row>
    <row r="22" spans="1:62" ht="13.5" thickBot="1">
      <c r="A22" s="98" t="s">
        <v>104</v>
      </c>
      <c r="B22" s="100"/>
      <c r="C22" s="116"/>
      <c r="D22" s="117"/>
      <c r="E22" s="117"/>
      <c r="F22" s="118">
        <f>B10-F20</f>
        <v>11.2707</v>
      </c>
      <c r="G22" s="116"/>
      <c r="H22" s="117"/>
      <c r="I22" s="117"/>
      <c r="J22" s="118">
        <f>F22-J20</f>
        <v>10.707165</v>
      </c>
      <c r="K22" s="116"/>
      <c r="L22" s="117"/>
      <c r="M22" s="117"/>
      <c r="N22" s="118">
        <f>J22-N20</f>
        <v>10.14363</v>
      </c>
      <c r="O22" s="116"/>
      <c r="P22" s="117"/>
      <c r="Q22" s="117"/>
      <c r="R22" s="118">
        <f>N22-R20</f>
        <v>9.580095</v>
      </c>
      <c r="S22" s="116"/>
      <c r="T22" s="117"/>
      <c r="U22" s="117"/>
      <c r="V22" s="118">
        <f>R22-V20</f>
        <v>9.0165600000000001</v>
      </c>
      <c r="W22" s="116"/>
      <c r="X22" s="117"/>
      <c r="Y22" s="117"/>
      <c r="Z22" s="118">
        <f>V22-Z20</f>
        <v>8.1825282000000001</v>
      </c>
      <c r="AA22" s="116"/>
      <c r="AB22" s="117"/>
      <c r="AC22" s="117"/>
      <c r="AD22" s="118">
        <f>Z22-AD20</f>
        <v>7.3484964000000002</v>
      </c>
      <c r="AE22" s="116"/>
      <c r="AF22" s="117"/>
      <c r="AG22" s="117"/>
      <c r="AH22" s="118">
        <f>AD22-AH20</f>
        <v>6.5144646000000002</v>
      </c>
      <c r="AI22" s="116"/>
      <c r="AJ22" s="117"/>
      <c r="AK22" s="117"/>
      <c r="AL22" s="118">
        <f>AH22-AL20</f>
        <v>5.6804328000000002</v>
      </c>
      <c r="AM22" s="116"/>
      <c r="AN22" s="117"/>
      <c r="AO22" s="117"/>
      <c r="AP22" s="118">
        <f>AL22-AP20</f>
        <v>4.8464010000000002</v>
      </c>
      <c r="AQ22" s="116"/>
      <c r="AR22" s="117"/>
      <c r="AS22" s="117"/>
      <c r="AT22" s="118">
        <f t="shared" ref="AT22" si="54">AP22-AT20</f>
        <v>3.8771208000000001</v>
      </c>
      <c r="AU22" s="116"/>
      <c r="AV22" s="117"/>
      <c r="AW22" s="117"/>
      <c r="AX22" s="118">
        <f t="shared" ref="AX22" si="55">AT22-AX20</f>
        <v>2.9078406000000001</v>
      </c>
      <c r="AY22" s="116"/>
      <c r="AZ22" s="117"/>
      <c r="BA22" s="117"/>
      <c r="BB22" s="118">
        <f t="shared" ref="BB22" si="56">AX22-BB20</f>
        <v>1.9385604000000001</v>
      </c>
      <c r="BC22" s="116"/>
      <c r="BD22" s="117"/>
      <c r="BE22" s="117"/>
      <c r="BF22" s="118">
        <f t="shared" ref="BF22" si="57">BB22-BF20</f>
        <v>0.96928020000000015</v>
      </c>
      <c r="BG22" s="116"/>
      <c r="BH22" s="117"/>
      <c r="BI22" s="117"/>
      <c r="BJ22" s="118">
        <f t="shared" ref="BJ22" si="58">BF22-BJ20</f>
        <v>-1.5543122344752192E-15</v>
      </c>
    </row>
    <row r="23" spans="1:62"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8" spans="1:62"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31" spans="1:62">
      <c r="T31" s="68"/>
      <c r="U31" s="68"/>
      <c r="V31" s="68"/>
      <c r="W31" s="68"/>
      <c r="X31" s="68"/>
      <c r="Y31" s="68"/>
      <c r="Z31" s="68"/>
      <c r="AA31" s="68"/>
      <c r="AB31" s="68"/>
    </row>
    <row r="33" spans="19:28">
      <c r="T33" s="68"/>
      <c r="U33" s="68"/>
      <c r="V33" s="68"/>
      <c r="W33" s="68"/>
      <c r="X33" s="68"/>
      <c r="Y33" s="68"/>
      <c r="Z33" s="68"/>
      <c r="AA33" s="68"/>
      <c r="AB33" s="68"/>
    </row>
    <row r="36" spans="19:28">
      <c r="T36" s="63"/>
      <c r="U36" s="63"/>
      <c r="V36" s="63"/>
      <c r="W36" s="63"/>
      <c r="X36" s="63"/>
      <c r="Y36" s="63"/>
      <c r="Z36" s="63"/>
      <c r="AA36" s="63"/>
      <c r="AB36" s="63"/>
    </row>
    <row r="40" spans="19:28">
      <c r="S40" s="68"/>
      <c r="T40" s="68"/>
      <c r="U40" s="68"/>
      <c r="V40" s="68"/>
      <c r="W40" s="68"/>
      <c r="X40" s="68"/>
      <c r="Y40" s="68"/>
      <c r="Z40" s="68"/>
      <c r="AA40" s="68"/>
      <c r="AB40" s="68"/>
    </row>
    <row r="43" spans="19:28">
      <c r="S43" s="47"/>
      <c r="T43" s="47"/>
      <c r="U43" s="47"/>
      <c r="V43" s="47"/>
      <c r="W43" s="47"/>
      <c r="X43" s="47"/>
      <c r="Y43" s="47"/>
      <c r="Z43" s="47"/>
      <c r="AA43" s="47"/>
      <c r="AB43" s="47"/>
    </row>
  </sheetData>
  <mergeCells count="3">
    <mergeCell ref="A3:A6"/>
    <mergeCell ref="B3:H6"/>
    <mergeCell ref="I3:AO6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2:T20"/>
  <sheetViews>
    <sheetView workbookViewId="0">
      <selection activeCell="B1" sqref="B1"/>
    </sheetView>
  </sheetViews>
  <sheetFormatPr defaultColWidth="9.28515625" defaultRowHeight="15"/>
  <cols>
    <col min="1" max="1" width="2.28515625" style="275" customWidth="1"/>
    <col min="2" max="2" width="45" style="275" bestFit="1" customWidth="1"/>
    <col min="3" max="3" width="11.5703125" style="275" bestFit="1" customWidth="1"/>
    <col min="4" max="18" width="9.28515625" style="275"/>
    <col min="19" max="19" width="0" style="275" hidden="1" customWidth="1"/>
    <col min="20" max="16384" width="9.28515625" style="275"/>
  </cols>
  <sheetData>
    <row r="2" spans="2:20">
      <c r="S2" s="275" t="str">
        <f>+'Transmission chg'!G4</f>
        <v>11/11</v>
      </c>
      <c r="T2" s="278"/>
    </row>
    <row r="3" spans="2:20">
      <c r="B3" s="276" t="s">
        <v>283</v>
      </c>
      <c r="C3" s="281">
        <v>1</v>
      </c>
      <c r="E3" s="277" t="s">
        <v>287</v>
      </c>
      <c r="F3" s="277" t="s">
        <v>286</v>
      </c>
      <c r="G3" s="275" t="s">
        <v>285</v>
      </c>
      <c r="H3" s="277" t="s">
        <v>284</v>
      </c>
      <c r="S3" s="275" t="str">
        <f>+'Transmission chg'!G5</f>
        <v>33/11</v>
      </c>
      <c r="T3" s="278"/>
    </row>
    <row r="4" spans="2:20">
      <c r="B4" s="276" t="s">
        <v>282</v>
      </c>
      <c r="C4" s="281">
        <f>1.6</f>
        <v>1.6</v>
      </c>
      <c r="E4" s="277">
        <v>11</v>
      </c>
      <c r="F4" s="277">
        <v>11</v>
      </c>
      <c r="G4" s="275" t="str">
        <f t="shared" ref="G4:G12" si="0">+E4&amp;"/"&amp;F4</f>
        <v>11/11</v>
      </c>
      <c r="H4" s="282">
        <v>0.03</v>
      </c>
      <c r="S4" s="275" t="str">
        <f>+'Transmission chg'!G6</f>
        <v>110/11</v>
      </c>
      <c r="T4" s="278"/>
    </row>
    <row r="5" spans="2:20">
      <c r="B5" s="276" t="s">
        <v>281</v>
      </c>
      <c r="C5" s="281">
        <f>C4*$C$3</f>
        <v>1.6</v>
      </c>
      <c r="E5" s="277">
        <v>33</v>
      </c>
      <c r="F5" s="277">
        <v>11</v>
      </c>
      <c r="G5" s="275" t="str">
        <f t="shared" si="0"/>
        <v>33/11</v>
      </c>
      <c r="H5" s="282">
        <v>1.4999999999999999E-2</v>
      </c>
      <c r="T5" s="278"/>
    </row>
    <row r="6" spans="2:20">
      <c r="B6" s="276" t="s">
        <v>280</v>
      </c>
      <c r="C6" s="280" t="s">
        <v>291</v>
      </c>
      <c r="E6" s="277">
        <v>110</v>
      </c>
      <c r="F6" s="277">
        <v>11</v>
      </c>
      <c r="G6" s="275" t="str">
        <f t="shared" si="0"/>
        <v>110/11</v>
      </c>
      <c r="H6" s="282">
        <v>1.4999999999999999E-2</v>
      </c>
      <c r="S6" s="275" t="str">
        <f>+'Transmission chg'!G7</f>
        <v>110/33</v>
      </c>
      <c r="T6" s="278"/>
    </row>
    <row r="7" spans="2:20">
      <c r="B7" s="276" t="s">
        <v>279</v>
      </c>
      <c r="C7" s="279">
        <f>VLOOKUP(C6,G4:H12,2,0)</f>
        <v>1.4999999999999999E-2</v>
      </c>
      <c r="E7" s="277">
        <v>110</v>
      </c>
      <c r="F7" s="277">
        <v>33</v>
      </c>
      <c r="G7" s="275" t="str">
        <f t="shared" si="0"/>
        <v>110/33</v>
      </c>
      <c r="H7" s="282">
        <v>1.4999999999999999E-2</v>
      </c>
      <c r="S7" s="275" t="str">
        <f>+'Transmission chg'!G8</f>
        <v>110/110</v>
      </c>
      <c r="T7" s="278"/>
    </row>
    <row r="8" spans="2:20">
      <c r="C8" s="277"/>
      <c r="E8" s="277">
        <v>110</v>
      </c>
      <c r="F8" s="277">
        <v>110</v>
      </c>
      <c r="G8" s="275" t="str">
        <f t="shared" si="0"/>
        <v>110/110</v>
      </c>
      <c r="H8" s="282">
        <v>1.4999999999999999E-2</v>
      </c>
      <c r="S8" s="275" t="str">
        <f>+'Transmission chg'!G9</f>
        <v>230/11</v>
      </c>
      <c r="T8" s="278"/>
    </row>
    <row r="9" spans="2:20">
      <c r="C9" s="277"/>
      <c r="E9" s="277">
        <v>230</v>
      </c>
      <c r="F9" s="277">
        <v>11</v>
      </c>
      <c r="G9" s="275" t="str">
        <f t="shared" si="0"/>
        <v>230/11</v>
      </c>
      <c r="H9" s="282">
        <v>9.4999999999999998E-3</v>
      </c>
      <c r="S9" s="275" t="str">
        <f>+'Transmission chg'!G10</f>
        <v>230/33</v>
      </c>
      <c r="T9" s="278"/>
    </row>
    <row r="10" spans="2:20">
      <c r="C10" s="277"/>
      <c r="E10" s="277">
        <v>230</v>
      </c>
      <c r="F10" s="277">
        <v>33</v>
      </c>
      <c r="G10" s="275" t="str">
        <f t="shared" si="0"/>
        <v>230/33</v>
      </c>
      <c r="H10" s="282">
        <v>9.4999999999999998E-3</v>
      </c>
      <c r="S10" s="275" t="str">
        <f>+'Transmission chg'!G11</f>
        <v>230/110</v>
      </c>
      <c r="T10" s="278"/>
    </row>
    <row r="11" spans="2:20">
      <c r="C11" s="277"/>
      <c r="E11" s="277">
        <v>230</v>
      </c>
      <c r="F11" s="277">
        <v>110</v>
      </c>
      <c r="G11" s="275" t="str">
        <f t="shared" si="0"/>
        <v>230/110</v>
      </c>
      <c r="H11" s="282">
        <v>9.4999999999999998E-3</v>
      </c>
      <c r="S11" s="275" t="str">
        <f>+'Transmission chg'!G12</f>
        <v>230/230</v>
      </c>
      <c r="T11" s="278"/>
    </row>
    <row r="12" spans="2:20">
      <c r="E12" s="277">
        <v>230</v>
      </c>
      <c r="F12" s="277">
        <v>230</v>
      </c>
      <c r="G12" s="275" t="str">
        <f t="shared" si="0"/>
        <v>230/230</v>
      </c>
      <c r="H12" s="282">
        <f>0.95%</f>
        <v>9.4999999999999998E-3</v>
      </c>
    </row>
    <row r="14" spans="2:20" hidden="1"/>
    <row r="15" spans="2:20" hidden="1"/>
    <row r="16" spans="2:20" hidden="1"/>
    <row r="17" hidden="1"/>
    <row r="18" hidden="1"/>
    <row r="19" hidden="1"/>
    <row r="20" hidden="1"/>
  </sheetData>
  <dataValidations count="1">
    <dataValidation type="list" allowBlank="1" showInputMessage="1" showErrorMessage="1" sqref="C6" xr:uid="{00000000-0002-0000-0A00-000000000000}">
      <formula1>$G$4:$G$12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B1:I40"/>
  <sheetViews>
    <sheetView topLeftCell="B12" workbookViewId="0">
      <selection activeCell="H25" sqref="H25"/>
    </sheetView>
  </sheetViews>
  <sheetFormatPr defaultColWidth="9.28515625" defaultRowHeight="12.75"/>
  <cols>
    <col min="1" max="1" width="3" style="37" customWidth="1"/>
    <col min="2" max="2" width="42.140625" style="99" customWidth="1"/>
    <col min="3" max="3" width="14.28515625" style="99" bestFit="1" customWidth="1"/>
    <col min="4" max="4" width="18.85546875" style="99" customWidth="1"/>
    <col min="5" max="5" width="9.28515625" style="37"/>
    <col min="6" max="6" width="15.28515625" style="37" bestFit="1" customWidth="1"/>
    <col min="7" max="7" width="14.42578125" style="37" customWidth="1"/>
    <col min="8" max="8" width="13" style="37" customWidth="1"/>
    <col min="9" max="9" width="70.42578125" style="37" customWidth="1"/>
    <col min="10" max="16384" width="9.28515625" style="37"/>
  </cols>
  <sheetData>
    <row r="1" spans="2:9" ht="13.5" thickBot="1"/>
    <row r="2" spans="2:9" ht="12.75" customHeight="1" thickBot="1">
      <c r="B2" s="449" t="s">
        <v>220</v>
      </c>
      <c r="C2" s="450"/>
      <c r="D2" s="450"/>
      <c r="E2" s="450"/>
      <c r="F2" s="450"/>
      <c r="G2" s="450"/>
      <c r="H2" s="451"/>
    </row>
    <row r="3" spans="2:9" ht="13.5" thickBot="1"/>
    <row r="4" spans="2:9" ht="15.75" customHeight="1">
      <c r="B4" s="416">
        <f>+'Dashboard-Input&amp;Output'!E10</f>
        <v>3578</v>
      </c>
      <c r="C4" s="427" t="s">
        <v>269</v>
      </c>
      <c r="D4" s="427"/>
      <c r="E4" s="427"/>
      <c r="F4" s="430" t="str">
        <f>+'Dashboard-Input&amp;Output'!H37</f>
        <v>REC (BOO/Captive)</v>
      </c>
      <c r="G4" s="430"/>
      <c r="H4" s="431"/>
    </row>
    <row r="5" spans="2:9" ht="12.75" customHeight="1">
      <c r="B5" s="417"/>
      <c r="C5" s="428"/>
      <c r="D5" s="428"/>
      <c r="E5" s="428"/>
      <c r="F5" s="432"/>
      <c r="G5" s="432"/>
      <c r="H5" s="433"/>
    </row>
    <row r="6" spans="2:9" ht="12.75" customHeight="1">
      <c r="B6" s="417"/>
      <c r="C6" s="428"/>
      <c r="D6" s="428"/>
      <c r="E6" s="428"/>
      <c r="F6" s="432"/>
      <c r="G6" s="432"/>
      <c r="H6" s="433"/>
    </row>
    <row r="7" spans="2:9" ht="12.75" customHeight="1">
      <c r="B7" s="417"/>
      <c r="C7" s="428"/>
      <c r="D7" s="428"/>
      <c r="E7" s="428"/>
      <c r="F7" s="432"/>
      <c r="G7" s="432"/>
      <c r="H7" s="433"/>
    </row>
    <row r="8" spans="2:9" ht="13.5" customHeight="1" thickBot="1">
      <c r="B8" s="418"/>
      <c r="C8" s="429"/>
      <c r="D8" s="429"/>
      <c r="E8" s="429"/>
      <c r="F8" s="434"/>
      <c r="G8" s="434"/>
      <c r="H8" s="435"/>
    </row>
    <row r="9" spans="2:9" ht="12.75" customHeight="1"/>
    <row r="10" spans="2:9" ht="15" customHeight="1">
      <c r="B10" s="121" t="s">
        <v>122</v>
      </c>
      <c r="C10" s="129"/>
      <c r="D10" s="129"/>
      <c r="F10" s="452" t="s">
        <v>123</v>
      </c>
      <c r="G10" s="452"/>
      <c r="H10" s="452"/>
      <c r="I10" s="59"/>
    </row>
    <row r="11" spans="2:9" ht="15" customHeight="1">
      <c r="B11" s="130" t="s">
        <v>124</v>
      </c>
      <c r="C11" s="140">
        <f>'Dashboard-Input&amp;Output'!E10</f>
        <v>3578</v>
      </c>
      <c r="D11" s="129" t="s">
        <v>125</v>
      </c>
      <c r="F11" s="122" t="s">
        <v>126</v>
      </c>
      <c r="G11" s="122"/>
      <c r="H11" s="123" t="s">
        <v>127</v>
      </c>
      <c r="I11" s="122" t="s">
        <v>128</v>
      </c>
    </row>
    <row r="12" spans="2:9" ht="13.5" customHeight="1">
      <c r="B12" s="130" t="s">
        <v>129</v>
      </c>
      <c r="C12" s="131">
        <v>465</v>
      </c>
      <c r="D12" s="129" t="s">
        <v>130</v>
      </c>
      <c r="F12" s="124" t="s">
        <v>131</v>
      </c>
      <c r="G12" s="125" t="s">
        <v>132</v>
      </c>
      <c r="H12" s="126">
        <v>0</v>
      </c>
      <c r="I12" s="59" t="s">
        <v>133</v>
      </c>
    </row>
    <row r="13" spans="2:9">
      <c r="B13" s="130" t="s">
        <v>134</v>
      </c>
      <c r="C13" s="132">
        <f>(C11*1000)/C12</f>
        <v>7694.6236559139788</v>
      </c>
      <c r="D13" s="129" t="s">
        <v>135</v>
      </c>
      <c r="F13" s="124" t="s">
        <v>136</v>
      </c>
      <c r="G13" s="125" t="s">
        <v>132</v>
      </c>
      <c r="H13" s="126">
        <v>0</v>
      </c>
      <c r="I13" s="59" t="s">
        <v>137</v>
      </c>
    </row>
    <row r="14" spans="2:9">
      <c r="B14" s="130" t="s">
        <v>138</v>
      </c>
      <c r="C14" s="131">
        <v>2.1</v>
      </c>
      <c r="D14" s="129" t="s">
        <v>139</v>
      </c>
      <c r="F14" s="124" t="s">
        <v>140</v>
      </c>
      <c r="G14" s="125" t="s">
        <v>141</v>
      </c>
      <c r="H14" s="126">
        <v>0.05</v>
      </c>
      <c r="I14" s="59" t="s">
        <v>224</v>
      </c>
    </row>
    <row r="15" spans="2:9">
      <c r="B15" s="130" t="s">
        <v>142</v>
      </c>
      <c r="C15" s="132">
        <f>C13*C14</f>
        <v>16158.709677419356</v>
      </c>
      <c r="D15" s="129" t="s">
        <v>139</v>
      </c>
      <c r="F15" s="124" t="s">
        <v>143</v>
      </c>
      <c r="G15" s="125" t="s">
        <v>132</v>
      </c>
      <c r="H15" s="127">
        <v>1.4999999999999999E-2</v>
      </c>
      <c r="I15" s="59" t="s">
        <v>223</v>
      </c>
    </row>
    <row r="16" spans="2:9">
      <c r="B16" s="130" t="s">
        <v>144</v>
      </c>
      <c r="C16" s="131">
        <v>21.2</v>
      </c>
      <c r="D16" s="129" t="s">
        <v>127</v>
      </c>
      <c r="F16" s="124" t="s">
        <v>145</v>
      </c>
      <c r="G16" s="125" t="s">
        <v>141</v>
      </c>
      <c r="H16" s="126">
        <v>0.02</v>
      </c>
      <c r="I16" s="59" t="s">
        <v>146</v>
      </c>
    </row>
    <row r="17" spans="2:9">
      <c r="B17" s="130" t="s">
        <v>147</v>
      </c>
      <c r="C17" s="184">
        <f>+H28</f>
        <v>0.255</v>
      </c>
      <c r="D17" s="129" t="s">
        <v>127</v>
      </c>
      <c r="F17" s="124" t="s">
        <v>148</v>
      </c>
      <c r="G17" s="125" t="s">
        <v>141</v>
      </c>
      <c r="H17" s="126">
        <v>0.01</v>
      </c>
      <c r="I17" s="59" t="s">
        <v>149</v>
      </c>
    </row>
    <row r="18" spans="2:9" ht="15">
      <c r="B18" s="121" t="s">
        <v>150</v>
      </c>
      <c r="C18" s="129"/>
      <c r="D18" s="129"/>
      <c r="F18" s="124" t="s">
        <v>151</v>
      </c>
      <c r="G18" s="125" t="s">
        <v>141</v>
      </c>
      <c r="H18" s="126">
        <v>0.02</v>
      </c>
      <c r="I18" s="59" t="s">
        <v>152</v>
      </c>
    </row>
    <row r="19" spans="2:9">
      <c r="B19" s="130" t="s">
        <v>153</v>
      </c>
      <c r="C19" s="129">
        <f>+'Energy Assessment'!C23</f>
        <v>2064</v>
      </c>
      <c r="D19" s="129" t="s">
        <v>154</v>
      </c>
      <c r="F19" s="124" t="s">
        <v>155</v>
      </c>
      <c r="G19" s="125" t="s">
        <v>132</v>
      </c>
      <c r="H19" s="127">
        <v>0</v>
      </c>
      <c r="I19" s="59" t="s">
        <v>225</v>
      </c>
    </row>
    <row r="20" spans="2:9">
      <c r="B20" s="130" t="s">
        <v>156</v>
      </c>
      <c r="C20" s="129">
        <f>+'Energy Assessment'!D23</f>
        <v>2178</v>
      </c>
      <c r="D20" s="129" t="s">
        <v>154</v>
      </c>
      <c r="F20" s="124" t="s">
        <v>157</v>
      </c>
      <c r="G20" s="125" t="s">
        <v>132</v>
      </c>
      <c r="H20" s="127">
        <v>0.02</v>
      </c>
      <c r="I20" s="59" t="s">
        <v>158</v>
      </c>
    </row>
    <row r="21" spans="2:9">
      <c r="B21" s="130" t="s">
        <v>159</v>
      </c>
      <c r="C21" s="132">
        <f>+'Energy Assessment'!E23</f>
        <v>12.680750278234592</v>
      </c>
      <c r="D21" s="129" t="s">
        <v>127</v>
      </c>
      <c r="F21" s="124" t="s">
        <v>160</v>
      </c>
      <c r="G21" s="125" t="s">
        <v>132</v>
      </c>
      <c r="H21" s="126">
        <v>0.03</v>
      </c>
      <c r="I21" s="59" t="s">
        <v>226</v>
      </c>
    </row>
    <row r="22" spans="2:9">
      <c r="B22" s="130" t="s">
        <v>161</v>
      </c>
      <c r="C22" s="129"/>
      <c r="D22" s="129" t="s">
        <v>162</v>
      </c>
      <c r="F22" s="124" t="s">
        <v>163</v>
      </c>
      <c r="G22" s="125" t="s">
        <v>164</v>
      </c>
      <c r="H22" s="126">
        <v>0.02</v>
      </c>
      <c r="I22" s="59" t="s">
        <v>165</v>
      </c>
    </row>
    <row r="23" spans="2:9">
      <c r="B23" s="130" t="s">
        <v>166</v>
      </c>
      <c r="C23" s="129">
        <v>0</v>
      </c>
      <c r="D23" s="133" t="s">
        <v>167</v>
      </c>
      <c r="F23" s="124" t="s">
        <v>168</v>
      </c>
      <c r="G23" s="125" t="s">
        <v>132</v>
      </c>
      <c r="H23" s="126">
        <v>0.01</v>
      </c>
      <c r="I23" s="59" t="s">
        <v>169</v>
      </c>
    </row>
    <row r="24" spans="2:9">
      <c r="B24" s="130" t="s">
        <v>170</v>
      </c>
      <c r="C24" s="129">
        <v>25</v>
      </c>
      <c r="D24" s="129" t="s">
        <v>171</v>
      </c>
      <c r="F24" s="124" t="s">
        <v>172</v>
      </c>
      <c r="G24" s="125" t="s">
        <v>132</v>
      </c>
      <c r="H24" s="126">
        <v>0.02</v>
      </c>
      <c r="I24" s="59" t="s">
        <v>173</v>
      </c>
    </row>
    <row r="25" spans="2:9">
      <c r="B25" s="130" t="s">
        <v>174</v>
      </c>
      <c r="C25" s="129">
        <f>C11</f>
        <v>3578</v>
      </c>
      <c r="D25" s="129" t="s">
        <v>125</v>
      </c>
      <c r="F25" s="124" t="s">
        <v>175</v>
      </c>
      <c r="G25" s="125" t="s">
        <v>132</v>
      </c>
      <c r="H25" s="126">
        <v>0.02</v>
      </c>
      <c r="I25" s="59" t="s">
        <v>176</v>
      </c>
    </row>
    <row r="26" spans="2:9">
      <c r="B26" s="129"/>
      <c r="C26" s="129"/>
      <c r="D26" s="129"/>
      <c r="F26" s="124" t="s">
        <v>177</v>
      </c>
      <c r="G26" s="125" t="s">
        <v>132</v>
      </c>
      <c r="H26" s="126">
        <v>0.02</v>
      </c>
      <c r="I26" s="59" t="s">
        <v>227</v>
      </c>
    </row>
    <row r="27" spans="2:9">
      <c r="B27" s="129"/>
      <c r="C27" s="129"/>
      <c r="D27" s="129"/>
      <c r="F27" s="59"/>
      <c r="G27" s="59"/>
      <c r="H27" s="129"/>
      <c r="I27" s="59"/>
    </row>
    <row r="28" spans="2:9" ht="15">
      <c r="B28" s="453" t="s">
        <v>178</v>
      </c>
      <c r="C28" s="454"/>
      <c r="D28" s="455"/>
      <c r="F28" s="128" t="s">
        <v>147</v>
      </c>
      <c r="G28" s="134"/>
      <c r="H28" s="135">
        <f>SUM(H12:H26)</f>
        <v>0.255</v>
      </c>
      <c r="I28" s="59"/>
    </row>
    <row r="29" spans="2:9">
      <c r="B29" s="156" t="s">
        <v>179</v>
      </c>
      <c r="C29" s="162">
        <f>C30/C11</f>
        <v>1553.5182193548389</v>
      </c>
      <c r="D29" s="156" t="s">
        <v>180</v>
      </c>
    </row>
    <row r="30" spans="2:9">
      <c r="B30" s="156" t="s">
        <v>181</v>
      </c>
      <c r="C30" s="163">
        <f>'Energy Assessment'!G23</f>
        <v>5558488.1888516136</v>
      </c>
      <c r="D30" s="156" t="s">
        <v>182</v>
      </c>
      <c r="I30" s="37">
        <f>+C29*(365-12)/365</f>
        <v>1502.4436477596112</v>
      </c>
    </row>
    <row r="31" spans="2:9">
      <c r="B31" s="156" t="s">
        <v>183</v>
      </c>
      <c r="C31" s="163">
        <f>C30/C11*1000</f>
        <v>1553518.2193548391</v>
      </c>
      <c r="D31" s="156" t="s">
        <v>184</v>
      </c>
      <c r="F31" s="136"/>
      <c r="G31" s="448" t="s">
        <v>189</v>
      </c>
      <c r="H31" s="448"/>
    </row>
    <row r="32" spans="2:9">
      <c r="B32" s="156" t="s">
        <v>185</v>
      </c>
      <c r="C32" s="164">
        <f>C30/(C20*C15*C16%)*100</f>
        <v>74.500000000000014</v>
      </c>
      <c r="D32" s="156" t="s">
        <v>127</v>
      </c>
      <c r="F32" s="137"/>
      <c r="G32" s="448" t="s">
        <v>190</v>
      </c>
      <c r="H32" s="448"/>
    </row>
    <row r="33" spans="2:8">
      <c r="B33" s="156" t="s">
        <v>186</v>
      </c>
      <c r="C33" s="167">
        <f>C19/8760*100</f>
        <v>23.56164383561644</v>
      </c>
      <c r="D33" s="156" t="s">
        <v>127</v>
      </c>
    </row>
    <row r="38" spans="2:8">
      <c r="B38" s="166" t="s">
        <v>222</v>
      </c>
      <c r="C38" s="138" t="s">
        <v>187</v>
      </c>
      <c r="D38" s="165" t="s">
        <v>188</v>
      </c>
      <c r="E38" s="165"/>
      <c r="F38" s="165"/>
      <c r="G38" s="165"/>
      <c r="H38" s="165"/>
    </row>
    <row r="39" spans="2:8">
      <c r="B39" s="139"/>
      <c r="C39" s="139"/>
      <c r="D39" s="139" t="s">
        <v>221</v>
      </c>
      <c r="E39" s="139"/>
      <c r="F39" s="139"/>
      <c r="G39" s="139"/>
      <c r="H39" s="139"/>
    </row>
    <row r="40" spans="2:8">
      <c r="B40" s="139"/>
      <c r="C40" s="139"/>
      <c r="D40" s="139"/>
      <c r="E40" s="139"/>
      <c r="F40" s="139"/>
      <c r="G40" s="139"/>
      <c r="H40" s="139"/>
    </row>
  </sheetData>
  <mergeCells count="8">
    <mergeCell ref="G32:H32"/>
    <mergeCell ref="C4:E8"/>
    <mergeCell ref="F4:H8"/>
    <mergeCell ref="B2:H2"/>
    <mergeCell ref="B4:B8"/>
    <mergeCell ref="F10:H10"/>
    <mergeCell ref="B28:D28"/>
    <mergeCell ref="G31:H31"/>
  </mergeCells>
  <pageMargins left="0.26" right="0.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B1:S52"/>
  <sheetViews>
    <sheetView topLeftCell="A7" workbookViewId="0">
      <selection activeCell="C4" sqref="C4:E8"/>
    </sheetView>
  </sheetViews>
  <sheetFormatPr defaultColWidth="9.28515625" defaultRowHeight="12.75"/>
  <cols>
    <col min="1" max="1" width="1.42578125" style="37" customWidth="1"/>
    <col min="2" max="2" width="27.28515625" style="99" customWidth="1"/>
    <col min="3" max="3" width="15.140625" style="99" customWidth="1"/>
    <col min="4" max="5" width="14.5703125" style="99" customWidth="1"/>
    <col min="6" max="6" width="17.7109375" style="37" customWidth="1"/>
    <col min="7" max="7" width="17.85546875" style="56" customWidth="1"/>
    <col min="8" max="8" width="4" style="37" customWidth="1"/>
    <col min="9" max="16384" width="9.28515625" style="37"/>
  </cols>
  <sheetData>
    <row r="1" spans="2:19" ht="8.25" customHeight="1" thickBot="1"/>
    <row r="2" spans="2:19" ht="16.5" thickBot="1">
      <c r="B2" s="449" t="s">
        <v>219</v>
      </c>
      <c r="C2" s="450"/>
      <c r="D2" s="450"/>
      <c r="E2" s="450"/>
      <c r="F2" s="450"/>
      <c r="G2" s="451"/>
    </row>
    <row r="3" spans="2:19" ht="8.25" customHeight="1" thickBot="1"/>
    <row r="4" spans="2:19" ht="15.75" customHeight="1">
      <c r="B4" s="416">
        <f>'Dashboard-Input&amp;Output'!B2</f>
        <v>3578</v>
      </c>
      <c r="C4" s="427" t="s">
        <v>269</v>
      </c>
      <c r="D4" s="427"/>
      <c r="E4" s="427"/>
      <c r="F4" s="430" t="str">
        <f>+'Dashboard-Input&amp;Output'!H37</f>
        <v>REC (BOO/Captive)</v>
      </c>
      <c r="G4" s="431"/>
    </row>
    <row r="5" spans="2:19" ht="12.75" customHeight="1">
      <c r="B5" s="417"/>
      <c r="C5" s="428"/>
      <c r="D5" s="428"/>
      <c r="E5" s="428"/>
      <c r="F5" s="432"/>
      <c r="G5" s="433"/>
    </row>
    <row r="6" spans="2:19" ht="12.75" customHeight="1">
      <c r="B6" s="417"/>
      <c r="C6" s="428"/>
      <c r="D6" s="428"/>
      <c r="E6" s="428"/>
      <c r="F6" s="432"/>
      <c r="G6" s="433"/>
    </row>
    <row r="7" spans="2:19" ht="12.75" customHeight="1">
      <c r="B7" s="417"/>
      <c r="C7" s="428"/>
      <c r="D7" s="428"/>
      <c r="E7" s="428"/>
      <c r="F7" s="432"/>
      <c r="G7" s="433"/>
    </row>
    <row r="8" spans="2:19" ht="13.5" customHeight="1" thickBot="1">
      <c r="B8" s="418"/>
      <c r="C8" s="429"/>
      <c r="D8" s="429"/>
      <c r="E8" s="429"/>
      <c r="F8" s="434"/>
      <c r="G8" s="435"/>
    </row>
    <row r="9" spans="2:19" ht="12.75" customHeight="1"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</row>
    <row r="10" spans="2:19" s="143" customFormat="1" ht="75">
      <c r="B10" s="160" t="s">
        <v>191</v>
      </c>
      <c r="C10" s="141" t="s">
        <v>192</v>
      </c>
      <c r="D10" s="141" t="s">
        <v>193</v>
      </c>
      <c r="E10" s="141" t="s">
        <v>194</v>
      </c>
      <c r="F10" s="141" t="s">
        <v>195</v>
      </c>
      <c r="G10" s="142" t="s">
        <v>196</v>
      </c>
    </row>
    <row r="11" spans="2:19">
      <c r="B11" s="130" t="s">
        <v>197</v>
      </c>
      <c r="C11" s="131">
        <v>175</v>
      </c>
      <c r="D11" s="144">
        <v>191</v>
      </c>
      <c r="E11" s="145">
        <f>D11/C11</f>
        <v>1.0914285714285714</v>
      </c>
      <c r="F11" s="146">
        <f>D11*'Tech Summary'!$C$13*'Tech Summary'!$C$14*'Tech Summary'!$C$16/100</f>
        <v>654298.47225806455</v>
      </c>
      <c r="G11" s="158">
        <f>F11-F11*'Tech Summary'!$H$28</f>
        <v>487452.36183225806</v>
      </c>
    </row>
    <row r="12" spans="2:19">
      <c r="B12" s="130" t="s">
        <v>198</v>
      </c>
      <c r="C12" s="131">
        <v>180</v>
      </c>
      <c r="D12" s="144">
        <v>189</v>
      </c>
      <c r="E12" s="145">
        <f t="shared" ref="E12:E22" si="0">D12/C12</f>
        <v>1.05</v>
      </c>
      <c r="F12" s="146">
        <f>D12*'Tech Summary'!$C$13*'Tech Summary'!$C$14*'Tech Summary'!$C$16/100</f>
        <v>647447.17935483868</v>
      </c>
      <c r="G12" s="158">
        <f>F12-F12*'Tech Summary'!$H$28</f>
        <v>482348.14861935482</v>
      </c>
    </row>
    <row r="13" spans="2:19">
      <c r="B13" s="130" t="s">
        <v>199</v>
      </c>
      <c r="C13" s="131">
        <v>210</v>
      </c>
      <c r="D13" s="144">
        <v>222</v>
      </c>
      <c r="E13" s="145">
        <f t="shared" si="0"/>
        <v>1.0571428571428572</v>
      </c>
      <c r="F13" s="146">
        <f>D13*'Tech Summary'!$C$13*'Tech Summary'!$C$14*'Tech Summary'!$C$16/100</f>
        <v>760493.51225806458</v>
      </c>
      <c r="G13" s="158">
        <f>F13-F13*'Tech Summary'!$H$28</f>
        <v>566567.6666322581</v>
      </c>
    </row>
    <row r="14" spans="2:19">
      <c r="B14" s="130" t="s">
        <v>200</v>
      </c>
      <c r="C14" s="131">
        <v>205</v>
      </c>
      <c r="D14" s="144">
        <v>212</v>
      </c>
      <c r="E14" s="145">
        <f t="shared" si="0"/>
        <v>1.0341463414634147</v>
      </c>
      <c r="F14" s="146">
        <f>D14*'Tech Summary'!$C$13*'Tech Summary'!$C$14*'Tech Summary'!$C$16/100</f>
        <v>726237.04774193536</v>
      </c>
      <c r="G14" s="158">
        <f>F14-F14*'Tech Summary'!$H$28</f>
        <v>541046.60056774179</v>
      </c>
    </row>
    <row r="15" spans="2:19">
      <c r="B15" s="130" t="s">
        <v>201</v>
      </c>
      <c r="C15" s="131">
        <v>200</v>
      </c>
      <c r="D15" s="144">
        <v>208</v>
      </c>
      <c r="E15" s="145">
        <f t="shared" si="0"/>
        <v>1.04</v>
      </c>
      <c r="F15" s="146">
        <f>D15*'Tech Summary'!$C$13*'Tech Summary'!$C$14*'Tech Summary'!$C$16/100</f>
        <v>712534.46193548397</v>
      </c>
      <c r="G15" s="158">
        <f>F15-F15*'Tech Summary'!$H$28</f>
        <v>530838.17414193554</v>
      </c>
    </row>
    <row r="16" spans="2:19">
      <c r="B16" s="130" t="s">
        <v>202</v>
      </c>
      <c r="C16" s="131">
        <v>155</v>
      </c>
      <c r="D16" s="144">
        <v>167</v>
      </c>
      <c r="E16" s="145">
        <f t="shared" si="0"/>
        <v>1.0774193548387097</v>
      </c>
      <c r="F16" s="146">
        <f>D16*'Tech Summary'!$C$13*'Tech Summary'!$C$14*'Tech Summary'!$C$16/100</f>
        <v>572082.95741935493</v>
      </c>
      <c r="G16" s="158">
        <f>F16-F16*'Tech Summary'!$H$28</f>
        <v>426201.80327741941</v>
      </c>
    </row>
    <row r="17" spans="2:7">
      <c r="B17" s="130" t="s">
        <v>203</v>
      </c>
      <c r="C17" s="131">
        <v>124</v>
      </c>
      <c r="D17" s="144">
        <v>131</v>
      </c>
      <c r="E17" s="145">
        <f t="shared" si="0"/>
        <v>1.0564516129032258</v>
      </c>
      <c r="F17" s="146">
        <f>D17*'Tech Summary'!$C$13*'Tech Summary'!$C$14*'Tech Summary'!$C$16/100</f>
        <v>448759.68516129034</v>
      </c>
      <c r="G17" s="158">
        <f>F17-F17*'Tech Summary'!$H$28</f>
        <v>334325.96544516133</v>
      </c>
    </row>
    <row r="18" spans="2:7">
      <c r="B18" s="130" t="s">
        <v>204</v>
      </c>
      <c r="C18" s="131">
        <v>123</v>
      </c>
      <c r="D18" s="144">
        <v>134</v>
      </c>
      <c r="E18" s="145">
        <f t="shared" si="0"/>
        <v>1.089430894308943</v>
      </c>
      <c r="F18" s="146">
        <f>D18*'Tech Summary'!$C$13*'Tech Summary'!$C$14*'Tech Summary'!$C$16/100</f>
        <v>459036.62451612914</v>
      </c>
      <c r="G18" s="158">
        <f>F18-F18*'Tech Summary'!$H$28</f>
        <v>341982.28526451619</v>
      </c>
    </row>
    <row r="19" spans="2:7">
      <c r="B19" s="130" t="s">
        <v>205</v>
      </c>
      <c r="C19" s="131">
        <v>165</v>
      </c>
      <c r="D19" s="144">
        <v>171</v>
      </c>
      <c r="E19" s="145">
        <f t="shared" si="0"/>
        <v>1.0363636363636364</v>
      </c>
      <c r="F19" s="146">
        <f>D19*'Tech Summary'!$C$13*'Tech Summary'!$C$14*'Tech Summary'!$C$16/100</f>
        <v>585785.54322580644</v>
      </c>
      <c r="G19" s="158">
        <f>F19-F19*'Tech Summary'!$H$28</f>
        <v>436410.22970322578</v>
      </c>
    </row>
    <row r="20" spans="2:7">
      <c r="B20" s="130" t="s">
        <v>206</v>
      </c>
      <c r="C20" s="131">
        <v>183</v>
      </c>
      <c r="D20" s="144">
        <v>191</v>
      </c>
      <c r="E20" s="145">
        <f t="shared" si="0"/>
        <v>1.0437158469945356</v>
      </c>
      <c r="F20" s="146">
        <f>D20*'Tech Summary'!$C$13*'Tech Summary'!$C$14*'Tech Summary'!$C$16/100</f>
        <v>654298.47225806455</v>
      </c>
      <c r="G20" s="158">
        <f>F20-F20*'Tech Summary'!$H$28</f>
        <v>487452.36183225806</v>
      </c>
    </row>
    <row r="21" spans="2:7">
      <c r="B21" s="130" t="s">
        <v>207</v>
      </c>
      <c r="C21" s="131">
        <v>172</v>
      </c>
      <c r="D21" s="144">
        <v>181</v>
      </c>
      <c r="E21" s="145">
        <f t="shared" si="0"/>
        <v>1.0523255813953489</v>
      </c>
      <c r="F21" s="146">
        <f>D21*'Tech Summary'!$C$13*'Tech Summary'!$C$14*'Tech Summary'!$C$16/100</f>
        <v>620042.00774193555</v>
      </c>
      <c r="G21" s="158">
        <f>F21-F21*'Tech Summary'!$H$28</f>
        <v>461931.29576774198</v>
      </c>
    </row>
    <row r="22" spans="2:7">
      <c r="B22" s="130" t="s">
        <v>208</v>
      </c>
      <c r="C22" s="131">
        <v>172</v>
      </c>
      <c r="D22" s="144">
        <v>181</v>
      </c>
      <c r="E22" s="145">
        <f t="shared" si="0"/>
        <v>1.0523255813953489</v>
      </c>
      <c r="F22" s="146">
        <f>D22*'Tech Summary'!$C$13*'Tech Summary'!$C$14*'Tech Summary'!$C$16/100</f>
        <v>620042.00774193555</v>
      </c>
      <c r="G22" s="158">
        <f>F22-F22*'Tech Summary'!$H$28</f>
        <v>461931.29576774198</v>
      </c>
    </row>
    <row r="23" spans="2:7" s="143" customFormat="1" ht="15">
      <c r="B23" s="161" t="s">
        <v>209</v>
      </c>
      <c r="C23" s="147">
        <f>SUM(C11:C22)</f>
        <v>2064</v>
      </c>
      <c r="D23" s="148">
        <f>SUM(D11:D22)</f>
        <v>2178</v>
      </c>
      <c r="E23" s="149">
        <f>SUM(E11:E22)</f>
        <v>12.680750278234592</v>
      </c>
      <c r="F23" s="150">
        <f>SUM(F11:F22)</f>
        <v>7461057.9716129042</v>
      </c>
      <c r="G23" s="151">
        <f>SUM(G11:G22)</f>
        <v>5558488.1888516136</v>
      </c>
    </row>
    <row r="27" spans="2:7" ht="38.25">
      <c r="B27" s="153" t="s">
        <v>210</v>
      </c>
      <c r="C27" s="152" t="s">
        <v>211</v>
      </c>
      <c r="D27" s="152" t="s">
        <v>212</v>
      </c>
      <c r="E27" s="152" t="s">
        <v>213</v>
      </c>
    </row>
    <row r="28" spans="2:7">
      <c r="B28" s="129">
        <v>1</v>
      </c>
      <c r="C28" s="154">
        <f>'Tech Summary'!C32</f>
        <v>74.500000000000014</v>
      </c>
      <c r="D28" s="155">
        <v>8.0000000000000002E-3</v>
      </c>
      <c r="E28" s="157">
        <f>'Tech Summary'!C30</f>
        <v>5558488.1888516136</v>
      </c>
    </row>
    <row r="29" spans="2:7">
      <c r="B29" s="129">
        <v>2</v>
      </c>
      <c r="C29" s="154">
        <f>C28*(1-D29)</f>
        <v>73.308000000000007</v>
      </c>
      <c r="D29" s="155">
        <f>D28+D28</f>
        <v>1.6E-2</v>
      </c>
      <c r="E29" s="157">
        <f>E28*(1-D28)</f>
        <v>5514020.2833408006</v>
      </c>
    </row>
    <row r="30" spans="2:7">
      <c r="B30" s="129">
        <v>3</v>
      </c>
      <c r="C30" s="154">
        <f>C28*(1-D30)</f>
        <v>72.712000000000018</v>
      </c>
      <c r="D30" s="155">
        <f>D29+D28</f>
        <v>2.4E-2</v>
      </c>
      <c r="E30" s="157">
        <f>E29*(1-D28)</f>
        <v>5469908.1210740739</v>
      </c>
    </row>
    <row r="31" spans="2:7">
      <c r="B31" s="129">
        <v>4</v>
      </c>
      <c r="C31" s="154">
        <f>C28*(1-D31)</f>
        <v>72.116000000000014</v>
      </c>
      <c r="D31" s="155">
        <f>D30+D28</f>
        <v>3.2000000000000001E-2</v>
      </c>
      <c r="E31" s="157">
        <f>E30*(1-D28)</f>
        <v>5426148.8561054813</v>
      </c>
    </row>
    <row r="32" spans="2:7">
      <c r="B32" s="129">
        <v>5</v>
      </c>
      <c r="C32" s="154">
        <f>C28*(1-D32)</f>
        <v>71.52000000000001</v>
      </c>
      <c r="D32" s="155">
        <f>D31+D28</f>
        <v>0.04</v>
      </c>
      <c r="E32" s="157">
        <f>E31*(1-D28)</f>
        <v>5382739.6652566371</v>
      </c>
    </row>
    <row r="33" spans="2:5">
      <c r="B33" s="129">
        <v>6</v>
      </c>
      <c r="C33" s="154">
        <f>C28*(1-D33)</f>
        <v>70.924000000000007</v>
      </c>
      <c r="D33" s="155">
        <f>D32+D28</f>
        <v>4.8000000000000001E-2</v>
      </c>
      <c r="E33" s="157">
        <f>E32*(1-D28)</f>
        <v>5339677.7479345836</v>
      </c>
    </row>
    <row r="34" spans="2:5">
      <c r="B34" s="129">
        <v>7</v>
      </c>
      <c r="C34" s="154">
        <f>C28*(1-D34)</f>
        <v>70.328000000000003</v>
      </c>
      <c r="D34" s="155">
        <f>D33+D28</f>
        <v>5.6000000000000001E-2</v>
      </c>
      <c r="E34" s="157">
        <f>E33*(1-D28)</f>
        <v>5296960.3259511068</v>
      </c>
    </row>
    <row r="35" spans="2:5">
      <c r="B35" s="129">
        <v>8</v>
      </c>
      <c r="C35" s="154">
        <f>C28*(1-D35)</f>
        <v>69.732000000000014</v>
      </c>
      <c r="D35" s="155">
        <f>D34+D28</f>
        <v>6.4000000000000001E-2</v>
      </c>
      <c r="E35" s="157">
        <f>E34*(1-D28)</f>
        <v>5254584.643343498</v>
      </c>
    </row>
    <row r="36" spans="2:5">
      <c r="B36" s="129">
        <v>9</v>
      </c>
      <c r="C36" s="154">
        <f>C28*(1-D36)</f>
        <v>69.13600000000001</v>
      </c>
      <c r="D36" s="155">
        <f>D35+D28</f>
        <v>7.2000000000000008E-2</v>
      </c>
      <c r="E36" s="157">
        <f>E35*(1-D28)</f>
        <v>5212547.9661967503</v>
      </c>
    </row>
    <row r="37" spans="2:5">
      <c r="B37" s="129">
        <v>10</v>
      </c>
      <c r="C37" s="154">
        <f>C28*(1-D37)</f>
        <v>68.540000000000006</v>
      </c>
      <c r="D37" s="155">
        <f>D36+D28</f>
        <v>8.0000000000000016E-2</v>
      </c>
      <c r="E37" s="157">
        <f>E36*(1-D28)</f>
        <v>5170847.582467176</v>
      </c>
    </row>
    <row r="38" spans="2:5">
      <c r="B38" s="129">
        <v>11</v>
      </c>
      <c r="C38" s="154">
        <f>C28*(1-D38)</f>
        <v>67.944000000000003</v>
      </c>
      <c r="D38" s="155">
        <f>D37+D28</f>
        <v>8.8000000000000023E-2</v>
      </c>
      <c r="E38" s="157">
        <f>E37*(1-D28)</f>
        <v>5129480.801807439</v>
      </c>
    </row>
    <row r="39" spans="2:5">
      <c r="B39" s="129">
        <v>12</v>
      </c>
      <c r="C39" s="154">
        <f>C28*(1-D39)</f>
        <v>67.348000000000013</v>
      </c>
      <c r="D39" s="155">
        <f>D38+D28</f>
        <v>9.600000000000003E-2</v>
      </c>
      <c r="E39" s="157">
        <f>E38*(1-D28)</f>
        <v>5088444.9553929791</v>
      </c>
    </row>
    <row r="40" spans="2:5">
      <c r="B40" s="129">
        <v>13</v>
      </c>
      <c r="C40" s="154">
        <f>C28*(1-D40)</f>
        <v>66.75200000000001</v>
      </c>
      <c r="D40" s="155">
        <f>D39+D28</f>
        <v>0.10400000000000004</v>
      </c>
      <c r="E40" s="157">
        <f>E39*(1-D28)</f>
        <v>5047737.3957498353</v>
      </c>
    </row>
    <row r="41" spans="2:5">
      <c r="B41" s="129">
        <v>14</v>
      </c>
      <c r="C41" s="154">
        <f>C28*(1-D41)</f>
        <v>66.156000000000006</v>
      </c>
      <c r="D41" s="155">
        <f>D40+D28</f>
        <v>0.11200000000000004</v>
      </c>
      <c r="E41" s="157">
        <f>E40*(1-D28)</f>
        <v>5007355.4965838362</v>
      </c>
    </row>
    <row r="42" spans="2:5">
      <c r="B42" s="129">
        <v>15</v>
      </c>
      <c r="C42" s="154">
        <f>C28*(1-D42)</f>
        <v>65.56</v>
      </c>
      <c r="D42" s="155">
        <f>D41+D28</f>
        <v>0.12000000000000005</v>
      </c>
      <c r="E42" s="157">
        <f>E41*(1-D28)</f>
        <v>4967296.6526111653</v>
      </c>
    </row>
    <row r="43" spans="2:5">
      <c r="B43" s="129">
        <v>16</v>
      </c>
      <c r="C43" s="154">
        <f>C28*(1-D43)</f>
        <v>64.963999999999999</v>
      </c>
      <c r="D43" s="155">
        <f>D42+D28</f>
        <v>0.12800000000000006</v>
      </c>
      <c r="E43" s="157">
        <f>E42*(1-D28)</f>
        <v>4927558.2793902764</v>
      </c>
    </row>
    <row r="44" spans="2:5">
      <c r="B44" s="129">
        <v>17</v>
      </c>
      <c r="C44" s="154">
        <f>C28*(1-D44)</f>
        <v>64.368000000000009</v>
      </c>
      <c r="D44" s="155">
        <f>D43+D28</f>
        <v>0.13600000000000007</v>
      </c>
      <c r="E44" s="157">
        <f>E43*(1-D28)</f>
        <v>4888137.8131551538</v>
      </c>
    </row>
    <row r="45" spans="2:5">
      <c r="B45" s="129">
        <v>18</v>
      </c>
      <c r="C45" s="154">
        <f>C28*(1-D45)</f>
        <v>63.772000000000006</v>
      </c>
      <c r="D45" s="155">
        <f>D44+D28</f>
        <v>0.14400000000000007</v>
      </c>
      <c r="E45" s="157">
        <f>E44*(1-D28)</f>
        <v>4849032.7106499122</v>
      </c>
    </row>
    <row r="46" spans="2:5">
      <c r="B46" s="129">
        <v>19</v>
      </c>
      <c r="C46" s="154">
        <f>C28*(1-D46)</f>
        <v>63.176000000000002</v>
      </c>
      <c r="D46" s="155">
        <f>D45+D28</f>
        <v>0.15200000000000008</v>
      </c>
      <c r="E46" s="157">
        <f>E45*(1-D28)</f>
        <v>4810240.4489647131</v>
      </c>
    </row>
    <row r="47" spans="2:5">
      <c r="B47" s="129">
        <v>20</v>
      </c>
      <c r="C47" s="154">
        <f>C28*(1-D47)</f>
        <v>62.58</v>
      </c>
      <c r="D47" s="155">
        <f>D46+D28</f>
        <v>0.16000000000000009</v>
      </c>
      <c r="E47" s="157">
        <f>E46*(1-D28)</f>
        <v>4771758.5253729951</v>
      </c>
    </row>
    <row r="48" spans="2:5">
      <c r="B48" s="129">
        <v>21</v>
      </c>
      <c r="C48" s="154">
        <f>C28*(1-D48)</f>
        <v>61.984000000000002</v>
      </c>
      <c r="D48" s="155">
        <f>D47+D28</f>
        <v>0.16800000000000009</v>
      </c>
      <c r="E48" s="157">
        <f>E47*(1-D28)</f>
        <v>4733584.4571700115</v>
      </c>
    </row>
    <row r="49" spans="2:5">
      <c r="B49" s="129">
        <v>22</v>
      </c>
      <c r="C49" s="154">
        <f>C28*(1-D49)</f>
        <v>61.387999999999998</v>
      </c>
      <c r="D49" s="155">
        <f>D48+D28</f>
        <v>0.1760000000000001</v>
      </c>
      <c r="E49" s="157">
        <f>E48*(1-D28)</f>
        <v>4695715.7815126516</v>
      </c>
    </row>
    <row r="50" spans="2:5">
      <c r="B50" s="129">
        <v>23</v>
      </c>
      <c r="C50" s="154">
        <f>C28*(1-D50)</f>
        <v>60.792000000000002</v>
      </c>
      <c r="D50" s="155">
        <f>D49+D28</f>
        <v>0.18400000000000011</v>
      </c>
      <c r="E50" s="157">
        <f>E49*(1-D28)</f>
        <v>4658150.0552605502</v>
      </c>
    </row>
    <row r="51" spans="2:5">
      <c r="B51" s="129">
        <v>24</v>
      </c>
      <c r="C51" s="154">
        <f>C28*(1-D51)</f>
        <v>60.195999999999998</v>
      </c>
      <c r="D51" s="155">
        <f>D50+D28</f>
        <v>0.19200000000000012</v>
      </c>
      <c r="E51" s="157">
        <f>E50*(1-D28)</f>
        <v>4620884.8548184661</v>
      </c>
    </row>
    <row r="52" spans="2:5">
      <c r="B52" s="129">
        <v>25</v>
      </c>
      <c r="C52" s="154">
        <f>C28*(1-D52)</f>
        <v>59.6</v>
      </c>
      <c r="D52" s="155">
        <f>D51+D28</f>
        <v>0.20000000000000012</v>
      </c>
      <c r="E52" s="157">
        <f>E51*(1-D28)</f>
        <v>4583917.7759799184</v>
      </c>
    </row>
  </sheetData>
  <mergeCells count="4">
    <mergeCell ref="B4:B8"/>
    <mergeCell ref="B2:G2"/>
    <mergeCell ref="C4:E8"/>
    <mergeCell ref="F4:G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00B0F0"/>
    <pageSetUpPr fitToPage="1"/>
  </sheetPr>
  <dimension ref="A1:AC59"/>
  <sheetViews>
    <sheetView showGridLines="0" workbookViewId="0">
      <pane xSplit="1" ySplit="5" topLeftCell="B23" activePane="bottomRight" state="frozen"/>
      <selection activeCell="A19" sqref="A19"/>
      <selection pane="topRight" activeCell="A19" sqref="A19"/>
      <selection pane="bottomLeft" activeCell="A19" sqref="A19"/>
      <selection pane="bottomRight" activeCell="A41" sqref="A41:P43"/>
    </sheetView>
  </sheetViews>
  <sheetFormatPr defaultColWidth="9.28515625" defaultRowHeight="12.75"/>
  <cols>
    <col min="1" max="1" width="32.28515625" style="37" bestFit="1" customWidth="1"/>
    <col min="2" max="2" width="9.85546875" style="37" bestFit="1" customWidth="1"/>
    <col min="3" max="25" width="6.5703125" style="37" bestFit="1" customWidth="1"/>
    <col min="26" max="26" width="7.140625" style="37" bestFit="1" customWidth="1"/>
    <col min="27" max="27" width="9.28515625" style="37"/>
    <col min="28" max="28" width="9.28515625" style="37" bestFit="1" customWidth="1"/>
    <col min="29" max="16384" width="9.28515625" style="37"/>
  </cols>
  <sheetData>
    <row r="1" spans="1:29" ht="14.25" customHeight="1">
      <c r="A1" s="78"/>
      <c r="B1" s="463">
        <f>'Dashboard-Input&amp;Output'!B2</f>
        <v>3578</v>
      </c>
      <c r="C1" s="458" t="s">
        <v>271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6" t="str">
        <f>+'Dashboard-Input&amp;Output'!H37</f>
        <v>REC (BOO/Captive)</v>
      </c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7"/>
    </row>
    <row r="2" spans="1:29" ht="12.75" customHeight="1">
      <c r="A2" s="75"/>
      <c r="B2" s="463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9"/>
    </row>
    <row r="3" spans="1:29" ht="12.75" customHeight="1">
      <c r="A3" s="77" t="s">
        <v>88</v>
      </c>
      <c r="B3" s="463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9"/>
    </row>
    <row r="4" spans="1:29" ht="13.5" customHeight="1" thickBot="1">
      <c r="A4" s="76"/>
      <c r="B4" s="464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1"/>
    </row>
    <row r="5" spans="1:29" s="70" customFormat="1" ht="21" customHeight="1">
      <c r="A5" s="40" t="s">
        <v>61</v>
      </c>
      <c r="B5" s="71">
        <v>1</v>
      </c>
      <c r="C5" s="71">
        <v>2</v>
      </c>
      <c r="D5" s="71">
        <v>3</v>
      </c>
      <c r="E5" s="71">
        <v>4</v>
      </c>
      <c r="F5" s="7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71">
        <v>16</v>
      </c>
      <c r="R5" s="71">
        <v>17</v>
      </c>
      <c r="S5" s="71">
        <v>18</v>
      </c>
      <c r="T5" s="71">
        <v>19</v>
      </c>
      <c r="U5" s="71">
        <v>20</v>
      </c>
      <c r="V5" s="71">
        <v>21</v>
      </c>
      <c r="W5" s="71">
        <v>22</v>
      </c>
      <c r="X5" s="71">
        <v>23</v>
      </c>
      <c r="Y5" s="71">
        <v>24</v>
      </c>
      <c r="Z5" s="71">
        <v>25</v>
      </c>
    </row>
    <row r="6" spans="1:29" ht="21" customHeight="1">
      <c r="A6" s="40" t="s">
        <v>85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9" ht="21" customHeight="1">
      <c r="A7" s="41" t="s">
        <v>62</v>
      </c>
      <c r="B7" s="44">
        <f>IF('Dashboard-Input&amp;Output'!$H$37="REC (BOO)",'Energy Assessment'!E28/1000000*(1-'Dashboard-Input&amp;Output'!$E$13),'Energy Assessment'!E28/1000000)</f>
        <v>5.5584881888516131</v>
      </c>
      <c r="C7" s="44">
        <f>IF('Dashboard-Input&amp;Output'!$H$37="REC (BOO)",'Energy Assessment'!E29/1000000*(1-'Dashboard-Input&amp;Output'!$E$13),'Energy Assessment'!E29/1000000)</f>
        <v>5.514020283340801</v>
      </c>
      <c r="D7" s="44">
        <f>IF('Dashboard-Input&amp;Output'!$H$37="REC (BOO)",'Energy Assessment'!E30/1000000*(1-'Dashboard-Input&amp;Output'!$E$13),'Energy Assessment'!E30/1000000)</f>
        <v>5.4699081210740736</v>
      </c>
      <c r="E7" s="44">
        <f>IF('Dashboard-Input&amp;Output'!$H$37="REC (BOO)",'Energy Assessment'!E31/1000000*(1-'Dashboard-Input&amp;Output'!$E$13),'Energy Assessment'!E31/1000000)</f>
        <v>5.4261488561054811</v>
      </c>
      <c r="F7" s="44">
        <f>IF('Dashboard-Input&amp;Output'!$H$37="REC (BOO)",'Energy Assessment'!E32/1000000*(1-'Dashboard-Input&amp;Output'!$E$13),'Energy Assessment'!E32/1000000)</f>
        <v>5.3827396652566373</v>
      </c>
      <c r="G7" s="44">
        <f>IF('Dashboard-Input&amp;Output'!$H$37="REC (BOO)",'Energy Assessment'!E33/1000000*(1-'Dashboard-Input&amp;Output'!$E$13),'Energy Assessment'!E33/1000000)</f>
        <v>5.3396777479345836</v>
      </c>
      <c r="H7" s="44">
        <f>IF('Dashboard-Input&amp;Output'!$H$37="REC (BOO)",'Energy Assessment'!E34/1000000*(1-'Dashboard-Input&amp;Output'!$E$13),'Energy Assessment'!E34/1000000)</f>
        <v>5.2969603259511064</v>
      </c>
      <c r="I7" s="44">
        <f>IF('Dashboard-Input&amp;Output'!$H$37="REC (BOO)",'Energy Assessment'!E35/1000000*(1-'Dashboard-Input&amp;Output'!$E$13),'Energy Assessment'!E35/1000000)</f>
        <v>5.254584643343498</v>
      </c>
      <c r="J7" s="44">
        <f>IF('Dashboard-Input&amp;Output'!$H$37="REC (BOO)",'Energy Assessment'!E36/1000000*(1-'Dashboard-Input&amp;Output'!$E$13),'Energy Assessment'!E36/1000000)</f>
        <v>5.21254796619675</v>
      </c>
      <c r="K7" s="44">
        <f>IF('Dashboard-Input&amp;Output'!$H$37="REC (BOO)",'Energy Assessment'!E37/1000000*(1-'Dashboard-Input&amp;Output'!$E$13),'Energy Assessment'!E37/1000000)</f>
        <v>5.170847582467176</v>
      </c>
      <c r="L7" s="44">
        <f>IF('Dashboard-Input&amp;Output'!$H$37="REC (BOO)",'Energy Assessment'!E38/1000000*(1-'Dashboard-Input&amp;Output'!$E$13),'Energy Assessment'!E38/1000000)</f>
        <v>5.1294808018074391</v>
      </c>
      <c r="M7" s="44">
        <f>IF('Dashboard-Input&amp;Output'!$H$37="REC (BOO)",'Energy Assessment'!E39/1000000*(1-'Dashboard-Input&amp;Output'!$E$13),'Energy Assessment'!E39/1000000)</f>
        <v>5.0884449553929789</v>
      </c>
      <c r="N7" s="44">
        <f>IF('Dashboard-Input&amp;Output'!$H$37="REC (BOO)",'Energy Assessment'!E40/1000000*(1-'Dashboard-Input&amp;Output'!$E$13),'Energy Assessment'!E40/1000000)</f>
        <v>5.0477373957498353</v>
      </c>
      <c r="O7" s="44">
        <f>IF('Dashboard-Input&amp;Output'!$H$37="REC (BOO)",'Energy Assessment'!E41/1000000*(1-'Dashboard-Input&amp;Output'!$E$13),'Energy Assessment'!E41/1000000)</f>
        <v>5.0073554965838358</v>
      </c>
      <c r="P7" s="44">
        <f>IF('Dashboard-Input&amp;Output'!$H$37="REC (BOO)",'Energy Assessment'!E42/1000000*(1-'Dashboard-Input&amp;Output'!$E$13),'Energy Assessment'!E42/1000000)</f>
        <v>4.9672966526111653</v>
      </c>
      <c r="Q7" s="44">
        <f>IF('Dashboard-Input&amp;Output'!$H$37="REC (BOO)",'Energy Assessment'!E43/1000000*(1-'Dashboard-Input&amp;Output'!$E$13),'Energy Assessment'!E43/1000000)</f>
        <v>4.9275582793902766</v>
      </c>
      <c r="R7" s="44">
        <f>IF('Dashboard-Input&amp;Output'!$H$37="REC (BOO)",'Energy Assessment'!E44/1000000*(1-'Dashboard-Input&amp;Output'!$E$13),'Energy Assessment'!E44/1000000)</f>
        <v>4.8881378131551534</v>
      </c>
      <c r="S7" s="44">
        <f>IF('Dashboard-Input&amp;Output'!$H$37="REC (BOO)",'Energy Assessment'!E45/1000000*(1-'Dashboard-Input&amp;Output'!$E$13),'Energy Assessment'!E45/1000000)</f>
        <v>4.8490327106499125</v>
      </c>
      <c r="T7" s="44">
        <f>IF('Dashboard-Input&amp;Output'!$H$37="REC (BOO)",'Energy Assessment'!E46/1000000*(1-'Dashboard-Input&amp;Output'!$E$13),'Energy Assessment'!E46/1000000)</f>
        <v>4.8102404489647128</v>
      </c>
      <c r="U7" s="44">
        <f>IF('Dashboard-Input&amp;Output'!$H$37="REC (BOO)",'Energy Assessment'!E47/1000000*(1-'Dashboard-Input&amp;Output'!$E$13),'Energy Assessment'!E47/1000000)</f>
        <v>4.7717585253729951</v>
      </c>
      <c r="V7" s="44">
        <f>IF('Dashboard-Input&amp;Output'!$H$37="REC (BOO)",'Energy Assessment'!E48/1000000*(1-'Dashboard-Input&amp;Output'!$E$13),'Energy Assessment'!E48/1000000)</f>
        <v>4.7335844571700116</v>
      </c>
      <c r="W7" s="44">
        <f>IF('Dashboard-Input&amp;Output'!$H$37="REC (BOO)",'Energy Assessment'!E49/1000000*(1-'Dashboard-Input&amp;Output'!$E$13),'Energy Assessment'!E49/1000000)</f>
        <v>4.6957157815126518</v>
      </c>
      <c r="X7" s="44">
        <f>IF('Dashboard-Input&amp;Output'!$H$37="REC (BOO)",'Energy Assessment'!E50/1000000*(1-'Dashboard-Input&amp;Output'!$E$13),'Energy Assessment'!E50/1000000)</f>
        <v>4.6581500552605499</v>
      </c>
      <c r="Y7" s="44">
        <f>IF('Dashboard-Input&amp;Output'!$H$37="REC (BOO)",'Energy Assessment'!E51/1000000*(1-'Dashboard-Input&amp;Output'!$E$13),'Energy Assessment'!E51/1000000)</f>
        <v>4.620884854818466</v>
      </c>
      <c r="Z7" s="44">
        <f>IF('Dashboard-Input&amp;Output'!$H$37="REC (BOO)",'Energy Assessment'!E52/1000000*(1-'Dashboard-Input&amp;Output'!$E$13),'Energy Assessment'!E52/1000000)</f>
        <v>4.5839177759799181</v>
      </c>
    </row>
    <row r="8" spans="1:29" ht="21" customHeight="1">
      <c r="A8" s="72" t="s">
        <v>86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9" ht="21" customHeight="1">
      <c r="A9" s="73" t="s">
        <v>307</v>
      </c>
      <c r="B9" s="42">
        <f>IF(B5&gt;'Dashboard-Input&amp;Output'!$M$37,0,IF('Dashboard-Input&amp;Output'!$D$16="Fixed Escalation",'Dashboard-Input&amp;Output'!E17,'Dashboard-Input&amp;Output'!$E$19))</f>
        <v>4.05</v>
      </c>
      <c r="C9" s="42">
        <f>IF(C5&gt;'Dashboard-Input&amp;Output'!$M$37,0,IF('Dashboard-Input&amp;Output'!$D$16="Fixed Escalation",B9*(1+'Dashboard-Input&amp;Output'!$E$18),IF('Dashboard-Input&amp;Output'!$D$19&gt;'P&amp;L'!B5,'Dashboard-Input&amp;Output'!$E$19,IF('Dashboard-Input&amp;Output'!$D$20&gt;'P&amp;L'!B5,'Dashboard-Input&amp;Output'!$E$20,IF('Dashboard-Input&amp;Output'!$D$21&gt;'P&amp;L'!B5,'Dashboard-Input&amp;Output'!$E$21,IF('Dashboard-Input&amp;Output'!$D$22&gt;'P&amp;L'!B5,'Dashboard-Input&amp;Output'!$E$22,'Dashboard-Input&amp;Output'!$E$23))))))</f>
        <v>4.05</v>
      </c>
      <c r="D9" s="42">
        <f>IF(D5&gt;'Dashboard-Input&amp;Output'!$M$37,0,IF('Dashboard-Input&amp;Output'!$D$16="Fixed Escalation",C9*(1+'Dashboard-Input&amp;Output'!$E$18),IF('Dashboard-Input&amp;Output'!$D$19&gt;'P&amp;L'!C5,'Dashboard-Input&amp;Output'!$E$19,IF('Dashboard-Input&amp;Output'!$D$20&gt;'P&amp;L'!C5,'Dashboard-Input&amp;Output'!$E$20,IF('Dashboard-Input&amp;Output'!$D$21&gt;'P&amp;L'!C5,'Dashboard-Input&amp;Output'!$E$21,IF('Dashboard-Input&amp;Output'!$D$22&gt;'P&amp;L'!C5,'Dashboard-Input&amp;Output'!$E$22,'Dashboard-Input&amp;Output'!$E$23))))))</f>
        <v>4.05</v>
      </c>
      <c r="E9" s="42">
        <f>IF(E5&gt;'Dashboard-Input&amp;Output'!$M$37,0,IF('Dashboard-Input&amp;Output'!$D$16="Fixed Escalation",D9*(1+'Dashboard-Input&amp;Output'!$E$18),IF('Dashboard-Input&amp;Output'!$D$19&gt;'P&amp;L'!D5,'Dashboard-Input&amp;Output'!$E$19,IF('Dashboard-Input&amp;Output'!$D$20&gt;'P&amp;L'!D5,'Dashboard-Input&amp;Output'!$E$20,IF('Dashboard-Input&amp;Output'!$D$21&gt;'P&amp;L'!D5,'Dashboard-Input&amp;Output'!$E$21,IF('Dashboard-Input&amp;Output'!$D$22&gt;'P&amp;L'!D5,'Dashboard-Input&amp;Output'!$E$22,'Dashboard-Input&amp;Output'!$E$23))))))</f>
        <v>4.05</v>
      </c>
      <c r="F9" s="42">
        <f>IF(F5&gt;'Dashboard-Input&amp;Output'!$M$37,0,IF('Dashboard-Input&amp;Output'!$D$16="Fixed Escalation",E9*(1+'Dashboard-Input&amp;Output'!$E$18),IF('Dashboard-Input&amp;Output'!$D$19&gt;'P&amp;L'!E5,'Dashboard-Input&amp;Output'!$E$19,IF('Dashboard-Input&amp;Output'!$D$20&gt;'P&amp;L'!E5,'Dashboard-Input&amp;Output'!$E$20,IF('Dashboard-Input&amp;Output'!$D$21&gt;'P&amp;L'!E5,'Dashboard-Input&amp;Output'!$E$21,IF('Dashboard-Input&amp;Output'!$D$22&gt;'P&amp;L'!E5,'Dashboard-Input&amp;Output'!$E$22,'Dashboard-Input&amp;Output'!$E$23))))))</f>
        <v>4.05</v>
      </c>
      <c r="G9" s="42">
        <f>IF(G5&gt;'Dashboard-Input&amp;Output'!$M$37,0,IF('Dashboard-Input&amp;Output'!$D$16="Fixed Escalation",F9*(1+'Dashboard-Input&amp;Output'!$E$18),IF('Dashboard-Input&amp;Output'!$D$19&gt;'P&amp;L'!F5,'Dashboard-Input&amp;Output'!$E$19,IF('Dashboard-Input&amp;Output'!$D$20&gt;'P&amp;L'!F5,'Dashboard-Input&amp;Output'!$E$20,IF('Dashboard-Input&amp;Output'!$D$21&gt;'P&amp;L'!F5,'Dashboard-Input&amp;Output'!$E$21,IF('Dashboard-Input&amp;Output'!$D$22&gt;'P&amp;L'!F5,'Dashboard-Input&amp;Output'!$E$22,'Dashboard-Input&amp;Output'!$E$23))))))</f>
        <v>4.05</v>
      </c>
      <c r="H9" s="42">
        <f>IF(H5&gt;'Dashboard-Input&amp;Output'!$M$37,0,IF('Dashboard-Input&amp;Output'!$D$16="Fixed Escalation",G9*(1+'Dashboard-Input&amp;Output'!$E$18),IF('Dashboard-Input&amp;Output'!$D$19&gt;'P&amp;L'!G5,'Dashboard-Input&amp;Output'!$E$19,IF('Dashboard-Input&amp;Output'!$D$20&gt;'P&amp;L'!G5,'Dashboard-Input&amp;Output'!$E$20,IF('Dashboard-Input&amp;Output'!$D$21&gt;'P&amp;L'!G5,'Dashboard-Input&amp;Output'!$E$21,IF('Dashboard-Input&amp;Output'!$D$22&gt;'P&amp;L'!G5,'Dashboard-Input&amp;Output'!$E$22,'Dashboard-Input&amp;Output'!$E$23))))))</f>
        <v>4.05</v>
      </c>
      <c r="I9" s="42">
        <f>IF(I5&gt;'Dashboard-Input&amp;Output'!$M$37,0,IF('Dashboard-Input&amp;Output'!$D$16="Fixed Escalation",H9*(1+'Dashboard-Input&amp;Output'!$E$18),IF('Dashboard-Input&amp;Output'!$D$19&gt;'P&amp;L'!H5,'Dashboard-Input&amp;Output'!$E$19,IF('Dashboard-Input&amp;Output'!$D$20&gt;'P&amp;L'!H5,'Dashboard-Input&amp;Output'!$E$20,IF('Dashboard-Input&amp;Output'!$D$21&gt;'P&amp;L'!H5,'Dashboard-Input&amp;Output'!$E$21,IF('Dashboard-Input&amp;Output'!$D$22&gt;'P&amp;L'!H5,'Dashboard-Input&amp;Output'!$E$22,'Dashboard-Input&amp;Output'!$E$23))))))</f>
        <v>4.05</v>
      </c>
      <c r="J9" s="42">
        <f>IF(J5&gt;'Dashboard-Input&amp;Output'!$M$37,0,IF('Dashboard-Input&amp;Output'!$D$16="Fixed Escalation",I9*(1+'Dashboard-Input&amp;Output'!$E$18),IF('Dashboard-Input&amp;Output'!$D$19&gt;'P&amp;L'!I5,'Dashboard-Input&amp;Output'!$E$19,IF('Dashboard-Input&amp;Output'!$D$20&gt;'P&amp;L'!I5,'Dashboard-Input&amp;Output'!$E$20,IF('Dashboard-Input&amp;Output'!$D$21&gt;'P&amp;L'!I5,'Dashboard-Input&amp;Output'!$E$21,IF('Dashboard-Input&amp;Output'!$D$22&gt;'P&amp;L'!I5,'Dashboard-Input&amp;Output'!$E$22,'Dashboard-Input&amp;Output'!$E$23))))))</f>
        <v>4.05</v>
      </c>
      <c r="K9" s="42">
        <f>IF(K5&gt;'Dashboard-Input&amp;Output'!$M$37,0,IF('Dashboard-Input&amp;Output'!$D$16="Fixed Escalation",J9*(1+'Dashboard-Input&amp;Output'!$E$18),IF('Dashboard-Input&amp;Output'!$D$19&gt;'P&amp;L'!J5,'Dashboard-Input&amp;Output'!$E$19,IF('Dashboard-Input&amp;Output'!$D$20&gt;'P&amp;L'!J5,'Dashboard-Input&amp;Output'!$E$20,IF('Dashboard-Input&amp;Output'!$D$21&gt;'P&amp;L'!J5,'Dashboard-Input&amp;Output'!$E$21,IF('Dashboard-Input&amp;Output'!$D$22&gt;'P&amp;L'!J5,'Dashboard-Input&amp;Output'!$E$22,'Dashboard-Input&amp;Output'!$E$23))))))</f>
        <v>4.05</v>
      </c>
      <c r="L9" s="42">
        <f>IF(L5&gt;'Dashboard-Input&amp;Output'!$M$37,0,IF('Dashboard-Input&amp;Output'!$D$16="Fixed Escalation",K9*(1+'Dashboard-Input&amp;Output'!$E$18),IF('Dashboard-Input&amp;Output'!$D$19&gt;'P&amp;L'!K5,'Dashboard-Input&amp;Output'!$E$19,IF('Dashboard-Input&amp;Output'!$D$20&gt;'P&amp;L'!K5,'Dashboard-Input&amp;Output'!$E$20,IF('Dashboard-Input&amp;Output'!$D$21&gt;'P&amp;L'!K5,'Dashboard-Input&amp;Output'!$E$21,IF('Dashboard-Input&amp;Output'!$D$22&gt;'P&amp;L'!K5,'Dashboard-Input&amp;Output'!$E$22,'Dashboard-Input&amp;Output'!$E$23))))))</f>
        <v>4.05</v>
      </c>
      <c r="M9" s="42">
        <f>IF(M5&gt;'Dashboard-Input&amp;Output'!$M$37,0,IF('Dashboard-Input&amp;Output'!$D$16="Fixed Escalation",L9*(1+'Dashboard-Input&amp;Output'!$E$18),IF('Dashboard-Input&amp;Output'!$D$19&gt;'P&amp;L'!L5,'Dashboard-Input&amp;Output'!$E$19,IF('Dashboard-Input&amp;Output'!$D$20&gt;'P&amp;L'!L5,'Dashboard-Input&amp;Output'!$E$20,IF('Dashboard-Input&amp;Output'!$D$21&gt;'P&amp;L'!L5,'Dashboard-Input&amp;Output'!$E$21,IF('Dashboard-Input&amp;Output'!$D$22&gt;'P&amp;L'!L5,'Dashboard-Input&amp;Output'!$E$22,'Dashboard-Input&amp;Output'!$E$23))))))</f>
        <v>4.05</v>
      </c>
      <c r="N9" s="42">
        <f>IF(N5&gt;'Dashboard-Input&amp;Output'!$M$37,0,IF('Dashboard-Input&amp;Output'!$D$16="Fixed Escalation",M9*(1+'Dashboard-Input&amp;Output'!$E$18),IF('Dashboard-Input&amp;Output'!$D$19&gt;'P&amp;L'!M5,'Dashboard-Input&amp;Output'!$E$19,IF('Dashboard-Input&amp;Output'!$D$20&gt;'P&amp;L'!M5,'Dashboard-Input&amp;Output'!$E$20,IF('Dashboard-Input&amp;Output'!$D$21&gt;'P&amp;L'!M5,'Dashboard-Input&amp;Output'!$E$21,IF('Dashboard-Input&amp;Output'!$D$22&gt;'P&amp;L'!M5,'Dashboard-Input&amp;Output'!$E$22,'Dashboard-Input&amp;Output'!$E$23))))))</f>
        <v>4.05</v>
      </c>
      <c r="O9" s="42">
        <f>IF(O5&gt;'Dashboard-Input&amp;Output'!$M$37,0,IF('Dashboard-Input&amp;Output'!$D$16="Fixed Escalation",N9*(1+'Dashboard-Input&amp;Output'!$E$18),IF('Dashboard-Input&amp;Output'!$D$19&gt;'P&amp;L'!N5,'Dashboard-Input&amp;Output'!$E$19,IF('Dashboard-Input&amp;Output'!$D$20&gt;'P&amp;L'!N5,'Dashboard-Input&amp;Output'!$E$20,IF('Dashboard-Input&amp;Output'!$D$21&gt;'P&amp;L'!N5,'Dashboard-Input&amp;Output'!$E$21,IF('Dashboard-Input&amp;Output'!$D$22&gt;'P&amp;L'!N5,'Dashboard-Input&amp;Output'!$E$22,'Dashboard-Input&amp;Output'!$E$23))))))</f>
        <v>4.05</v>
      </c>
      <c r="P9" s="42">
        <f>IF(P5&gt;'Dashboard-Input&amp;Output'!$M$37,0,IF('Dashboard-Input&amp;Output'!$D$16="Fixed Escalation",O9*(1+'Dashboard-Input&amp;Output'!$E$18),IF('Dashboard-Input&amp;Output'!$D$19&gt;'P&amp;L'!O5,'Dashboard-Input&amp;Output'!$E$19,IF('Dashboard-Input&amp;Output'!$D$20&gt;'P&amp;L'!O5,'Dashboard-Input&amp;Output'!$E$20,IF('Dashboard-Input&amp;Output'!$D$21&gt;'P&amp;L'!O5,'Dashboard-Input&amp;Output'!$E$21,IF('Dashboard-Input&amp;Output'!$D$22&gt;'P&amp;L'!O5,'Dashboard-Input&amp;Output'!$E$22,'Dashboard-Input&amp;Output'!$E$23))))))</f>
        <v>4.05</v>
      </c>
      <c r="Q9" s="42">
        <f>IF(Q5&gt;'Dashboard-Input&amp;Output'!$M$37,0,IF('Dashboard-Input&amp;Output'!$D$16="Fixed Escalation",P9*(1+'Dashboard-Input&amp;Output'!$E$18),IF('Dashboard-Input&amp;Output'!$D$19&gt;'P&amp;L'!P5,'Dashboard-Input&amp;Output'!$E$19,IF('Dashboard-Input&amp;Output'!$D$20&gt;'P&amp;L'!P5,'Dashboard-Input&amp;Output'!$E$20,IF('Dashboard-Input&amp;Output'!$D$21&gt;'P&amp;L'!P5,'Dashboard-Input&amp;Output'!$E$21,IF('Dashboard-Input&amp;Output'!$D$22&gt;'P&amp;L'!P5,'Dashboard-Input&amp;Output'!$E$22,'Dashboard-Input&amp;Output'!$E$23))))))</f>
        <v>4.05</v>
      </c>
      <c r="R9" s="42">
        <f>IF(R5&gt;'Dashboard-Input&amp;Output'!$M$37,0,IF('Dashboard-Input&amp;Output'!$D$16="Fixed Escalation",Q9*(1+'Dashboard-Input&amp;Output'!$E$18),IF('Dashboard-Input&amp;Output'!$D$19&gt;'P&amp;L'!Q5,'Dashboard-Input&amp;Output'!$E$19,IF('Dashboard-Input&amp;Output'!$D$20&gt;'P&amp;L'!Q5,'Dashboard-Input&amp;Output'!$E$20,IF('Dashboard-Input&amp;Output'!$D$21&gt;'P&amp;L'!Q5,'Dashboard-Input&amp;Output'!$E$21,IF('Dashboard-Input&amp;Output'!$D$22&gt;'P&amp;L'!Q5,'Dashboard-Input&amp;Output'!$E$22,'Dashboard-Input&amp;Output'!$E$23))))))</f>
        <v>4.05</v>
      </c>
      <c r="S9" s="42">
        <f>IF(S5&gt;'Dashboard-Input&amp;Output'!$M$37,0,IF('Dashboard-Input&amp;Output'!$D$16="Fixed Escalation",R9*(1+'Dashboard-Input&amp;Output'!$E$18),IF('Dashboard-Input&amp;Output'!$D$19&gt;'P&amp;L'!R5,'Dashboard-Input&amp;Output'!$E$19,IF('Dashboard-Input&amp;Output'!$D$20&gt;'P&amp;L'!R5,'Dashboard-Input&amp;Output'!$E$20,IF('Dashboard-Input&amp;Output'!$D$21&gt;'P&amp;L'!R5,'Dashboard-Input&amp;Output'!$E$21,IF('Dashboard-Input&amp;Output'!$D$22&gt;'P&amp;L'!R5,'Dashboard-Input&amp;Output'!$E$22,'Dashboard-Input&amp;Output'!$E$23))))))</f>
        <v>4.05</v>
      </c>
      <c r="T9" s="42">
        <f>IF(T5&gt;'Dashboard-Input&amp;Output'!$M$37,0,IF('Dashboard-Input&amp;Output'!$D$16="Fixed Escalation",S9*(1+'Dashboard-Input&amp;Output'!$E$18),IF('Dashboard-Input&amp;Output'!$D$19&gt;'P&amp;L'!S5,'Dashboard-Input&amp;Output'!$E$19,IF('Dashboard-Input&amp;Output'!$D$20&gt;'P&amp;L'!S5,'Dashboard-Input&amp;Output'!$E$20,IF('Dashboard-Input&amp;Output'!$D$21&gt;'P&amp;L'!S5,'Dashboard-Input&amp;Output'!$E$21,IF('Dashboard-Input&amp;Output'!$D$22&gt;'P&amp;L'!S5,'Dashboard-Input&amp;Output'!$E$22,'Dashboard-Input&amp;Output'!$E$23))))))</f>
        <v>4.05</v>
      </c>
      <c r="U9" s="42">
        <f>IF(U5&gt;'Dashboard-Input&amp;Output'!$M$37,0,IF('Dashboard-Input&amp;Output'!$D$16="Fixed Escalation",T9*(1+'Dashboard-Input&amp;Output'!$E$18),IF('Dashboard-Input&amp;Output'!$D$19&gt;'P&amp;L'!T5,'Dashboard-Input&amp;Output'!$E$19,IF('Dashboard-Input&amp;Output'!$D$20&gt;'P&amp;L'!T5,'Dashboard-Input&amp;Output'!$E$20,IF('Dashboard-Input&amp;Output'!$D$21&gt;'P&amp;L'!T5,'Dashboard-Input&amp;Output'!$E$21,IF('Dashboard-Input&amp;Output'!$D$22&gt;'P&amp;L'!T5,'Dashboard-Input&amp;Output'!$E$22,'Dashboard-Input&amp;Output'!$E$23))))))</f>
        <v>4.05</v>
      </c>
      <c r="V9" s="42">
        <f>IF(V5&gt;'Dashboard-Input&amp;Output'!$M$37,0,IF('Dashboard-Input&amp;Output'!$D$16="Fixed Escalation",U9*(1+'Dashboard-Input&amp;Output'!$E$18),IF('Dashboard-Input&amp;Output'!$D$19&gt;'P&amp;L'!U5,'Dashboard-Input&amp;Output'!$E$19,IF('Dashboard-Input&amp;Output'!$D$20&gt;'P&amp;L'!U5,'Dashboard-Input&amp;Output'!$E$20,IF('Dashboard-Input&amp;Output'!$D$21&gt;'P&amp;L'!U5,'Dashboard-Input&amp;Output'!$E$21,IF('Dashboard-Input&amp;Output'!$D$22&gt;'P&amp;L'!U5,'Dashboard-Input&amp;Output'!$E$22,'Dashboard-Input&amp;Output'!$E$23))))))</f>
        <v>4.05</v>
      </c>
      <c r="W9" s="42">
        <f>IF(W5&gt;'Dashboard-Input&amp;Output'!$M$37,0,IF('Dashboard-Input&amp;Output'!$D$16="Fixed Escalation",V9*(1+'Dashboard-Input&amp;Output'!$E$18),IF('Dashboard-Input&amp;Output'!$D$19&gt;'P&amp;L'!V5,'Dashboard-Input&amp;Output'!$E$19,IF('Dashboard-Input&amp;Output'!$D$20&gt;'P&amp;L'!V5,'Dashboard-Input&amp;Output'!$E$20,IF('Dashboard-Input&amp;Output'!$D$21&gt;'P&amp;L'!V5,'Dashboard-Input&amp;Output'!$E$21,IF('Dashboard-Input&amp;Output'!$D$22&gt;'P&amp;L'!V5,'Dashboard-Input&amp;Output'!$E$22,'Dashboard-Input&amp;Output'!$E$23))))))</f>
        <v>4.05</v>
      </c>
      <c r="X9" s="42">
        <f>IF(X5&gt;'Dashboard-Input&amp;Output'!$M$37,0,IF('Dashboard-Input&amp;Output'!$D$16="Fixed Escalation",W9*(1+'Dashboard-Input&amp;Output'!$E$18),IF('Dashboard-Input&amp;Output'!$D$19&gt;'P&amp;L'!W5,'Dashboard-Input&amp;Output'!$E$19,IF('Dashboard-Input&amp;Output'!$D$20&gt;'P&amp;L'!W5,'Dashboard-Input&amp;Output'!$E$20,IF('Dashboard-Input&amp;Output'!$D$21&gt;'P&amp;L'!W5,'Dashboard-Input&amp;Output'!$E$21,IF('Dashboard-Input&amp;Output'!$D$22&gt;'P&amp;L'!W5,'Dashboard-Input&amp;Output'!$E$22,'Dashboard-Input&amp;Output'!$E$23))))))</f>
        <v>4.05</v>
      </c>
      <c r="Y9" s="42">
        <f>IF(Y5&gt;'Dashboard-Input&amp;Output'!$M$37,0,IF('Dashboard-Input&amp;Output'!$D$16="Fixed Escalation",X9*(1+'Dashboard-Input&amp;Output'!$E$18),IF('Dashboard-Input&amp;Output'!$D$19&gt;'P&amp;L'!X5,'Dashboard-Input&amp;Output'!$E$19,IF('Dashboard-Input&amp;Output'!$D$20&gt;'P&amp;L'!X5,'Dashboard-Input&amp;Output'!$E$20,IF('Dashboard-Input&amp;Output'!$D$21&gt;'P&amp;L'!X5,'Dashboard-Input&amp;Output'!$E$21,IF('Dashboard-Input&amp;Output'!$D$22&gt;'P&amp;L'!X5,'Dashboard-Input&amp;Output'!$E$22,'Dashboard-Input&amp;Output'!$E$23))))))</f>
        <v>4.05</v>
      </c>
      <c r="Z9" s="42">
        <f>IF(Z5&gt;'Dashboard-Input&amp;Output'!$M$37,0,IF('Dashboard-Input&amp;Output'!$D$16="Fixed Escalation",Y9*(1+'Dashboard-Input&amp;Output'!$E$18),IF('Dashboard-Input&amp;Output'!$D$19&gt;'P&amp;L'!Y5,'Dashboard-Input&amp;Output'!$E$19,IF('Dashboard-Input&amp;Output'!$D$20&gt;'P&amp;L'!Y5,'Dashboard-Input&amp;Output'!$E$20,IF('Dashboard-Input&amp;Output'!$D$21&gt;'P&amp;L'!Y5,'Dashboard-Input&amp;Output'!$E$21,IF('Dashboard-Input&amp;Output'!$D$22&gt;'P&amp;L'!Y5,'Dashboard-Input&amp;Output'!$E$22,'Dashboard-Input&amp;Output'!$E$23))))))</f>
        <v>4.05</v>
      </c>
      <c r="AC9" s="100">
        <v>4.6500000000000004</v>
      </c>
    </row>
    <row r="10" spans="1:29" ht="21" hidden="1" customHeight="1">
      <c r="A10" s="73" t="s">
        <v>308</v>
      </c>
      <c r="B10" s="42">
        <f>+IF('Dashboard-Input&amp;Output'!$E$26&gt;0,'Dashboard-Input&amp;Output'!E24,0)</f>
        <v>0</v>
      </c>
      <c r="C10" s="42">
        <f>+B10*(1+'Dashboard-Input&amp;Output'!$E$25)</f>
        <v>0</v>
      </c>
      <c r="D10" s="42">
        <f>+C10*(1+'Dashboard-Input&amp;Output'!$E$25)</f>
        <v>0</v>
      </c>
      <c r="E10" s="42">
        <f>+D10*(1+'Dashboard-Input&amp;Output'!$E$25)</f>
        <v>0</v>
      </c>
      <c r="F10" s="42">
        <f>+E10*(1+'Dashboard-Input&amp;Output'!$E$25)</f>
        <v>0</v>
      </c>
      <c r="G10" s="42">
        <f>+F10*(1+'Dashboard-Input&amp;Output'!$E$25)</f>
        <v>0</v>
      </c>
      <c r="H10" s="42">
        <f>+G10*(1+'Dashboard-Input&amp;Output'!$E$25)</f>
        <v>0</v>
      </c>
      <c r="I10" s="42">
        <f>+H10*(1+'Dashboard-Input&amp;Output'!$E$25)</f>
        <v>0</v>
      </c>
      <c r="J10" s="42">
        <f>+I10*(1+'Dashboard-Input&amp;Output'!$E$25)</f>
        <v>0</v>
      </c>
      <c r="K10" s="42">
        <f>+J10*(1+'Dashboard-Input&amp;Output'!$E$25)</f>
        <v>0</v>
      </c>
      <c r="L10" s="42">
        <f>+K10*(1+'Dashboard-Input&amp;Output'!$E$25)</f>
        <v>0</v>
      </c>
      <c r="M10" s="42">
        <f>+L10*(1+'Dashboard-Input&amp;Output'!$E$25)</f>
        <v>0</v>
      </c>
      <c r="N10" s="42">
        <f>+M10*(1+'Dashboard-Input&amp;Output'!$E$25)</f>
        <v>0</v>
      </c>
      <c r="O10" s="42">
        <f>+N10*(1+'Dashboard-Input&amp;Output'!$E$25)</f>
        <v>0</v>
      </c>
      <c r="P10" s="42">
        <f>+O10*(1+'Dashboard-Input&amp;Output'!$E$25)</f>
        <v>0</v>
      </c>
      <c r="Q10" s="42">
        <f>+P10*(1+'Dashboard-Input&amp;Output'!$E$25)</f>
        <v>0</v>
      </c>
      <c r="R10" s="42">
        <f>+Q10*(1+'Dashboard-Input&amp;Output'!$E$25)</f>
        <v>0</v>
      </c>
      <c r="S10" s="42">
        <f>+R10*(1+'Dashboard-Input&amp;Output'!$E$25)</f>
        <v>0</v>
      </c>
      <c r="T10" s="42">
        <f>+S10*(1+'Dashboard-Input&amp;Output'!$E$25)</f>
        <v>0</v>
      </c>
      <c r="U10" s="42">
        <f>+T10*(1+'Dashboard-Input&amp;Output'!$E$25)</f>
        <v>0</v>
      </c>
      <c r="V10" s="42">
        <f>+U10*(1+'Dashboard-Input&amp;Output'!$E$25)</f>
        <v>0</v>
      </c>
      <c r="W10" s="42">
        <f>+V10*(1+'Dashboard-Input&amp;Output'!$E$25)</f>
        <v>0</v>
      </c>
      <c r="X10" s="42">
        <f>+W10*(1+'Dashboard-Input&amp;Output'!$E$25)</f>
        <v>0</v>
      </c>
      <c r="Y10" s="42">
        <f>+X10*(1+'Dashboard-Input&amp;Output'!$E$25)</f>
        <v>0</v>
      </c>
      <c r="Z10" s="42">
        <f>+Y10*(1+'Dashboard-Input&amp;Output'!$E$25)</f>
        <v>0</v>
      </c>
      <c r="AC10" s="100">
        <v>4.7430000000000003</v>
      </c>
    </row>
    <row r="11" spans="1:29" ht="21" hidden="1" customHeight="1">
      <c r="A11" s="73" t="s">
        <v>288</v>
      </c>
      <c r="B11" s="42">
        <f>IF('Dashboard-Input&amp;Output'!$H$37="REC (BOO)",'Dashboard-Input&amp;Output'!$I$41,0)</f>
        <v>0</v>
      </c>
      <c r="C11" s="42">
        <f>IF('Dashboard-Input&amp;Output'!$H$37="REC (BOO)",B11*(1+'Dashboard-Input&amp;Output'!$I$44),0)</f>
        <v>0</v>
      </c>
      <c r="D11" s="42">
        <f>IF('Dashboard-Input&amp;Output'!$H$37="REC (BOO)",C11*(1+'Dashboard-Input&amp;Output'!$I$44),0)</f>
        <v>0</v>
      </c>
      <c r="E11" s="42">
        <f>IF('Dashboard-Input&amp;Output'!$H$37="REC (BOO)",D11*(1+'Dashboard-Input&amp;Output'!$I$44),0)</f>
        <v>0</v>
      </c>
      <c r="F11" s="42">
        <f>IF('Dashboard-Input&amp;Output'!$H$37="REC (BOO)",E11*(1+'Dashboard-Input&amp;Output'!$I$44),0)</f>
        <v>0</v>
      </c>
      <c r="G11" s="42">
        <f>IF('Dashboard-Input&amp;Output'!$H$37="REC (BOO)",F11*(1+'Dashboard-Input&amp;Output'!$I$44),0)</f>
        <v>0</v>
      </c>
      <c r="H11" s="42">
        <f>IF('Dashboard-Input&amp;Output'!$H$37="REC (BOO)",G11*(1+'Dashboard-Input&amp;Output'!$I$44),0)</f>
        <v>0</v>
      </c>
      <c r="I11" s="42">
        <f>IF('Dashboard-Input&amp;Output'!$H$37="REC (BOO)",H11*(1+'Dashboard-Input&amp;Output'!$I$44),0)</f>
        <v>0</v>
      </c>
      <c r="J11" s="42">
        <f>IF('Dashboard-Input&amp;Output'!$H$37="REC (BOO)",I11*(1+'Dashboard-Input&amp;Output'!$I$44),0)</f>
        <v>0</v>
      </c>
      <c r="K11" s="42">
        <f>IF('Dashboard-Input&amp;Output'!$H$37="REC (BOO)",J11*(1+'Dashboard-Input&amp;Output'!$I$44),0)</f>
        <v>0</v>
      </c>
      <c r="L11" s="42">
        <f>IF('Dashboard-Input&amp;Output'!$H$37="REC (BOO)",K11*(1+'Dashboard-Input&amp;Output'!$I$44),0)</f>
        <v>0</v>
      </c>
      <c r="M11" s="42">
        <f>IF('Dashboard-Input&amp;Output'!$H$37="REC (BOO)",L11*(1+'Dashboard-Input&amp;Output'!$I$44),0)</f>
        <v>0</v>
      </c>
      <c r="N11" s="42">
        <f>IF('Dashboard-Input&amp;Output'!$H$37="REC (BOO)",M11*(1+'Dashboard-Input&amp;Output'!$I$44),0)</f>
        <v>0</v>
      </c>
      <c r="O11" s="42">
        <f>IF('Dashboard-Input&amp;Output'!$H$37="REC (BOO)",N11*(1+'Dashboard-Input&amp;Output'!$I$44),0)</f>
        <v>0</v>
      </c>
      <c r="P11" s="42">
        <f>IF('Dashboard-Input&amp;Output'!$H$37="REC (BOO)",O11*(1+'Dashboard-Input&amp;Output'!$I$44),0)</f>
        <v>0</v>
      </c>
      <c r="Q11" s="42">
        <f>IF('Dashboard-Input&amp;Output'!$H$37="REC (BOO)",P11*(1+'Dashboard-Input&amp;Output'!$I$44),0)</f>
        <v>0</v>
      </c>
      <c r="R11" s="42">
        <f>IF('Dashboard-Input&amp;Output'!$H$37="REC (BOO)",Q11*(1+'Dashboard-Input&amp;Output'!$I$44),0)</f>
        <v>0</v>
      </c>
      <c r="S11" s="42">
        <f>IF('Dashboard-Input&amp;Output'!$H$37="REC (BOO)",R11*(1+'Dashboard-Input&amp;Output'!$I$44),0)</f>
        <v>0</v>
      </c>
      <c r="T11" s="42">
        <f>IF('Dashboard-Input&amp;Output'!$H$37="REC (BOO)",S11*(1+'Dashboard-Input&amp;Output'!$I$44),0)</f>
        <v>0</v>
      </c>
      <c r="U11" s="42">
        <f>IF('Dashboard-Input&amp;Output'!$H$37="REC (BOO)",T11*(1+'Dashboard-Input&amp;Output'!$I$44),0)</f>
        <v>0</v>
      </c>
      <c r="V11" s="42">
        <f>IF('Dashboard-Input&amp;Output'!$H$37="REC (BOO)",U11*(1+'Dashboard-Input&amp;Output'!$I$44),0)</f>
        <v>0</v>
      </c>
      <c r="W11" s="42">
        <f>IF('Dashboard-Input&amp;Output'!$H$37="REC (BOO)",V11*(1+'Dashboard-Input&amp;Output'!$I$44),0)</f>
        <v>0</v>
      </c>
      <c r="X11" s="42">
        <f>IF('Dashboard-Input&amp;Output'!$H$37="REC (BOO)",W11*(1+'Dashboard-Input&amp;Output'!$I$44),0)</f>
        <v>0</v>
      </c>
      <c r="Y11" s="42">
        <f>IF('Dashboard-Input&amp;Output'!$H$37="REC (BOO)",X11*(1+'Dashboard-Input&amp;Output'!$I$44),0)</f>
        <v>0</v>
      </c>
      <c r="Z11" s="42">
        <f>IF('Dashboard-Input&amp;Output'!$H$37="REC (BOO)",Y11*(1+'Dashboard-Input&amp;Output'!$I$44),0)</f>
        <v>0</v>
      </c>
      <c r="AC11" s="100">
        <v>4.83786</v>
      </c>
    </row>
    <row r="12" spans="1:29" ht="21" customHeight="1">
      <c r="A12" s="73" t="s">
        <v>309</v>
      </c>
      <c r="B12" s="42">
        <f>(B7*'Dashboard-Input&amp;Output'!$E$26*'P&amp;L'!B10+'P&amp;L'!B7*(1-'Dashboard-Input&amp;Output'!$E$26)*('P&amp;L'!B9-'P&amp;L'!B11))/10</f>
        <v>2.2511877164849032</v>
      </c>
      <c r="C12" s="42">
        <f>(C7*'Dashboard-Input&amp;Output'!$E$26*'P&amp;L'!C10+'P&amp;L'!C7*(1-'Dashboard-Input&amp;Output'!$E$26)*('P&amp;L'!C9-'P&amp;L'!C11))/10</f>
        <v>2.2331782147530244</v>
      </c>
      <c r="D12" s="42">
        <f>(D7*'Dashboard-Input&amp;Output'!$E$26*'P&amp;L'!D10+'P&amp;L'!D7*(1-'Dashboard-Input&amp;Output'!$E$26)*('P&amp;L'!D9-'P&amp;L'!D11))/10</f>
        <v>2.2153127890349995</v>
      </c>
      <c r="E12" s="42">
        <f>(E7*'Dashboard-Input&amp;Output'!$E$26*'P&amp;L'!E10+'P&amp;L'!E7*(1-'Dashboard-Input&amp;Output'!$E$26)*('P&amp;L'!E9-'P&amp;L'!E11))/10</f>
        <v>2.1975902867227197</v>
      </c>
      <c r="F12" s="42">
        <f>(F7*'Dashboard-Input&amp;Output'!$E$26*'P&amp;L'!F10+'P&amp;L'!F7*(1-'Dashboard-Input&amp;Output'!$E$26)*('P&amp;L'!F9-'P&amp;L'!F11))/10</f>
        <v>2.1800095644289383</v>
      </c>
      <c r="G12" s="42">
        <f>(G7*'Dashboard-Input&amp;Output'!$E$26*'P&amp;L'!G10+'P&amp;L'!G7*(1-'Dashboard-Input&amp;Output'!$E$26)*('P&amp;L'!G9-'P&amp;L'!G11))/10</f>
        <v>2.162569487913506</v>
      </c>
      <c r="H12" s="42">
        <f>(H7*'Dashboard-Input&amp;Output'!$E$26*'P&amp;L'!H10+'P&amp;L'!H7*(1-'Dashboard-Input&amp;Output'!$E$26)*('P&amp;L'!H9-'P&amp;L'!H11))/10</f>
        <v>2.1452689320101981</v>
      </c>
      <c r="I12" s="42">
        <f>(I7*'Dashboard-Input&amp;Output'!$E$26*'P&amp;L'!I10+'P&amp;L'!I7*(1-'Dashboard-Input&amp;Output'!$E$26)*('P&amp;L'!I9-'P&amp;L'!I11))/10</f>
        <v>2.1281067805541167</v>
      </c>
      <c r="J12" s="42">
        <f>(J7*'Dashboard-Input&amp;Output'!$E$26*'P&amp;L'!J10+'P&amp;L'!J7*(1-'Dashboard-Input&amp;Output'!$E$26)*('P&amp;L'!J9-'P&amp;L'!J11))/10</f>
        <v>2.1110819263096836</v>
      </c>
      <c r="K12" s="42">
        <f>(K7*'Dashboard-Input&amp;Output'!$E$26*'P&amp;L'!K10+'P&amp;L'!K7*(1-'Dashboard-Input&amp;Output'!$E$26)*('P&amp;L'!K9-'P&amp;L'!K11))/10</f>
        <v>2.0941932708992064</v>
      </c>
      <c r="L12" s="42">
        <f>(L7*'Dashboard-Input&amp;Output'!$E$26*'P&amp;L'!L10+'P&amp;L'!L7*(1-'Dashboard-Input&amp;Output'!$E$26)*('P&amp;L'!L9-'P&amp;L'!L11))/10</f>
        <v>2.0774397247320127</v>
      </c>
      <c r="M12" s="42">
        <f>(M7*'Dashboard-Input&amp;Output'!$E$26*'P&amp;L'!M10+'P&amp;L'!M7*(1-'Dashboard-Input&amp;Output'!$E$26)*('P&amp;L'!M9-'P&amp;L'!M11))/10</f>
        <v>2.0608202069341561</v>
      </c>
      <c r="N12" s="42">
        <f>(N7*'Dashboard-Input&amp;Output'!$E$26*'P&amp;L'!N10+'P&amp;L'!N7*(1-'Dashboard-Input&amp;Output'!$E$26)*('P&amp;L'!N9-'P&amp;L'!N11))/10</f>
        <v>2.0443336452786829</v>
      </c>
      <c r="O12" s="42">
        <f>(O7*'Dashboard-Input&amp;Output'!$E$26*'P&amp;L'!O10+'P&amp;L'!O7*(1-'Dashboard-Input&amp;Output'!$E$26)*('P&amp;L'!O9-'P&amp;L'!O11))/10</f>
        <v>2.0279789761164535</v>
      </c>
      <c r="P12" s="42">
        <f>(P7*'Dashboard-Input&amp;Output'!$E$26*'P&amp;L'!P10+'P&amp;L'!P7*(1-'Dashboard-Input&amp;Output'!$E$26)*('P&amp;L'!P9-'P&amp;L'!P11))/10</f>
        <v>2.0117551443075219</v>
      </c>
      <c r="Q12" s="42">
        <f>(Q7*'Dashboard-Input&amp;Output'!$E$26*'P&amp;L'!Q10+'P&amp;L'!Q7*(1-'Dashboard-Input&amp;Output'!$E$26)*('P&amp;L'!Q9-'P&amp;L'!Q11))/10</f>
        <v>1.995661103153062</v>
      </c>
      <c r="R12" s="42">
        <f>(R7*'Dashboard-Input&amp;Output'!$E$26*'P&amp;L'!R10+'P&amp;L'!R7*(1-'Dashboard-Input&amp;Output'!$E$26)*('P&amp;L'!R9-'P&amp;L'!R11))/10</f>
        <v>1.9796958143278371</v>
      </c>
      <c r="S12" s="42">
        <f>(S7*'Dashboard-Input&amp;Output'!$E$26*'P&amp;L'!S10+'P&amp;L'!S7*(1-'Dashboard-Input&amp;Output'!$E$26)*('P&amp;L'!S9-'P&amp;L'!S11))/10</f>
        <v>1.9638582478132143</v>
      </c>
      <c r="T12" s="42">
        <f>(T7*'Dashboard-Input&amp;Output'!$E$26*'P&amp;L'!T10+'P&amp;L'!T7*(1-'Dashboard-Input&amp;Output'!$E$26)*('P&amp;L'!T9-'P&amp;L'!T11))/10</f>
        <v>1.9481473818307087</v>
      </c>
      <c r="U12" s="42">
        <f>(U7*'Dashboard-Input&amp;Output'!$E$26*'P&amp;L'!U10+'P&amp;L'!U7*(1-'Dashboard-Input&amp;Output'!$E$26)*('P&amp;L'!U9-'P&amp;L'!U11))/10</f>
        <v>1.9325622027760629</v>
      </c>
      <c r="V12" s="42">
        <f>(V7*'Dashboard-Input&amp;Output'!$E$26*'P&amp;L'!V10+'P&amp;L'!V7*(1-'Dashboard-Input&amp;Output'!$E$26)*('P&amp;L'!V9-'P&amp;L'!V11))/10</f>
        <v>1.9171017051538546</v>
      </c>
      <c r="W12" s="42">
        <f>(W7*'Dashboard-Input&amp;Output'!$E$26*'P&amp;L'!W10+'P&amp;L'!W7*(1-'Dashboard-Input&amp;Output'!$E$26)*('P&amp;L'!W9-'P&amp;L'!W11))/10</f>
        <v>1.9017648915126237</v>
      </c>
      <c r="X12" s="42">
        <f>(X7*'Dashboard-Input&amp;Output'!$E$26*'P&amp;L'!X10+'P&amp;L'!X7*(1-'Dashboard-Input&amp;Output'!$E$26)*('P&amp;L'!X9-'P&amp;L'!X11))/10</f>
        <v>1.8865507723805226</v>
      </c>
      <c r="Y12" s="42">
        <f>(Y7*'Dashboard-Input&amp;Output'!$E$26*'P&amp;L'!Y10+'P&amp;L'!Y7*(1-'Dashboard-Input&amp;Output'!$E$26)*('P&amp;L'!Y9-'P&amp;L'!Y11))/10</f>
        <v>1.8714583662014785</v>
      </c>
      <c r="Z12" s="42">
        <f>(Z7*'Dashboard-Input&amp;Output'!$E$26*'P&amp;L'!Z10+'P&amp;L'!Z7*(1-'Dashboard-Input&amp;Output'!$E$26)*('P&amp;L'!Z9-'P&amp;L'!Z11))/10</f>
        <v>1.8564866992718667</v>
      </c>
      <c r="AC12" s="100">
        <v>4.9346171999999999</v>
      </c>
    </row>
    <row r="13" spans="1:29" ht="21" hidden="1" customHeight="1">
      <c r="A13" s="73" t="s">
        <v>267</v>
      </c>
      <c r="B13" s="38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C13" s="100">
        <v>5.0333095439999997</v>
      </c>
    </row>
    <row r="14" spans="1:29" ht="21" customHeight="1">
      <c r="A14" s="73" t="s">
        <v>326</v>
      </c>
      <c r="B14" s="59"/>
      <c r="C14" s="42">
        <f>B36*0.06</f>
        <v>6.7983652445094175E-2</v>
      </c>
      <c r="D14" s="42">
        <f>C14*0.06+C14</f>
        <v>7.2062671591799826E-2</v>
      </c>
      <c r="E14" s="42">
        <f t="shared" ref="E14:Z14" si="0">D14*0.06+D14</f>
        <v>7.6386431887307815E-2</v>
      </c>
      <c r="F14" s="42">
        <f t="shared" si="0"/>
        <v>8.096961780054629E-2</v>
      </c>
      <c r="G14" s="42">
        <f t="shared" si="0"/>
        <v>8.5827794868579069E-2</v>
      </c>
      <c r="H14" s="42">
        <f t="shared" si="0"/>
        <v>9.0977462560693806E-2</v>
      </c>
      <c r="I14" s="42">
        <f t="shared" si="0"/>
        <v>9.6436110314335438E-2</v>
      </c>
      <c r="J14" s="42">
        <f t="shared" si="0"/>
        <v>0.10222227693319556</v>
      </c>
      <c r="K14" s="42">
        <f t="shared" si="0"/>
        <v>0.1083556135491873</v>
      </c>
      <c r="L14" s="42">
        <f t="shared" si="0"/>
        <v>0.11485695036213853</v>
      </c>
      <c r="M14" s="42">
        <f t="shared" si="0"/>
        <v>0.12174836738386684</v>
      </c>
      <c r="N14" s="42">
        <f t="shared" si="0"/>
        <v>0.12905326942689885</v>
      </c>
      <c r="O14" s="42">
        <f t="shared" si="0"/>
        <v>0.13679646559251277</v>
      </c>
      <c r="P14" s="42">
        <f t="shared" si="0"/>
        <v>0.14500425352806354</v>
      </c>
      <c r="Q14" s="42">
        <f t="shared" si="0"/>
        <v>0.15370450873974734</v>
      </c>
      <c r="R14" s="42">
        <f t="shared" si="0"/>
        <v>0.16292677926413218</v>
      </c>
      <c r="S14" s="42">
        <f t="shared" si="0"/>
        <v>0.17270238601998011</v>
      </c>
      <c r="T14" s="42">
        <f t="shared" si="0"/>
        <v>0.18306452918117891</v>
      </c>
      <c r="U14" s="42">
        <f t="shared" si="0"/>
        <v>0.19404840093204964</v>
      </c>
      <c r="V14" s="42">
        <f t="shared" si="0"/>
        <v>0.20569130498797261</v>
      </c>
      <c r="W14" s="42">
        <f t="shared" si="0"/>
        <v>0.21803278328725098</v>
      </c>
      <c r="X14" s="42">
        <f t="shared" si="0"/>
        <v>0.23111475028448603</v>
      </c>
      <c r="Y14" s="42">
        <f t="shared" si="0"/>
        <v>0.2449816353015552</v>
      </c>
      <c r="Z14" s="42">
        <f t="shared" si="0"/>
        <v>0.25968053341964853</v>
      </c>
      <c r="AC14" s="100">
        <v>5.1339757348799999</v>
      </c>
    </row>
    <row r="15" spans="1:29" s="70" customFormat="1" ht="21" customHeight="1" thickBot="1">
      <c r="A15" s="80" t="s">
        <v>80</v>
      </c>
      <c r="B15" s="81">
        <f>B14+B12</f>
        <v>2.2511877164849032</v>
      </c>
      <c r="C15" s="81">
        <f>C14+C12+C13</f>
        <v>2.3011618671981187</v>
      </c>
      <c r="D15" s="81">
        <f t="shared" ref="D15:Z15" si="1">D14+D12</f>
        <v>2.2873754606267993</v>
      </c>
      <c r="E15" s="81">
        <f t="shared" si="1"/>
        <v>2.2739767186100277</v>
      </c>
      <c r="F15" s="81">
        <f t="shared" si="1"/>
        <v>2.2609791822294847</v>
      </c>
      <c r="G15" s="81">
        <f t="shared" si="1"/>
        <v>2.2483972827820851</v>
      </c>
      <c r="H15" s="81">
        <f t="shared" si="1"/>
        <v>2.2362463945708919</v>
      </c>
      <c r="I15" s="81">
        <f t="shared" si="1"/>
        <v>2.2245428908684524</v>
      </c>
      <c r="J15" s="81">
        <f t="shared" si="1"/>
        <v>2.2133042032428794</v>
      </c>
      <c r="K15" s="81">
        <f t="shared" si="1"/>
        <v>2.2025488844483938</v>
      </c>
      <c r="L15" s="81">
        <f t="shared" si="1"/>
        <v>2.192296675094151</v>
      </c>
      <c r="M15" s="81">
        <f t="shared" si="1"/>
        <v>2.1825685743180228</v>
      </c>
      <c r="N15" s="81">
        <f t="shared" si="1"/>
        <v>2.1733869147055818</v>
      </c>
      <c r="O15" s="81">
        <f t="shared" si="1"/>
        <v>2.1647754417089664</v>
      </c>
      <c r="P15" s="81">
        <f t="shared" si="1"/>
        <v>2.1567593978355855</v>
      </c>
      <c r="Q15" s="81">
        <f t="shared" si="1"/>
        <v>2.1493656118928093</v>
      </c>
      <c r="R15" s="81">
        <f t="shared" si="1"/>
        <v>2.1426225935919692</v>
      </c>
      <c r="S15" s="81">
        <f t="shared" si="1"/>
        <v>2.1365606338331942</v>
      </c>
      <c r="T15" s="81">
        <f t="shared" si="1"/>
        <v>2.1312119110118877</v>
      </c>
      <c r="U15" s="81">
        <f t="shared" si="1"/>
        <v>2.1266106037081127</v>
      </c>
      <c r="V15" s="81">
        <f t="shared" si="1"/>
        <v>2.1227930101418271</v>
      </c>
      <c r="W15" s="81">
        <f t="shared" si="1"/>
        <v>2.1197976747998748</v>
      </c>
      <c r="X15" s="81">
        <f t="shared" si="1"/>
        <v>2.1176655226650087</v>
      </c>
      <c r="Y15" s="81">
        <f t="shared" si="1"/>
        <v>2.1164400015030336</v>
      </c>
      <c r="Z15" s="81">
        <f t="shared" si="1"/>
        <v>2.1161672326915153</v>
      </c>
      <c r="AB15" s="74"/>
      <c r="AC15" s="385">
        <v>5.2366552495776002</v>
      </c>
    </row>
    <row r="16" spans="1:29" s="70" customFormat="1" ht="21" customHeight="1" thickTop="1">
      <c r="A16" s="40" t="s">
        <v>87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B16" s="74"/>
      <c r="AC16" s="385">
        <v>5.3413883545691521</v>
      </c>
    </row>
    <row r="17" spans="1:29" ht="21" customHeight="1">
      <c r="A17" s="73" t="s">
        <v>82</v>
      </c>
      <c r="B17" s="42">
        <f>+'Dashboard-Input&amp;Output'!I10</f>
        <v>0.02</v>
      </c>
      <c r="C17" s="42">
        <f>IF(C15&gt;0,B17*(1+'Dashboard-Input&amp;Output'!$I$13),0)</f>
        <v>2.0199999999999999E-2</v>
      </c>
      <c r="D17" s="42">
        <f>IF(D15&gt;0,C17*(1+'Dashboard-Input&amp;Output'!$I$13),0)</f>
        <v>2.0402E-2</v>
      </c>
      <c r="E17" s="42">
        <f>IF(E15&gt;0,D17*(1+'Dashboard-Input&amp;Output'!$I$13),0)</f>
        <v>2.0606019999999999E-2</v>
      </c>
      <c r="F17" s="42">
        <f>IF(F15&gt;0,E17*(1+'Dashboard-Input&amp;Output'!$I$13),0)</f>
        <v>2.0812080199999999E-2</v>
      </c>
      <c r="G17" s="42">
        <f>IF(G15&gt;0,F17*(1+'Dashboard-Input&amp;Output'!$I$13),0)</f>
        <v>2.1020201002E-2</v>
      </c>
      <c r="H17" s="42">
        <f>IF(H15&gt;0,G17*(1+'Dashboard-Input&amp;Output'!$I$13),0)</f>
        <v>2.1230403012020001E-2</v>
      </c>
      <c r="I17" s="42">
        <f>IF(I15&gt;0,H17*(1+'Dashboard-Input&amp;Output'!$I$13),0)</f>
        <v>2.1442707042140203E-2</v>
      </c>
      <c r="J17" s="42">
        <f>IF(J15&gt;0,I17*(1+'Dashboard-Input&amp;Output'!$I$13),0)</f>
        <v>2.1657134112561604E-2</v>
      </c>
      <c r="K17" s="42">
        <f>IF(K15&gt;0,J17*(1+'Dashboard-Input&amp;Output'!$I$13),0)</f>
        <v>2.187370545368722E-2</v>
      </c>
      <c r="L17" s="42">
        <f>IF(L15&gt;0,K17*(1+'Dashboard-Input&amp;Output'!$I$13),0)</f>
        <v>2.2092442508224092E-2</v>
      </c>
      <c r="M17" s="42">
        <f>IF(M15&gt;0,L17*(1+'Dashboard-Input&amp;Output'!$I$13),0)</f>
        <v>2.2313366933306333E-2</v>
      </c>
      <c r="N17" s="42">
        <f>IF(N15&gt;0,M17*(1+'Dashboard-Input&amp;Output'!$I$13),0)</f>
        <v>2.2536500602639398E-2</v>
      </c>
      <c r="O17" s="42">
        <f>IF(O15&gt;0,N17*(1+'Dashboard-Input&amp;Output'!$I$13),0)</f>
        <v>2.2761865608665791E-2</v>
      </c>
      <c r="P17" s="42">
        <f>IF(P15&gt;0,O17*(1+'Dashboard-Input&amp;Output'!$I$13),0)</f>
        <v>2.298948426475245E-2</v>
      </c>
      <c r="Q17" s="42">
        <f>IF(Q15&gt;0,P17*(1+'Dashboard-Input&amp;Output'!$I$13),0)</f>
        <v>2.3219379107399976E-2</v>
      </c>
      <c r="R17" s="42">
        <f>IF(R15&gt;0,Q17*(1+'Dashboard-Input&amp;Output'!$I$13),0)</f>
        <v>2.3451572898473976E-2</v>
      </c>
      <c r="S17" s="42">
        <f>IF(S15&gt;0,R17*(1+'Dashboard-Input&amp;Output'!$I$13),0)</f>
        <v>2.3686088627458714E-2</v>
      </c>
      <c r="T17" s="42">
        <f>IF(T15&gt;0,S17*(1+'Dashboard-Input&amp;Output'!$I$13),0)</f>
        <v>2.3922949513733301E-2</v>
      </c>
      <c r="U17" s="42">
        <f>IF(U15&gt;0,T17*(1+'Dashboard-Input&amp;Output'!$I$13),0)</f>
        <v>2.4162179008870636E-2</v>
      </c>
      <c r="V17" s="42">
        <f>IF(V15&gt;0,U17*(1+'Dashboard-Input&amp;Output'!$I$13),0)</f>
        <v>2.4403800798959343E-2</v>
      </c>
      <c r="W17" s="42">
        <f>IF(W15&gt;0,V17*(1+'Dashboard-Input&amp;Output'!$I$13),0)</f>
        <v>2.4647838806948937E-2</v>
      </c>
      <c r="X17" s="42">
        <f>IF(X15&gt;0,W17*(1+'Dashboard-Input&amp;Output'!$I$13),0)</f>
        <v>2.4894317195018428E-2</v>
      </c>
      <c r="Y17" s="42">
        <f>IF(Y15&gt;0,X17*(1+'Dashboard-Input&amp;Output'!$I$13),0)</f>
        <v>2.5143260366968612E-2</v>
      </c>
      <c r="Z17" s="42">
        <f>IF(Z15&gt;0,Y17*(1+'Dashboard-Input&amp;Output'!$I$13),0)</f>
        <v>2.5394692970638299E-2</v>
      </c>
      <c r="AB17" s="43"/>
      <c r="AC17" s="100">
        <v>5.4482161216605354</v>
      </c>
    </row>
    <row r="18" spans="1:29" ht="21" hidden="1" customHeight="1">
      <c r="A18" s="73" t="s">
        <v>292</v>
      </c>
      <c r="B18" s="42">
        <f>IF('Dashboard-Input&amp;Output'!$H$37="REC (BOO)",MAX(365*'Dashboard-Input&amp;Output'!$I$40,365*'Dashboard-Input&amp;Output'!$I$40*'Dashboard-Input&amp;Output'!$E$10/1000)/10000000,0)</f>
        <v>0</v>
      </c>
      <c r="C18" s="42">
        <f>IF(C15&gt;0,B18*(1+'Dashboard-Input&amp;Output'!$I$44),0)</f>
        <v>0</v>
      </c>
      <c r="D18" s="42">
        <f>IF(D15&gt;0,C18*(1+'Dashboard-Input&amp;Output'!$I$44),0)</f>
        <v>0</v>
      </c>
      <c r="E18" s="42">
        <f>IF(E15&gt;0,D18*(1+'Dashboard-Input&amp;Output'!$I$44),0)</f>
        <v>0</v>
      </c>
      <c r="F18" s="42">
        <f>IF(F15&gt;0,E18*(1+'Dashboard-Input&amp;Output'!$I$44),0)</f>
        <v>0</v>
      </c>
      <c r="G18" s="42">
        <f>IF(G15&gt;0,F18*(1+'Dashboard-Input&amp;Output'!$I$44),0)</f>
        <v>0</v>
      </c>
      <c r="H18" s="42">
        <f>IF(H15&gt;0,G18*(1+'Dashboard-Input&amp;Output'!$I$44),0)</f>
        <v>0</v>
      </c>
      <c r="I18" s="42">
        <f>IF(I15&gt;0,H18*(1+'Dashboard-Input&amp;Output'!$I$44),0)</f>
        <v>0</v>
      </c>
      <c r="J18" s="42">
        <f>IF(J15&gt;0,I18*(1+'Dashboard-Input&amp;Output'!$I$44),0)</f>
        <v>0</v>
      </c>
      <c r="K18" s="42">
        <f>IF(K15&gt;0,J18*(1+'Dashboard-Input&amp;Output'!$I$44),0)</f>
        <v>0</v>
      </c>
      <c r="L18" s="42">
        <f>IF(L15&gt;0,K18*(1+'Dashboard-Input&amp;Output'!$I$44),0)</f>
        <v>0</v>
      </c>
      <c r="M18" s="42">
        <f>IF(M15&gt;0,L18*(1+'Dashboard-Input&amp;Output'!$I$44),0)</f>
        <v>0</v>
      </c>
      <c r="N18" s="42">
        <f>IF(N15&gt;0,M18*(1+'Dashboard-Input&amp;Output'!$I$44),0)</f>
        <v>0</v>
      </c>
      <c r="O18" s="42">
        <f>IF(O15&gt;0,N18*(1+'Dashboard-Input&amp;Output'!$I$44),0)</f>
        <v>0</v>
      </c>
      <c r="P18" s="42">
        <f>IF(P15&gt;0,O18*(1+'Dashboard-Input&amp;Output'!$I$44),0)</f>
        <v>0</v>
      </c>
      <c r="Q18" s="42">
        <f>IF(Q15&gt;0,P18*(1+'Dashboard-Input&amp;Output'!$I$44),0)</f>
        <v>0</v>
      </c>
      <c r="R18" s="42">
        <f>IF(R15&gt;0,Q18*(1+'Dashboard-Input&amp;Output'!$I$44),0)</f>
        <v>0</v>
      </c>
      <c r="S18" s="42">
        <f>IF(S15&gt;0,R18*(1+'Dashboard-Input&amp;Output'!$I$44),0)</f>
        <v>0</v>
      </c>
      <c r="T18" s="42">
        <f>IF(T15&gt;0,S18*(1+'Dashboard-Input&amp;Output'!$I$44),0)</f>
        <v>0</v>
      </c>
      <c r="U18" s="42">
        <f>IF(U15&gt;0,T18*(1+'Dashboard-Input&amp;Output'!$I$44),0)</f>
        <v>0</v>
      </c>
      <c r="V18" s="42">
        <f>IF(V15&gt;0,U18*(1+'Dashboard-Input&amp;Output'!$I$44),0)</f>
        <v>0</v>
      </c>
      <c r="W18" s="42">
        <f>IF(W15&gt;0,V18*(1+'Dashboard-Input&amp;Output'!$I$44),0)</f>
        <v>0</v>
      </c>
      <c r="X18" s="42">
        <f>IF(X15&gt;0,W18*(1+'Dashboard-Input&amp;Output'!$I$44),0)</f>
        <v>0</v>
      </c>
      <c r="Y18" s="42">
        <f>IF(Y15&gt;0,X18*(1+'Dashboard-Input&amp;Output'!$I$44),0)</f>
        <v>0</v>
      </c>
      <c r="Z18" s="42">
        <f>IF(Z15&gt;0,Y18*(1+'Dashboard-Input&amp;Output'!$I$44),0)</f>
        <v>0</v>
      </c>
      <c r="AB18" s="43"/>
      <c r="AC18" s="100">
        <v>5.5571804440937465</v>
      </c>
    </row>
    <row r="19" spans="1:29" ht="25.5" hidden="1">
      <c r="A19" s="73" t="s">
        <v>293</v>
      </c>
      <c r="B19" s="42">
        <f>IF('Dashboard-Input&amp;Output'!$H$37="REC (BOO)",'Dashboard-Input&amp;Output'!$I$43*'Dashboard-Input&amp;Output'!$E$10/1000*365/10000000,0)</f>
        <v>0</v>
      </c>
      <c r="C19" s="42">
        <f>IF(C15&gt;0,B19*(1+'Dashboard-Input&amp;Output'!$I$44),0)</f>
        <v>0</v>
      </c>
      <c r="D19" s="42">
        <f>IF(D15&gt;0,C19*(1+'Dashboard-Input&amp;Output'!$I$44),0)</f>
        <v>0</v>
      </c>
      <c r="E19" s="42">
        <f>IF(E15&gt;0,D19*(1+'Dashboard-Input&amp;Output'!$I$44),0)</f>
        <v>0</v>
      </c>
      <c r="F19" s="42">
        <f>IF(F15&gt;0,E19*(1+'Dashboard-Input&amp;Output'!$I$44),0)</f>
        <v>0</v>
      </c>
      <c r="G19" s="42">
        <f>IF(G15&gt;0,F19*(1+'Dashboard-Input&amp;Output'!$I$44),0)</f>
        <v>0</v>
      </c>
      <c r="H19" s="42">
        <f>IF(H15&gt;0,G19*(1+'Dashboard-Input&amp;Output'!$I$44),0)</f>
        <v>0</v>
      </c>
      <c r="I19" s="42">
        <f>IF(I15&gt;0,H19*(1+'Dashboard-Input&amp;Output'!$I$44),0)</f>
        <v>0</v>
      </c>
      <c r="J19" s="42">
        <f>IF(J15&gt;0,I19*(1+'Dashboard-Input&amp;Output'!$I$44),0)</f>
        <v>0</v>
      </c>
      <c r="K19" s="42">
        <f>IF(K15&gt;0,J19*(1+'Dashboard-Input&amp;Output'!$I$44),0)</f>
        <v>0</v>
      </c>
      <c r="L19" s="42">
        <f>IF(L15&gt;0,K19*(1+'Dashboard-Input&amp;Output'!$I$44),0)</f>
        <v>0</v>
      </c>
      <c r="M19" s="42">
        <f>IF(M15&gt;0,L19*(1+'Dashboard-Input&amp;Output'!$I$44),0)</f>
        <v>0</v>
      </c>
      <c r="N19" s="42">
        <f>IF(N15&gt;0,M19*(1+'Dashboard-Input&amp;Output'!$I$44),0)</f>
        <v>0</v>
      </c>
      <c r="O19" s="42">
        <f>IF(O15&gt;0,N19*(1+'Dashboard-Input&amp;Output'!$I$44),0)</f>
        <v>0</v>
      </c>
      <c r="P19" s="42">
        <f>IF(P15&gt;0,O19*(1+'Dashboard-Input&amp;Output'!$I$44),0)</f>
        <v>0</v>
      </c>
      <c r="Q19" s="42">
        <f>IF(Q15&gt;0,P19*(1+'Dashboard-Input&amp;Output'!$I$44),0)</f>
        <v>0</v>
      </c>
      <c r="R19" s="42">
        <f>IF(R15&gt;0,Q19*(1+'Dashboard-Input&amp;Output'!$I$44),0)</f>
        <v>0</v>
      </c>
      <c r="S19" s="42">
        <f>IF(S15&gt;0,R19*(1+'Dashboard-Input&amp;Output'!$I$44),0)</f>
        <v>0</v>
      </c>
      <c r="T19" s="42">
        <f>IF(T15&gt;0,S19*(1+'Dashboard-Input&amp;Output'!$I$44),0)</f>
        <v>0</v>
      </c>
      <c r="U19" s="42">
        <f>IF(U15&gt;0,T19*(1+'Dashboard-Input&amp;Output'!$I$44),0)</f>
        <v>0</v>
      </c>
      <c r="V19" s="42">
        <f>IF(V15&gt;0,U19*(1+'Dashboard-Input&amp;Output'!$I$44),0)</f>
        <v>0</v>
      </c>
      <c r="W19" s="42">
        <f>IF(W15&gt;0,V19*(1+'Dashboard-Input&amp;Output'!$I$44),0)</f>
        <v>0</v>
      </c>
      <c r="X19" s="42">
        <f>IF(X15&gt;0,W19*(1+'Dashboard-Input&amp;Output'!$I$44),0)</f>
        <v>0</v>
      </c>
      <c r="Y19" s="42">
        <f>IF(Y15&gt;0,X19*(1+'Dashboard-Input&amp;Output'!$I$44),0)</f>
        <v>0</v>
      </c>
      <c r="Z19" s="42">
        <f>IF(Z15&gt;0,Y19*(1+'Dashboard-Input&amp;Output'!$I$44),0)</f>
        <v>0</v>
      </c>
      <c r="AB19" s="43"/>
      <c r="AC19" s="100">
        <v>5.6683240529756214</v>
      </c>
    </row>
    <row r="20" spans="1:29" ht="29.25" customHeight="1">
      <c r="A20" s="73" t="s">
        <v>79</v>
      </c>
      <c r="B20" s="42"/>
      <c r="C20" s="42">
        <f>IF(C15&gt;0,'Dashboard-Input&amp;Output'!I11*'Dashboard-Input&amp;Output'!E10/1000,0)</f>
        <v>0.16100999999999999</v>
      </c>
      <c r="D20" s="42">
        <f>IF(D15&gt;0,C20*(1+'Dashboard-Input&amp;Output'!$I$13),0)</f>
        <v>0.16262009999999999</v>
      </c>
      <c r="E20" s="42">
        <f>IF(E15&gt;0,D20*(1+'Dashboard-Input&amp;Output'!$I$13),0)</f>
        <v>0.16424630099999998</v>
      </c>
      <c r="F20" s="42">
        <f>IF(F15&gt;0,E20*(1+'Dashboard-Input&amp;Output'!$I$13),0)</f>
        <v>0.16588876400999999</v>
      </c>
      <c r="G20" s="42">
        <f>IF(G15&gt;0,F20*(1+'Dashboard-Input&amp;Output'!$I$13),0)</f>
        <v>0.16754765165009999</v>
      </c>
      <c r="H20" s="42">
        <f>IF(H15&gt;0,G20*(1+'Dashboard-Input&amp;Output'!$I$13),0)</f>
        <v>0.16922312816660098</v>
      </c>
      <c r="I20" s="42">
        <f>IF(I15&gt;0,H20*(1+'Dashboard-Input&amp;Output'!$I$13),0)</f>
        <v>0.170915359448267</v>
      </c>
      <c r="J20" s="42">
        <f>IF(J15&gt;0,I20*(1+'Dashboard-Input&amp;Output'!$I$13),0)</f>
        <v>0.17262451304274967</v>
      </c>
      <c r="K20" s="42">
        <f>IF(K15&gt;0,J20*(1+'Dashboard-Input&amp;Output'!$I$13),0)</f>
        <v>0.17435075817317716</v>
      </c>
      <c r="L20" s="42">
        <f>IF(L15&gt;0,K20*(1+'Dashboard-Input&amp;Output'!$I$13),0)</f>
        <v>0.17609426575490894</v>
      </c>
      <c r="M20" s="42">
        <f>IF(M15&gt;0,L20*(1+'Dashboard-Input&amp;Output'!$I$13),0)</f>
        <v>0.17785520841245803</v>
      </c>
      <c r="N20" s="42">
        <f>IF(N15&gt;0,M20*(1+'Dashboard-Input&amp;Output'!$I$13),0)</f>
        <v>0.17963376049658261</v>
      </c>
      <c r="O20" s="42">
        <f>IF(O15&gt;0,N20*(1+'Dashboard-Input&amp;Output'!$I$13),0)</f>
        <v>0.18143009810154845</v>
      </c>
      <c r="P20" s="42">
        <f>IF(P15&gt;0,O20*(1+'Dashboard-Input&amp;Output'!$I$13),0)</f>
        <v>0.18324439908256393</v>
      </c>
      <c r="Q20" s="42">
        <f>IF(Q15&gt;0,P20*(1+'Dashboard-Input&amp;Output'!$I$13),0)</f>
        <v>0.18507684307338956</v>
      </c>
      <c r="R20" s="42">
        <f>IF(R15&gt;0,Q20*(1+'Dashboard-Input&amp;Output'!$I$13),0)</f>
        <v>0.18692761150412346</v>
      </c>
      <c r="S20" s="42">
        <f>IF(S15&gt;0,R20*(1+'Dashboard-Input&amp;Output'!$I$13),0)</f>
        <v>0.18879688761916469</v>
      </c>
      <c r="T20" s="42">
        <f>IF(T15&gt;0,S20*(1+'Dashboard-Input&amp;Output'!$I$13),0)</f>
        <v>0.19068485649535633</v>
      </c>
      <c r="U20" s="42">
        <f>IF(U15&gt;0,T20*(1+'Dashboard-Input&amp;Output'!$I$13),0)</f>
        <v>0.1925917050603099</v>
      </c>
      <c r="V20" s="42">
        <f>IF(V15&gt;0,U20*(1+'Dashboard-Input&amp;Output'!$I$13),0)</f>
        <v>0.194517622110913</v>
      </c>
      <c r="W20" s="42">
        <f>IF(W15&gt;0,V20*(1+'Dashboard-Input&amp;Output'!$I$13),0)</f>
        <v>0.19646279833202213</v>
      </c>
      <c r="X20" s="42">
        <f>IF(X15&gt;0,W20*(1+'Dashboard-Input&amp;Output'!$I$13),0)</f>
        <v>0.19842742631534235</v>
      </c>
      <c r="Y20" s="42">
        <f>IF(Y15&gt;0,X20*(1+'Dashboard-Input&amp;Output'!$I$13),0)</f>
        <v>0.20041170057849578</v>
      </c>
      <c r="Z20" s="42">
        <f>IF(Z15&gt;0,Y20*(1+'Dashboard-Input&amp;Output'!$I$13),0)</f>
        <v>0.20241581758428073</v>
      </c>
      <c r="AB20" s="43"/>
      <c r="AC20" s="100">
        <v>5.7816905340351337</v>
      </c>
    </row>
    <row r="21" spans="1:29" ht="21" customHeight="1">
      <c r="A21" s="73" t="s">
        <v>120</v>
      </c>
      <c r="B21" s="44">
        <f>+Depreciation!B21</f>
        <v>2.7410342399999999E-2</v>
      </c>
      <c r="C21" s="44">
        <f>IF(C15&gt;0,Depreciation!C21,0)</f>
        <v>2.62682448E-2</v>
      </c>
      <c r="D21" s="44">
        <f>IF(D15&gt;0,Depreciation!D21,0)</f>
        <v>2.5126147199999997E-2</v>
      </c>
      <c r="E21" s="44">
        <f>IF(E15&gt;0,Depreciation!E21,0)</f>
        <v>2.3984049599999998E-2</v>
      </c>
      <c r="F21" s="44">
        <f>IF(F15&gt;0,Depreciation!F21,0)</f>
        <v>2.2841951999999999E-2</v>
      </c>
      <c r="G21" s="44">
        <f>IF(G15&gt;0,Depreciation!G21,0)</f>
        <v>2.1699854399999999E-2</v>
      </c>
      <c r="H21" s="44">
        <f>IF(H15&gt;0,Depreciation!H21,0)</f>
        <v>2.05577568E-2</v>
      </c>
      <c r="I21" s="44">
        <f>IF(I15&gt;0,Depreciation!I21,0)</f>
        <v>1.9415659200000001E-2</v>
      </c>
      <c r="J21" s="44">
        <f>IF(J15&gt;0,Depreciation!J21,0)</f>
        <v>1.8273561600000002E-2</v>
      </c>
      <c r="K21" s="44">
        <f>IF(K15&gt;0,Depreciation!K21,0)</f>
        <v>1.7131464000000002E-2</v>
      </c>
      <c r="L21" s="44">
        <f>IF(L15&gt;0,Depreciation!L21,0)</f>
        <v>1.5989366400000003E-2</v>
      </c>
      <c r="M21" s="44">
        <f>IF(M15&gt;0,Depreciation!M21,0)</f>
        <v>1.4847268800000002E-2</v>
      </c>
      <c r="N21" s="44">
        <f>IF(N15&gt;0,Depreciation!N21,0)</f>
        <v>1.3705171200000003E-2</v>
      </c>
      <c r="O21" s="44">
        <f>IF(O15&gt;0,Depreciation!O21,0)</f>
        <v>1.2563073600000004E-2</v>
      </c>
      <c r="P21" s="44">
        <f>IF(P15&gt;0,Depreciation!P21,0)</f>
        <v>1.1420976000000003E-2</v>
      </c>
      <c r="Q21" s="44">
        <f>IF(Q15&gt;0,Depreciation!Q21,0)</f>
        <v>1.0278878400000004E-2</v>
      </c>
      <c r="R21" s="44">
        <f>IF(R15&gt;0,Depreciation!R21,0)</f>
        <v>9.1367808000000043E-3</v>
      </c>
      <c r="S21" s="44">
        <f>IF(S15&gt;0,Depreciation!S21,0)</f>
        <v>7.9946832000000051E-3</v>
      </c>
      <c r="T21" s="44">
        <f>IF(T15&gt;0,Depreciation!T21,0)</f>
        <v>6.852585600000005E-3</v>
      </c>
      <c r="U21" s="44">
        <f>IF(U15&gt;0,Depreciation!U21,0)</f>
        <v>5.7104880000000049E-3</v>
      </c>
      <c r="V21" s="44">
        <f>IF(V15&gt;0,Depreciation!V21,0)</f>
        <v>4.5683904000000056E-3</v>
      </c>
      <c r="W21" s="44">
        <f>IF(W15&gt;0,Depreciation!W21,0)</f>
        <v>3.426292800000006E-3</v>
      </c>
      <c r="X21" s="44">
        <f>IF(X15&gt;0,Depreciation!X21,0)</f>
        <v>2.2841952000000063E-3</v>
      </c>
      <c r="Y21" s="44">
        <f>IF(Y15&gt;0,Depreciation!Y21,0)</f>
        <v>1.1420976000000066E-3</v>
      </c>
      <c r="Z21" s="44">
        <f>IF(Z15&gt;0,Depreciation!Z21,0)</f>
        <v>6.661338147750939E-18</v>
      </c>
      <c r="AB21" s="43"/>
      <c r="AC21" s="100">
        <v>5.8973243447158366</v>
      </c>
    </row>
    <row r="22" spans="1:29" s="70" customFormat="1" ht="21" customHeight="1" thickBot="1">
      <c r="A22" s="80" t="s">
        <v>63</v>
      </c>
      <c r="B22" s="81">
        <f>SUM(B17:B21)</f>
        <v>4.74103424E-2</v>
      </c>
      <c r="C22" s="81">
        <f>SUM(C17:C21)</f>
        <v>0.20747824479999999</v>
      </c>
      <c r="D22" s="81">
        <f t="shared" ref="D22:Z22" si="2">SUM(D17:D21)</f>
        <v>0.2081482472</v>
      </c>
      <c r="E22" s="81">
        <f t="shared" si="2"/>
        <v>0.20883637059999999</v>
      </c>
      <c r="F22" s="81">
        <f t="shared" si="2"/>
        <v>0.20954279620999999</v>
      </c>
      <c r="G22" s="81">
        <f t="shared" si="2"/>
        <v>0.21026770705209999</v>
      </c>
      <c r="H22" s="81">
        <f t="shared" si="2"/>
        <v>0.21101128797862098</v>
      </c>
      <c r="I22" s="81">
        <f t="shared" si="2"/>
        <v>0.2117737256904072</v>
      </c>
      <c r="J22" s="81">
        <f t="shared" si="2"/>
        <v>0.21255520875531125</v>
      </c>
      <c r="K22" s="81">
        <f t="shared" si="2"/>
        <v>0.21335592762686439</v>
      </c>
      <c r="L22" s="81">
        <f t="shared" si="2"/>
        <v>0.21417607466313304</v>
      </c>
      <c r="M22" s="81">
        <f t="shared" si="2"/>
        <v>0.21501584414576436</v>
      </c>
      <c r="N22" s="81">
        <f t="shared" si="2"/>
        <v>0.21587543229922201</v>
      </c>
      <c r="O22" s="81">
        <f t="shared" si="2"/>
        <v>0.21675503731021425</v>
      </c>
      <c r="P22" s="81">
        <f t="shared" si="2"/>
        <v>0.21765485934731638</v>
      </c>
      <c r="Q22" s="81">
        <f t="shared" si="2"/>
        <v>0.21857510058078952</v>
      </c>
      <c r="R22" s="81">
        <f t="shared" si="2"/>
        <v>0.21951596520259742</v>
      </c>
      <c r="S22" s="81">
        <f t="shared" si="2"/>
        <v>0.2204776594466234</v>
      </c>
      <c r="T22" s="81">
        <f t="shared" si="2"/>
        <v>0.22146039160908965</v>
      </c>
      <c r="U22" s="81">
        <f t="shared" si="2"/>
        <v>0.22246437206918054</v>
      </c>
      <c r="V22" s="81">
        <f t="shared" si="2"/>
        <v>0.22348981330987236</v>
      </c>
      <c r="W22" s="81">
        <f t="shared" si="2"/>
        <v>0.22453692993897106</v>
      </c>
      <c r="X22" s="81">
        <f t="shared" si="2"/>
        <v>0.22560593871036078</v>
      </c>
      <c r="Y22" s="81">
        <f t="shared" si="2"/>
        <v>0.2266970585454644</v>
      </c>
      <c r="Z22" s="81">
        <f t="shared" si="2"/>
        <v>0.22781051055491902</v>
      </c>
      <c r="AB22" s="74"/>
      <c r="AC22" s="385">
        <v>6.0152708316101533</v>
      </c>
    </row>
    <row r="23" spans="1:29" s="85" customFormat="1" ht="21" customHeight="1" thickTop="1">
      <c r="A23" s="83" t="s">
        <v>8</v>
      </c>
      <c r="B23" s="84">
        <f t="shared" ref="B23:Z23" si="3">B15-B22</f>
        <v>2.2037773740849032</v>
      </c>
      <c r="C23" s="84">
        <f t="shared" si="3"/>
        <v>2.0936836223981188</v>
      </c>
      <c r="D23" s="84">
        <f t="shared" si="3"/>
        <v>2.0792272134267993</v>
      </c>
      <c r="E23" s="84">
        <f t="shared" si="3"/>
        <v>2.0651403480100279</v>
      </c>
      <c r="F23" s="84">
        <f t="shared" si="3"/>
        <v>2.0514363860194846</v>
      </c>
      <c r="G23" s="84">
        <f t="shared" si="3"/>
        <v>2.0381295757299851</v>
      </c>
      <c r="H23" s="84">
        <f t="shared" si="3"/>
        <v>2.0252351065922709</v>
      </c>
      <c r="I23" s="84">
        <f t="shared" si="3"/>
        <v>2.012769165178045</v>
      </c>
      <c r="J23" s="84">
        <f t="shared" si="3"/>
        <v>2.000748994487568</v>
      </c>
      <c r="K23" s="84">
        <f t="shared" si="3"/>
        <v>1.9891929568215294</v>
      </c>
      <c r="L23" s="84">
        <f t="shared" si="3"/>
        <v>1.9781206004310179</v>
      </c>
      <c r="M23" s="84">
        <f t="shared" si="3"/>
        <v>1.9675527301722584</v>
      </c>
      <c r="N23" s="84">
        <f t="shared" si="3"/>
        <v>1.9575114824063597</v>
      </c>
      <c r="O23" s="84">
        <f t="shared" si="3"/>
        <v>1.9480204043987521</v>
      </c>
      <c r="P23" s="84">
        <f t="shared" si="3"/>
        <v>1.939104538488269</v>
      </c>
      <c r="Q23" s="84">
        <f t="shared" si="3"/>
        <v>1.9307905113120198</v>
      </c>
      <c r="R23" s="84">
        <f t="shared" si="3"/>
        <v>1.9231066283893719</v>
      </c>
      <c r="S23" s="84">
        <f t="shared" si="3"/>
        <v>1.9160829743865708</v>
      </c>
      <c r="T23" s="84">
        <f t="shared" si="3"/>
        <v>1.9097515194027981</v>
      </c>
      <c r="U23" s="84">
        <f t="shared" si="3"/>
        <v>1.9041462316389322</v>
      </c>
      <c r="V23" s="84">
        <f t="shared" si="3"/>
        <v>1.8993031968319547</v>
      </c>
      <c r="W23" s="84">
        <f t="shared" si="3"/>
        <v>1.8952607448609038</v>
      </c>
      <c r="X23" s="84">
        <f t="shared" si="3"/>
        <v>1.8920595839546479</v>
      </c>
      <c r="Y23" s="84">
        <f t="shared" si="3"/>
        <v>1.8897429429575692</v>
      </c>
      <c r="Z23" s="84">
        <f t="shared" si="3"/>
        <v>1.8883567221365962</v>
      </c>
      <c r="AB23" s="86"/>
      <c r="AC23" s="386">
        <v>6.1355762482423568</v>
      </c>
    </row>
    <row r="24" spans="1:29" ht="21" customHeight="1">
      <c r="A24" s="41" t="s">
        <v>90</v>
      </c>
      <c r="B24" s="42">
        <f>Debt!F21</f>
        <v>1.0707165000000001</v>
      </c>
      <c r="C24" s="42">
        <f>Debt!J21</f>
        <v>1.050640565625</v>
      </c>
      <c r="D24" s="42">
        <f>Debt!N21</f>
        <v>0.99710474062499976</v>
      </c>
      <c r="E24" s="42">
        <f>Debt!R21</f>
        <v>0.94356891562499956</v>
      </c>
      <c r="F24" s="42">
        <f>Debt!V21</f>
        <v>0.89003309062499947</v>
      </c>
      <c r="G24" s="42">
        <f>Debt!Z21</f>
        <v>0.82686081712499948</v>
      </c>
      <c r="H24" s="42">
        <f>Debt!AD21</f>
        <v>0.74762779612499963</v>
      </c>
      <c r="I24" s="42">
        <f>Debt!AH21</f>
        <v>0.66839477512499978</v>
      </c>
      <c r="J24" s="42">
        <f>Debt!AL21</f>
        <v>0.58916175412499994</v>
      </c>
      <c r="K24" s="42">
        <f>Debt!AP21</f>
        <v>0.50992873312500009</v>
      </c>
      <c r="L24" s="42">
        <f>Debt!AT21</f>
        <v>0.42587748787500018</v>
      </c>
      <c r="M24" s="42">
        <f>Debt!AX21</f>
        <v>0.33379586887500018</v>
      </c>
      <c r="N24" s="42">
        <f>Debt!BB21</f>
        <v>0.24171424987500018</v>
      </c>
      <c r="O24" s="42">
        <f>Debt!BF21</f>
        <v>0.14963263087500017</v>
      </c>
      <c r="P24" s="42">
        <f>Debt!BJ21</f>
        <v>5.7551011875000169E-2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B24" s="43"/>
      <c r="AC24" s="100">
        <v>6.2582877732072042</v>
      </c>
    </row>
    <row r="25" spans="1:29" ht="21" customHeight="1">
      <c r="A25" s="72" t="s">
        <v>262</v>
      </c>
      <c r="B25" s="42">
        <f>+B23-B24</f>
        <v>1.1330608740849031</v>
      </c>
      <c r="C25" s="42">
        <f t="shared" ref="C25:Z25" si="4">+C23-C24</f>
        <v>1.0430430567731188</v>
      </c>
      <c r="D25" s="42">
        <f t="shared" si="4"/>
        <v>1.0821224728017995</v>
      </c>
      <c r="E25" s="42">
        <f t="shared" si="4"/>
        <v>1.1215714323850283</v>
      </c>
      <c r="F25" s="42">
        <f t="shared" si="4"/>
        <v>1.1614032953944853</v>
      </c>
      <c r="G25" s="42">
        <f t="shared" si="4"/>
        <v>1.2112687586049855</v>
      </c>
      <c r="H25" s="42">
        <f t="shared" si="4"/>
        <v>1.2776073104672712</v>
      </c>
      <c r="I25" s="42">
        <f t="shared" si="4"/>
        <v>1.3443743900530452</v>
      </c>
      <c r="J25" s="42">
        <f t="shared" si="4"/>
        <v>1.411587240362568</v>
      </c>
      <c r="K25" s="42">
        <f t="shared" si="4"/>
        <v>1.4792642236965294</v>
      </c>
      <c r="L25" s="42">
        <f t="shared" si="4"/>
        <v>1.5522431125560177</v>
      </c>
      <c r="M25" s="42">
        <f t="shared" si="4"/>
        <v>1.6337568612972582</v>
      </c>
      <c r="N25" s="42">
        <f t="shared" si="4"/>
        <v>1.7157972325313595</v>
      </c>
      <c r="O25" s="42">
        <f t="shared" si="4"/>
        <v>1.7983877735237519</v>
      </c>
      <c r="P25" s="42">
        <f t="shared" si="4"/>
        <v>1.8815535266132688</v>
      </c>
      <c r="Q25" s="42">
        <f t="shared" si="4"/>
        <v>1.9307905113120198</v>
      </c>
      <c r="R25" s="42">
        <f t="shared" si="4"/>
        <v>1.9231066283893719</v>
      </c>
      <c r="S25" s="42">
        <f t="shared" si="4"/>
        <v>1.9160829743865708</v>
      </c>
      <c r="T25" s="42">
        <f t="shared" si="4"/>
        <v>1.9097515194027981</v>
      </c>
      <c r="U25" s="42">
        <f t="shared" si="4"/>
        <v>1.9041462316389322</v>
      </c>
      <c r="V25" s="42">
        <f t="shared" si="4"/>
        <v>1.8993031968319547</v>
      </c>
      <c r="W25" s="42">
        <f t="shared" si="4"/>
        <v>1.8952607448609038</v>
      </c>
      <c r="X25" s="42">
        <f t="shared" si="4"/>
        <v>1.8920595839546479</v>
      </c>
      <c r="Y25" s="42">
        <f t="shared" si="4"/>
        <v>1.8897429429575692</v>
      </c>
      <c r="Z25" s="42">
        <f t="shared" si="4"/>
        <v>1.8883567221365962</v>
      </c>
      <c r="AB25" s="43"/>
      <c r="AC25" s="100">
        <v>6.3834535286713487</v>
      </c>
    </row>
    <row r="26" spans="1:29" ht="21" customHeight="1">
      <c r="A26" s="41" t="s">
        <v>89</v>
      </c>
      <c r="B26" s="42">
        <f>IF('Dashboard-Input&amp;Output'!$H$35="No",Depreciation!B19,Depreciation!B14)</f>
        <v>0.57104879999999991</v>
      </c>
      <c r="C26" s="42">
        <f>IF(C15&gt;0,IF('Dashboard-Input&amp;Output'!$H$35="No",Depreciation!C19,Depreciation!C14),0)</f>
        <v>0.57104879999999991</v>
      </c>
      <c r="D26" s="42">
        <f>IF(D15&gt;0,IF('Dashboard-Input&amp;Output'!$H$35="No",Depreciation!D19,Depreciation!D14),0)</f>
        <v>0.57104879999999991</v>
      </c>
      <c r="E26" s="42">
        <f>IF(E15&gt;0,IF('Dashboard-Input&amp;Output'!$H$35="No",Depreciation!E19,Depreciation!E14),0)</f>
        <v>0.57104879999999991</v>
      </c>
      <c r="F26" s="42">
        <f>IF(F15&gt;0,IF('Dashboard-Input&amp;Output'!$H$35="No",Depreciation!F19,Depreciation!F14),0)</f>
        <v>0.57104879999999991</v>
      </c>
      <c r="G26" s="42">
        <f>IF(G15&gt;0,IF('Dashboard-Input&amp;Output'!$H$35="No",Depreciation!G19,Depreciation!G14),0)</f>
        <v>0.57104879999999991</v>
      </c>
      <c r="H26" s="42">
        <f>IF(H15&gt;0,IF('Dashboard-Input&amp;Output'!$H$35="No",Depreciation!H19,Depreciation!H14),0)</f>
        <v>0.57104879999999991</v>
      </c>
      <c r="I26" s="42">
        <f>IF(I15&gt;0,IF('Dashboard-Input&amp;Output'!$H$35="No",Depreciation!I19,Depreciation!I14),0)</f>
        <v>0.57104879999999991</v>
      </c>
      <c r="J26" s="42">
        <f>IF(J15&gt;0,IF('Dashboard-Input&amp;Output'!$H$35="No",Depreciation!J19,Depreciation!J14),0)</f>
        <v>0.57104879999999991</v>
      </c>
      <c r="K26" s="42">
        <f>IF(K15&gt;0,IF('Dashboard-Input&amp;Output'!$H$35="No",Depreciation!K19,Depreciation!K14),0)</f>
        <v>0.57104879999999991</v>
      </c>
      <c r="L26" s="42">
        <f>IF(L15&gt;0,IF('Dashboard-Input&amp;Output'!$H$35="No",Depreciation!L19,Depreciation!L14),0)</f>
        <v>0.57104879999999991</v>
      </c>
      <c r="M26" s="42">
        <f>IF(M15&gt;0,IF('Dashboard-Input&amp;Output'!$H$35="No",Depreciation!M19,Depreciation!M14),0)</f>
        <v>0.57104879999999991</v>
      </c>
      <c r="N26" s="42">
        <f>IF(N15&gt;0,IF('Dashboard-Input&amp;Output'!$H$35="No",Depreciation!N19,Depreciation!N14),0)</f>
        <v>0.57104879999999991</v>
      </c>
      <c r="O26" s="42">
        <f>IF(O15&gt;0,IF('Dashboard-Input&amp;Output'!$H$35="No",Depreciation!O19,Depreciation!O14),0)</f>
        <v>0.57104879999999991</v>
      </c>
      <c r="P26" s="42">
        <f>IF(P15&gt;0,IF('Dashboard-Input&amp;Output'!$H$35="No",Depreciation!P19,Depreciation!P14),0)</f>
        <v>0.57104879999999991</v>
      </c>
      <c r="Q26" s="42">
        <f>IF(Q15&gt;0,IF('Dashboard-Input&amp;Output'!$H$35="No",Depreciation!Q19,Depreciation!Q14),0)</f>
        <v>0.57104879999999991</v>
      </c>
      <c r="R26" s="42">
        <f>IF(R15&gt;0,IF('Dashboard-Input&amp;Output'!$H$35="No",Depreciation!R19,Depreciation!R14),0)</f>
        <v>0.57104879999999991</v>
      </c>
      <c r="S26" s="42">
        <f>IF(S15&gt;0,IF('Dashboard-Input&amp;Output'!$H$35="No",Depreciation!S19,Depreciation!S14),0)</f>
        <v>0.57104879999999991</v>
      </c>
      <c r="T26" s="42">
        <f>IF(T15&gt;0,IF('Dashboard-Input&amp;Output'!$H$35="No",Depreciation!T19,Depreciation!T14),0)</f>
        <v>0.57104879999999991</v>
      </c>
      <c r="U26" s="42">
        <f>IF(U15&gt;0,IF('Dashboard-Input&amp;Output'!$H$35="No",Depreciation!U19,Depreciation!U14),0)</f>
        <v>0.57104879999999991</v>
      </c>
      <c r="V26" s="42">
        <f>IF(V15&gt;0,IF('Dashboard-Input&amp;Output'!$H$35="No",Depreciation!V19,Depreciation!V14),0)</f>
        <v>0.57104879999999991</v>
      </c>
      <c r="W26" s="42">
        <f>IF(W15&gt;0,IF('Dashboard-Input&amp;Output'!$H$35="No",Depreciation!W19,Depreciation!W14),0)</f>
        <v>0.57104879999999991</v>
      </c>
      <c r="X26" s="42">
        <f>IF(X15&gt;0,IF('Dashboard-Input&amp;Output'!$H$35="No",Depreciation!X19,Depreciation!X14),0)</f>
        <v>0.57104879999999991</v>
      </c>
      <c r="Y26" s="42">
        <f>IF(Y15&gt;0,IF('Dashboard-Input&amp;Output'!$H$35="No",Depreciation!Y19,Depreciation!Y14),0)</f>
        <v>0.57104879999999991</v>
      </c>
      <c r="Z26" s="42">
        <f>IF(Z15&gt;0,IF('Dashboard-Input&amp;Output'!$H$35="No",Depreciation!Z19,Depreciation!Z14),0)</f>
        <v>0.57104879999999991</v>
      </c>
      <c r="AB26" s="43"/>
      <c r="AC26" s="100">
        <v>6.5111225992447759</v>
      </c>
    </row>
    <row r="27" spans="1:29" ht="21" customHeight="1" thickBot="1">
      <c r="A27" s="80" t="s">
        <v>91</v>
      </c>
      <c r="B27" s="81">
        <f>+B25-B26</f>
        <v>0.56201207408490317</v>
      </c>
      <c r="C27" s="81">
        <f t="shared" ref="C27:K27" si="5">+C25-C26</f>
        <v>0.4719942567731189</v>
      </c>
      <c r="D27" s="81">
        <f t="shared" si="5"/>
        <v>0.51107367280179961</v>
      </c>
      <c r="E27" s="81">
        <f t="shared" si="5"/>
        <v>0.55052263238502841</v>
      </c>
      <c r="F27" s="81">
        <f t="shared" si="5"/>
        <v>0.59035449539448537</v>
      </c>
      <c r="G27" s="81">
        <f t="shared" si="5"/>
        <v>0.6402199586049856</v>
      </c>
      <c r="H27" s="81">
        <f t="shared" si="5"/>
        <v>0.70655851046727125</v>
      </c>
      <c r="I27" s="81">
        <f t="shared" si="5"/>
        <v>0.77332559005304524</v>
      </c>
      <c r="J27" s="81">
        <f t="shared" si="5"/>
        <v>0.84053844036256808</v>
      </c>
      <c r="K27" s="81">
        <f t="shared" si="5"/>
        <v>0.90821542369652952</v>
      </c>
      <c r="L27" s="81">
        <f t="shared" ref="L27:Z27" si="6">+L25-L26</f>
        <v>0.98119431255601774</v>
      </c>
      <c r="M27" s="81">
        <f t="shared" si="6"/>
        <v>1.0627080612972581</v>
      </c>
      <c r="N27" s="81">
        <f t="shared" si="6"/>
        <v>1.1447484325313595</v>
      </c>
      <c r="O27" s="81">
        <f t="shared" si="6"/>
        <v>1.2273389735237519</v>
      </c>
      <c r="P27" s="81">
        <f t="shared" si="6"/>
        <v>1.310504726613269</v>
      </c>
      <c r="Q27" s="81">
        <f t="shared" si="6"/>
        <v>1.35974171131202</v>
      </c>
      <c r="R27" s="81">
        <f t="shared" si="6"/>
        <v>1.3520578283893721</v>
      </c>
      <c r="S27" s="81">
        <f t="shared" si="6"/>
        <v>1.345034174386571</v>
      </c>
      <c r="T27" s="81">
        <f t="shared" si="6"/>
        <v>1.3387027194027983</v>
      </c>
      <c r="U27" s="81">
        <f t="shared" si="6"/>
        <v>1.3330974316389321</v>
      </c>
      <c r="V27" s="81">
        <f t="shared" si="6"/>
        <v>1.3282543968319547</v>
      </c>
      <c r="W27" s="81">
        <f t="shared" si="6"/>
        <v>1.3242119448609038</v>
      </c>
      <c r="X27" s="81">
        <f t="shared" si="6"/>
        <v>1.3210107839546481</v>
      </c>
      <c r="Y27" s="81">
        <f t="shared" si="6"/>
        <v>1.3186941429575691</v>
      </c>
      <c r="Z27" s="81">
        <f t="shared" si="6"/>
        <v>1.3173079221365964</v>
      </c>
      <c r="AB27" s="43"/>
      <c r="AC27" s="100">
        <v>6.6413450512296714</v>
      </c>
    </row>
    <row r="28" spans="1:29" ht="21" hidden="1" customHeight="1" thickTop="1">
      <c r="A28" s="38" t="s">
        <v>92</v>
      </c>
      <c r="B28" s="79">
        <f>IF(B27*'Dashboard-Input&amp;Output'!$I$25&gt;0,B27*'Dashboard-Input&amp;Output'!$I$25,0)</f>
        <v>0</v>
      </c>
      <c r="C28" s="79">
        <f>IF(C27*'Dashboard-Input&amp;Output'!$I$25&gt;0,C27*'Dashboard-Input&amp;Output'!$I$25,0)</f>
        <v>0</v>
      </c>
      <c r="D28" s="79">
        <f>IF(D27*'Dashboard-Input&amp;Output'!$I$25&gt;0,D27*'Dashboard-Input&amp;Output'!$I$25,0)</f>
        <v>0</v>
      </c>
      <c r="E28" s="79">
        <f>IF(E27*'Dashboard-Input&amp;Output'!$I$25&gt;0,E27*'Dashboard-Input&amp;Output'!$I$25,0)</f>
        <v>0</v>
      </c>
      <c r="F28" s="79">
        <f>IF(F27*'Dashboard-Input&amp;Output'!$I$25&gt;0,F27*'Dashboard-Input&amp;Output'!$I$25,0)</f>
        <v>0</v>
      </c>
      <c r="G28" s="79">
        <f>IF(G27*'Dashboard-Input&amp;Output'!$I$25&gt;0,G27*'Dashboard-Input&amp;Output'!$I$25,0)</f>
        <v>0</v>
      </c>
      <c r="H28" s="79">
        <f>IF(H27*'Dashboard-Input&amp;Output'!$I$25&gt;0,H27*'Dashboard-Input&amp;Output'!$I$25,0)</f>
        <v>0</v>
      </c>
      <c r="I28" s="79">
        <f>IF(I27*'Dashboard-Input&amp;Output'!$I$25&gt;0,I27*'Dashboard-Input&amp;Output'!$I$25,0)</f>
        <v>0</v>
      </c>
      <c r="J28" s="79">
        <f>IF(J27*'Dashboard-Input&amp;Output'!$I$25&gt;0,J27*'Dashboard-Input&amp;Output'!$I$25,0)</f>
        <v>0</v>
      </c>
      <c r="K28" s="79">
        <f>IF(K27*'Dashboard-Input&amp;Output'!$I$25&gt;0,K27*'Dashboard-Input&amp;Output'!$I$25,0)</f>
        <v>0</v>
      </c>
      <c r="L28" s="79">
        <f>IF(L27*'Dashboard-Input&amp;Output'!$I$25&gt;0,L27*'Dashboard-Input&amp;Output'!$I$25,0)</f>
        <v>0</v>
      </c>
      <c r="M28" s="79">
        <f>IF(M27*'Dashboard-Input&amp;Output'!$I$25&gt;0,M27*'Dashboard-Input&amp;Output'!$I$25,0)</f>
        <v>0</v>
      </c>
      <c r="N28" s="79">
        <f>IF(N27*'Dashboard-Input&amp;Output'!$I$25&gt;0,N27*'Dashboard-Input&amp;Output'!$I$25,0)</f>
        <v>0</v>
      </c>
      <c r="O28" s="79">
        <f>IF(O27*'Dashboard-Input&amp;Output'!$I$25&gt;0,O27*'Dashboard-Input&amp;Output'!$I$25,0)</f>
        <v>0</v>
      </c>
      <c r="P28" s="79">
        <f>IF(P27*'Dashboard-Input&amp;Output'!$I$25&gt;0,P27*'Dashboard-Input&amp;Output'!$I$25,0)</f>
        <v>0</v>
      </c>
      <c r="Q28" s="79">
        <f>IF(Q27*'Dashboard-Input&amp;Output'!$I$25&gt;0,Q27*'Dashboard-Input&amp;Output'!$I$25,0)</f>
        <v>0</v>
      </c>
      <c r="R28" s="79">
        <f>IF(R27*'Dashboard-Input&amp;Output'!$I$25&gt;0,R27*'Dashboard-Input&amp;Output'!$I$25,0)</f>
        <v>0</v>
      </c>
      <c r="S28" s="79">
        <f>IF(S27*'Dashboard-Input&amp;Output'!$I$25&gt;0,S27*'Dashboard-Input&amp;Output'!$I$25,0)</f>
        <v>0</v>
      </c>
      <c r="T28" s="79">
        <f>IF(T27*'Dashboard-Input&amp;Output'!$I$25&gt;0,T27*'Dashboard-Input&amp;Output'!$I$25,0)</f>
        <v>0</v>
      </c>
      <c r="U28" s="79">
        <f>IF(U27*'Dashboard-Input&amp;Output'!$I$25&gt;0,U27*'Dashboard-Input&amp;Output'!$I$25,0)</f>
        <v>0</v>
      </c>
      <c r="V28" s="79">
        <f>IF(V27*'Dashboard-Input&amp;Output'!$I$25&gt;0,V27*'Dashboard-Input&amp;Output'!$I$25,0)</f>
        <v>0</v>
      </c>
      <c r="W28" s="79">
        <f>IF(W27*'Dashboard-Input&amp;Output'!$I$25&gt;0,W27*'Dashboard-Input&amp;Output'!$I$25,0)</f>
        <v>0</v>
      </c>
      <c r="X28" s="79">
        <f>IF(X27*'Dashboard-Input&amp;Output'!$I$25&gt;0,X27*'Dashboard-Input&amp;Output'!$I$25,0)</f>
        <v>0</v>
      </c>
      <c r="Y28" s="79">
        <f>IF(Y27*'Dashboard-Input&amp;Output'!$I$25&gt;0,Y27*'Dashboard-Input&amp;Output'!$I$25,0)</f>
        <v>0</v>
      </c>
      <c r="Z28" s="79">
        <f>IF(Z27*'Dashboard-Input&amp;Output'!$I$25&gt;0,Z27*'Dashboard-Input&amp;Output'!$I$25,0)</f>
        <v>0</v>
      </c>
      <c r="AB28" s="43"/>
      <c r="AC28" s="100">
        <v>6.7741719522542647</v>
      </c>
    </row>
    <row r="29" spans="1:29" ht="21" hidden="1" customHeight="1">
      <c r="A29" s="169" t="s">
        <v>242</v>
      </c>
      <c r="B29" s="170">
        <v>0</v>
      </c>
      <c r="C29" s="170">
        <v>0</v>
      </c>
      <c r="D29" s="170">
        <v>0</v>
      </c>
      <c r="E29" s="170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B29" s="43"/>
      <c r="AC29" s="100">
        <v>6.9096553912993501</v>
      </c>
    </row>
    <row r="30" spans="1:29" s="70" customFormat="1" ht="21" hidden="1" customHeight="1" thickBot="1">
      <c r="A30" s="80" t="s">
        <v>93</v>
      </c>
      <c r="B30" s="81">
        <f>B27-B28+B29</f>
        <v>0.56201207408490317</v>
      </c>
      <c r="C30" s="81">
        <f t="shared" ref="C30:K30" si="7">C27-C28+C29</f>
        <v>0.4719942567731189</v>
      </c>
      <c r="D30" s="81">
        <f t="shared" si="7"/>
        <v>0.51107367280179961</v>
      </c>
      <c r="E30" s="81">
        <f t="shared" si="7"/>
        <v>0.55052263238502841</v>
      </c>
      <c r="F30" s="81">
        <f t="shared" si="7"/>
        <v>0.59035449539448537</v>
      </c>
      <c r="G30" s="81">
        <f t="shared" si="7"/>
        <v>0.6402199586049856</v>
      </c>
      <c r="H30" s="81">
        <f t="shared" si="7"/>
        <v>0.70655851046727125</v>
      </c>
      <c r="I30" s="81">
        <f t="shared" si="7"/>
        <v>0.77332559005304524</v>
      </c>
      <c r="J30" s="81">
        <f t="shared" si="7"/>
        <v>0.84053844036256808</v>
      </c>
      <c r="K30" s="81">
        <f t="shared" si="7"/>
        <v>0.90821542369652952</v>
      </c>
      <c r="L30" s="81">
        <f t="shared" ref="L30:Z30" si="8">L27-L28+L29</f>
        <v>0.98119431255601774</v>
      </c>
      <c r="M30" s="81">
        <f t="shared" si="8"/>
        <v>1.0627080612972581</v>
      </c>
      <c r="N30" s="81">
        <f t="shared" si="8"/>
        <v>1.1447484325313595</v>
      </c>
      <c r="O30" s="81">
        <f t="shared" si="8"/>
        <v>1.2273389735237519</v>
      </c>
      <c r="P30" s="81">
        <f t="shared" si="8"/>
        <v>1.310504726613269</v>
      </c>
      <c r="Q30" s="81">
        <f t="shared" si="8"/>
        <v>1.35974171131202</v>
      </c>
      <c r="R30" s="81">
        <f t="shared" si="8"/>
        <v>1.3520578283893721</v>
      </c>
      <c r="S30" s="81">
        <f t="shared" si="8"/>
        <v>1.345034174386571</v>
      </c>
      <c r="T30" s="81">
        <f t="shared" si="8"/>
        <v>1.3387027194027983</v>
      </c>
      <c r="U30" s="81">
        <f t="shared" si="8"/>
        <v>1.3330974316389321</v>
      </c>
      <c r="V30" s="81">
        <f t="shared" si="8"/>
        <v>1.3282543968319547</v>
      </c>
      <c r="W30" s="81">
        <f t="shared" si="8"/>
        <v>1.3242119448609038</v>
      </c>
      <c r="X30" s="81">
        <f t="shared" si="8"/>
        <v>1.3210107839546481</v>
      </c>
      <c r="Y30" s="81">
        <f t="shared" si="8"/>
        <v>1.3186941429575691</v>
      </c>
      <c r="Z30" s="81">
        <f t="shared" si="8"/>
        <v>1.3173079221365964</v>
      </c>
      <c r="AB30" s="74"/>
      <c r="AC30" s="385">
        <v>7.0478484991253376</v>
      </c>
    </row>
    <row r="31" spans="1:29" s="70" customFormat="1" ht="31.15" customHeight="1" thickTop="1">
      <c r="A31" s="88" t="s">
        <v>94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B31" s="74"/>
      <c r="AC31" s="385">
        <v>7.1888054691078445</v>
      </c>
    </row>
    <row r="32" spans="1:29" s="70" customFormat="1" ht="21.75" customHeight="1">
      <c r="A32" s="119" t="s">
        <v>119</v>
      </c>
      <c r="B32" s="82">
        <f>B23</f>
        <v>2.2037773740849032</v>
      </c>
      <c r="C32" s="82">
        <f t="shared" ref="C32:K32" si="9">C23</f>
        <v>2.0936836223981188</v>
      </c>
      <c r="D32" s="82">
        <f t="shared" si="9"/>
        <v>2.0792272134267993</v>
      </c>
      <c r="E32" s="82">
        <f t="shared" si="9"/>
        <v>2.0651403480100279</v>
      </c>
      <c r="F32" s="82">
        <f t="shared" si="9"/>
        <v>2.0514363860194846</v>
      </c>
      <c r="G32" s="82">
        <f t="shared" si="9"/>
        <v>2.0381295757299851</v>
      </c>
      <c r="H32" s="82">
        <f t="shared" si="9"/>
        <v>2.0252351065922709</v>
      </c>
      <c r="I32" s="82">
        <f t="shared" si="9"/>
        <v>2.012769165178045</v>
      </c>
      <c r="J32" s="82">
        <f t="shared" si="9"/>
        <v>2.000748994487568</v>
      </c>
      <c r="K32" s="82">
        <f t="shared" si="9"/>
        <v>1.9891929568215294</v>
      </c>
      <c r="L32" s="82">
        <f t="shared" ref="L32:Z32" si="10">L23</f>
        <v>1.9781206004310179</v>
      </c>
      <c r="M32" s="82">
        <f t="shared" si="10"/>
        <v>1.9675527301722584</v>
      </c>
      <c r="N32" s="82">
        <f t="shared" si="10"/>
        <v>1.9575114824063597</v>
      </c>
      <c r="O32" s="82">
        <f t="shared" si="10"/>
        <v>1.9480204043987521</v>
      </c>
      <c r="P32" s="82">
        <f t="shared" si="10"/>
        <v>1.939104538488269</v>
      </c>
      <c r="Q32" s="82">
        <f t="shared" si="10"/>
        <v>1.9307905113120198</v>
      </c>
      <c r="R32" s="82">
        <f t="shared" si="10"/>
        <v>1.9231066283893719</v>
      </c>
      <c r="S32" s="82">
        <f t="shared" si="10"/>
        <v>1.9160829743865708</v>
      </c>
      <c r="T32" s="82">
        <f t="shared" si="10"/>
        <v>1.9097515194027981</v>
      </c>
      <c r="U32" s="82">
        <f t="shared" si="10"/>
        <v>1.9041462316389322</v>
      </c>
      <c r="V32" s="82">
        <f t="shared" si="10"/>
        <v>1.8993031968319547</v>
      </c>
      <c r="W32" s="82">
        <f t="shared" si="10"/>
        <v>1.8952607448609038</v>
      </c>
      <c r="X32" s="82">
        <f t="shared" si="10"/>
        <v>1.8920595839546479</v>
      </c>
      <c r="Y32" s="82">
        <f t="shared" si="10"/>
        <v>1.8897429429575692</v>
      </c>
      <c r="Z32" s="82">
        <f t="shared" si="10"/>
        <v>1.8883567221365962</v>
      </c>
      <c r="AB32" s="74"/>
      <c r="AC32" s="385">
        <v>7.3325815784900019</v>
      </c>
    </row>
    <row r="33" spans="1:29" ht="21" customHeight="1">
      <c r="A33" s="38" t="s">
        <v>68</v>
      </c>
      <c r="B33" s="79">
        <f>Debt!F20</f>
        <v>0</v>
      </c>
      <c r="C33" s="79">
        <f>Debt!J20</f>
        <v>0.56353500000000001</v>
      </c>
      <c r="D33" s="79">
        <f>Debt!N20</f>
        <v>0.56353500000000001</v>
      </c>
      <c r="E33" s="79">
        <f>Debt!R20</f>
        <v>0.56353500000000001</v>
      </c>
      <c r="F33" s="79">
        <f>Debt!V20</f>
        <v>0.56353500000000001</v>
      </c>
      <c r="G33" s="79">
        <f>Debt!Z20</f>
        <v>0.83403179999999999</v>
      </c>
      <c r="H33" s="79">
        <f>Debt!AD20</f>
        <v>0.83403179999999999</v>
      </c>
      <c r="I33" s="79">
        <f>Debt!AH20</f>
        <v>0.83403179999999999</v>
      </c>
      <c r="J33" s="79">
        <f>Debt!AL20</f>
        <v>0.83403179999999999</v>
      </c>
      <c r="K33" s="79">
        <f>Debt!AP20</f>
        <v>0.83403179999999999</v>
      </c>
      <c r="L33" s="79">
        <f>Debt!AT20</f>
        <v>0.96928019999999993</v>
      </c>
      <c r="M33" s="79">
        <f>Debt!AX20</f>
        <v>0.96928019999999993</v>
      </c>
      <c r="N33" s="79">
        <f>Debt!BB20</f>
        <v>0.96928019999999993</v>
      </c>
      <c r="O33" s="79">
        <f>Debt!BF20</f>
        <v>0.96928019999999993</v>
      </c>
      <c r="P33" s="79">
        <f>Debt!BJ20</f>
        <v>0.9692802000000017</v>
      </c>
      <c r="Q33" s="79">
        <f>Debt!BN20</f>
        <v>0</v>
      </c>
      <c r="S33" s="79"/>
      <c r="T33" s="79"/>
      <c r="U33" s="79"/>
      <c r="V33" s="79"/>
      <c r="W33" s="79"/>
      <c r="X33" s="79"/>
      <c r="Y33" s="79"/>
      <c r="Z33" s="79"/>
      <c r="AB33" s="43"/>
      <c r="AC33" s="100">
        <v>7.4792332100598022</v>
      </c>
    </row>
    <row r="34" spans="1:29" ht="21" customHeight="1">
      <c r="A34" s="38" t="s">
        <v>90</v>
      </c>
      <c r="B34" s="79">
        <f t="shared" ref="B34:K34" si="11">B24</f>
        <v>1.0707165000000001</v>
      </c>
      <c r="C34" s="79">
        <f t="shared" si="11"/>
        <v>1.050640565625</v>
      </c>
      <c r="D34" s="79">
        <f t="shared" si="11"/>
        <v>0.99710474062499976</v>
      </c>
      <c r="E34" s="79">
        <f t="shared" si="11"/>
        <v>0.94356891562499956</v>
      </c>
      <c r="F34" s="79">
        <f t="shared" si="11"/>
        <v>0.89003309062499947</v>
      </c>
      <c r="G34" s="79">
        <f t="shared" si="11"/>
        <v>0.82686081712499948</v>
      </c>
      <c r="H34" s="79">
        <f t="shared" si="11"/>
        <v>0.74762779612499963</v>
      </c>
      <c r="I34" s="79">
        <f t="shared" si="11"/>
        <v>0.66839477512499978</v>
      </c>
      <c r="J34" s="79">
        <f t="shared" si="11"/>
        <v>0.58916175412499994</v>
      </c>
      <c r="K34" s="79">
        <f t="shared" si="11"/>
        <v>0.50992873312500009</v>
      </c>
      <c r="L34" s="79">
        <f t="shared" ref="L34:Q34" si="12">L24</f>
        <v>0.42587748787500018</v>
      </c>
      <c r="M34" s="79">
        <f t="shared" si="12"/>
        <v>0.33379586887500018</v>
      </c>
      <c r="N34" s="79">
        <f t="shared" si="12"/>
        <v>0.24171424987500018</v>
      </c>
      <c r="O34" s="79">
        <f t="shared" si="12"/>
        <v>0.14963263087500017</v>
      </c>
      <c r="P34" s="79">
        <f t="shared" si="12"/>
        <v>5.7551011875000169E-2</v>
      </c>
      <c r="Q34" s="79">
        <f t="shared" si="12"/>
        <v>0</v>
      </c>
      <c r="R34" s="79"/>
      <c r="S34" s="79"/>
      <c r="T34" s="79"/>
      <c r="U34" s="79"/>
      <c r="V34" s="79"/>
      <c r="W34" s="79"/>
      <c r="X34" s="79"/>
      <c r="Y34" s="79"/>
      <c r="Z34" s="79"/>
      <c r="AB34" s="43"/>
    </row>
    <row r="35" spans="1:29" ht="21" customHeight="1">
      <c r="A35" s="41" t="s">
        <v>64</v>
      </c>
      <c r="B35" s="45">
        <f>+B30+B26+IF(B30&lt;0,B30*-1,0)*'Dashboard-Input&amp;Output'!$I$26-B33</f>
        <v>1.1330608740849031</v>
      </c>
      <c r="C35" s="45">
        <f>+C30+C26+IF(C30&lt;0,C30*-1,0)*'Dashboard-Input&amp;Output'!$I$26-C33</f>
        <v>0.47950805677311881</v>
      </c>
      <c r="D35" s="45">
        <f>+D30+D26+IF(D30&lt;0,D30*-1,0)*'Dashboard-Input&amp;Output'!$I$26-D33</f>
        <v>0.51858747280179951</v>
      </c>
      <c r="E35" s="45">
        <f>+E30+E26+IF(E30&lt;0,E30*-1,0)*'Dashboard-Input&amp;Output'!$I$26-E33</f>
        <v>0.55803643238502831</v>
      </c>
      <c r="F35" s="45">
        <f>+F30+F26+IF(F30&lt;0,F30*-1,0)*'Dashboard-Input&amp;Output'!$I$26-F33</f>
        <v>0.59786829539448527</v>
      </c>
      <c r="G35" s="45">
        <f>+G30+G26+IF(G30&lt;0,G30*-1,0)*'Dashboard-Input&amp;Output'!$I$26-G33</f>
        <v>0.37723695860498552</v>
      </c>
      <c r="H35" s="45">
        <f>+H30+H26+IF(H30&lt;0,H30*-1,0)*'Dashboard-Input&amp;Output'!$I$26-H33</f>
        <v>0.44357551046727117</v>
      </c>
      <c r="I35" s="45">
        <f>+I30+I26+IF(I30&lt;0,I30*-1,0)*'Dashboard-Input&amp;Output'!$I$26-I33</f>
        <v>0.51034259005304516</v>
      </c>
      <c r="J35" s="45">
        <f>+J30+J26+IF(J30&lt;0,J30*-1,0)*'Dashboard-Input&amp;Output'!$I$26-J33</f>
        <v>0.57755544036256801</v>
      </c>
      <c r="K35" s="45">
        <f>+K30+K26+IF(K30&lt;0,K30*-1,0)*'Dashboard-Input&amp;Output'!$I$26-K33</f>
        <v>0.64523242369652944</v>
      </c>
      <c r="L35" s="45">
        <f>+L30+L26+IF(L30&lt;0,L30*-1,0)*'Dashboard-Input&amp;Output'!$I$26-L33</f>
        <v>0.58296291255601773</v>
      </c>
      <c r="M35" s="45">
        <f>+M30+M26+IF(M30&lt;0,M30*-1,0)*'Dashboard-Input&amp;Output'!$I$26-M33</f>
        <v>0.66447666129725802</v>
      </c>
      <c r="N35" s="45">
        <f>+N30+N26+IF(N30&lt;0,N30*-1,0)*'Dashboard-Input&amp;Output'!$I$26-N33</f>
        <v>0.74651703253135937</v>
      </c>
      <c r="O35" s="45">
        <f>+O30+O26+IF(O30&lt;0,O30*-1,0)*'Dashboard-Input&amp;Output'!$I$26-O33</f>
        <v>0.82910757352375175</v>
      </c>
      <c r="P35" s="45">
        <f>+P30+P26+IF(P30&lt;0,P30*-1,0)*'Dashboard-Input&amp;Output'!$I$26-P33</f>
        <v>0.9122733266132671</v>
      </c>
      <c r="Q35" s="45">
        <f>+Q30+Q26+IF(Q30&lt;0,Q30*-1,0)*'Dashboard-Input&amp;Output'!$I$26-Q33</f>
        <v>1.9307905113120198</v>
      </c>
      <c r="R35" s="45">
        <f>+R30+R26+IF(R30&lt;0,R30*-1,0)*'Dashboard-Input&amp;Output'!$I$26-R33</f>
        <v>1.9231066283893719</v>
      </c>
      <c r="S35" s="45">
        <f>+S30+S26+IF(S30&lt;0,S30*-1,0)*'Dashboard-Input&amp;Output'!$I$26-S33</f>
        <v>1.9160829743865708</v>
      </c>
      <c r="T35" s="45">
        <f>+T30+T26+IF(T30&lt;0,T30*-1,0)*'Dashboard-Input&amp;Output'!$I$26-T33</f>
        <v>1.9097515194027981</v>
      </c>
      <c r="U35" s="45">
        <f>+U30+U26+IF(U30&lt;0,U30*-1,0)*'Dashboard-Input&amp;Output'!$I$26-U33</f>
        <v>1.9041462316389319</v>
      </c>
      <c r="V35" s="45">
        <f>+V30+V26+IF(V30&lt;0,V30*-1,0)*'Dashboard-Input&amp;Output'!$I$26-V33</f>
        <v>1.8993031968319545</v>
      </c>
      <c r="W35" s="45">
        <f>+W30+W26+IF(W30&lt;0,W30*-1,0)*'Dashboard-Input&amp;Output'!$I$26-W33</f>
        <v>1.8952607448609036</v>
      </c>
      <c r="X35" s="45">
        <f>+X30+X26+IF(X30&lt;0,X30*-1,0)*'Dashboard-Input&amp;Output'!$I$26-X33</f>
        <v>1.8920595839546479</v>
      </c>
      <c r="Y35" s="45">
        <f>+Y30+Y26+IF(Y30&lt;0,Y30*-1,0)*'Dashboard-Input&amp;Output'!$I$26-Y33</f>
        <v>1.8897429429575689</v>
      </c>
      <c r="Z35" s="45">
        <f>+Z30+Z26+IF(Z30&lt;0,Z30*-1,0)*'Dashboard-Input&amp;Output'!$I$26-Z33</f>
        <v>1.8883567221365962</v>
      </c>
      <c r="AB35" s="43"/>
    </row>
    <row r="36" spans="1:29" s="70" customFormat="1" ht="21" customHeight="1" thickBot="1">
      <c r="A36" s="89" t="s">
        <v>95</v>
      </c>
      <c r="B36" s="90">
        <f>B35</f>
        <v>1.1330608740849031</v>
      </c>
      <c r="C36" s="90">
        <f>C35+B36</f>
        <v>1.6125689308580218</v>
      </c>
      <c r="D36" s="90">
        <f t="shared" ref="D36:K36" si="13">D35+C36</f>
        <v>2.1311564036598214</v>
      </c>
      <c r="E36" s="90">
        <f t="shared" si="13"/>
        <v>2.6891928360448496</v>
      </c>
      <c r="F36" s="90">
        <f t="shared" si="13"/>
        <v>3.287061131439335</v>
      </c>
      <c r="G36" s="90">
        <f t="shared" si="13"/>
        <v>3.6642980900443205</v>
      </c>
      <c r="H36" s="90">
        <f t="shared" si="13"/>
        <v>4.1078736005115921</v>
      </c>
      <c r="I36" s="90">
        <f t="shared" si="13"/>
        <v>4.6182161905646373</v>
      </c>
      <c r="J36" s="90">
        <f t="shared" si="13"/>
        <v>5.1957716309272053</v>
      </c>
      <c r="K36" s="90">
        <f t="shared" si="13"/>
        <v>5.8410040546237347</v>
      </c>
      <c r="L36" s="90">
        <f t="shared" ref="L36" si="14">L35+K36</f>
        <v>6.4239669671797524</v>
      </c>
      <c r="M36" s="90">
        <f t="shared" ref="M36" si="15">M35+L36</f>
        <v>7.0884436284770107</v>
      </c>
      <c r="N36" s="90">
        <f t="shared" ref="N36" si="16">N35+M36</f>
        <v>7.8349606610083704</v>
      </c>
      <c r="O36" s="90">
        <f t="shared" ref="O36" si="17">O35+N36</f>
        <v>8.664068234532122</v>
      </c>
      <c r="P36" s="90">
        <f t="shared" ref="P36" si="18">P35+O36</f>
        <v>9.576341561145389</v>
      </c>
      <c r="Q36" s="90">
        <f t="shared" ref="Q36" si="19">Q35+P36</f>
        <v>11.507132072457409</v>
      </c>
      <c r="R36" s="90">
        <f t="shared" ref="R36" si="20">R35+Q36</f>
        <v>13.430238700846781</v>
      </c>
      <c r="S36" s="90">
        <f t="shared" ref="S36" si="21">S35+R36</f>
        <v>15.346321675233352</v>
      </c>
      <c r="T36" s="90">
        <f t="shared" ref="T36" si="22">T35+S36</f>
        <v>17.256073194636151</v>
      </c>
      <c r="U36" s="90">
        <f t="shared" ref="U36" si="23">U35+T36</f>
        <v>19.160219426275084</v>
      </c>
      <c r="V36" s="90">
        <f t="shared" ref="V36" si="24">V35+U36</f>
        <v>21.059522623107039</v>
      </c>
      <c r="W36" s="90">
        <f t="shared" ref="W36" si="25">W35+V36</f>
        <v>22.954783367967941</v>
      </c>
      <c r="X36" s="90">
        <f t="shared" ref="X36" si="26">X35+W36</f>
        <v>24.846842951922589</v>
      </c>
      <c r="Y36" s="90">
        <f t="shared" ref="Y36" si="27">Y35+X36</f>
        <v>26.736585894880157</v>
      </c>
      <c r="Z36" s="90">
        <f t="shared" ref="Z36" si="28">Z35+Y36</f>
        <v>28.624942617016753</v>
      </c>
      <c r="AB36" s="74"/>
    </row>
    <row r="37" spans="1:29" s="70" customFormat="1" ht="21" hidden="1" customHeight="1" thickTop="1">
      <c r="A37" s="351"/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B37" s="74"/>
    </row>
    <row r="38" spans="1:29" s="70" customFormat="1" ht="21" hidden="1" customHeight="1">
      <c r="A38" s="72" t="s">
        <v>323</v>
      </c>
      <c r="B38" s="171">
        <f>NPV($A$39,B35:$Z$35)</f>
        <v>6.2873473478069188</v>
      </c>
      <c r="C38" s="171">
        <f>NPV($A$39,C35:$Z$35)</f>
        <v>5.9087681554588469</v>
      </c>
      <c r="D38" s="171">
        <f>NPV($A$39,D35:$Z$35)</f>
        <v>6.1383122773407912</v>
      </c>
      <c r="E38" s="171">
        <f>NPV($A$39,E35:$Z$35)</f>
        <v>6.3563222778198867</v>
      </c>
      <c r="F38" s="171">
        <f>NPV($A$39,F35:$Z$35)</f>
        <v>6.5610445187732456</v>
      </c>
      <c r="G38" s="171">
        <f>NPV($A$39,G35:$Z$35)</f>
        <v>6.7505015656315512</v>
      </c>
      <c r="H38" s="171">
        <f>NPV($A$39,H35:$Z$35)</f>
        <v>7.1833247949023535</v>
      </c>
      <c r="I38" s="171">
        <f>NPV($A$39,I35:$Z$35)</f>
        <v>7.6017482598233643</v>
      </c>
      <c r="J38" s="171">
        <f>NPV($A$39,J35:$Z$35)</f>
        <v>8.0036154609491224</v>
      </c>
      <c r="K38" s="171">
        <f>NPV($A$39,K35:$Z$35)</f>
        <v>8.3864938759004506</v>
      </c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B38" s="74"/>
    </row>
    <row r="39" spans="1:29" ht="21" hidden="1" customHeight="1">
      <c r="A39" s="357">
        <f>+'Dashboard-Input&amp;Output'!M24</f>
        <v>0.12</v>
      </c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9" ht="13.5" thickTop="1"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9" ht="15">
      <c r="A41" s="85" t="s">
        <v>67</v>
      </c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9" ht="22.9" customHeight="1">
      <c r="A42" s="41" t="s">
        <v>96</v>
      </c>
      <c r="B42" s="44">
        <f t="shared" ref="B42:K42" si="29">IF((B24+B33)&gt;0,(B24+B33),"N.A")</f>
        <v>1.0707165000000001</v>
      </c>
      <c r="C42" s="44">
        <f t="shared" si="29"/>
        <v>1.6141755656250001</v>
      </c>
      <c r="D42" s="44">
        <f t="shared" si="29"/>
        <v>1.5606397406249997</v>
      </c>
      <c r="E42" s="44">
        <f t="shared" si="29"/>
        <v>1.5071039156249997</v>
      </c>
      <c r="F42" s="44">
        <f t="shared" si="29"/>
        <v>1.4535680906249995</v>
      </c>
      <c r="G42" s="44">
        <f t="shared" si="29"/>
        <v>1.6608926171249996</v>
      </c>
      <c r="H42" s="44">
        <f t="shared" si="29"/>
        <v>1.5816595961249997</v>
      </c>
      <c r="I42" s="44">
        <f t="shared" si="29"/>
        <v>1.5024265751249999</v>
      </c>
      <c r="J42" s="44">
        <f t="shared" si="29"/>
        <v>1.423193554125</v>
      </c>
      <c r="K42" s="44">
        <f t="shared" si="29"/>
        <v>1.3439605331250002</v>
      </c>
      <c r="L42" s="44">
        <f t="shared" ref="L42:P42" si="30">IF((L24+L33)&gt;0,(L24+L33),"N.A")</f>
        <v>1.3951576878750001</v>
      </c>
      <c r="M42" s="44">
        <f t="shared" si="30"/>
        <v>1.303076068875</v>
      </c>
      <c r="N42" s="44">
        <f t="shared" si="30"/>
        <v>1.210994449875</v>
      </c>
      <c r="O42" s="44">
        <f t="shared" si="30"/>
        <v>1.118912830875</v>
      </c>
      <c r="P42" s="44">
        <f t="shared" si="30"/>
        <v>1.0268312118750018</v>
      </c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9" ht="22.5" customHeight="1">
      <c r="A43" s="41" t="s">
        <v>67</v>
      </c>
      <c r="B43" s="91">
        <f t="shared" ref="B43:K43" si="31">(B30+B24+B26)/B42</f>
        <v>2.0582267799972289</v>
      </c>
      <c r="C43" s="91">
        <f t="shared" si="31"/>
        <v>1.2970606586944933</v>
      </c>
      <c r="D43" s="91">
        <f t="shared" si="31"/>
        <v>1.3322915976714251</v>
      </c>
      <c r="E43" s="91">
        <f t="shared" si="31"/>
        <v>1.3702707070159852</v>
      </c>
      <c r="F43" s="91">
        <f t="shared" si="31"/>
        <v>1.4113108283337563</v>
      </c>
      <c r="G43" s="91">
        <f t="shared" si="31"/>
        <v>1.2271290477875576</v>
      </c>
      <c r="H43" s="91">
        <f t="shared" si="31"/>
        <v>1.2804494162675792</v>
      </c>
      <c r="I43" s="91">
        <f t="shared" si="31"/>
        <v>1.3396788891401135</v>
      </c>
      <c r="J43" s="91">
        <f t="shared" si="31"/>
        <v>1.4058165094189576</v>
      </c>
      <c r="K43" s="91">
        <f t="shared" si="31"/>
        <v>1.4800977467665839</v>
      </c>
      <c r="L43" s="91">
        <f t="shared" ref="L43:P43" si="32">(L30+L24+L26)/L42</f>
        <v>1.4178473283861865</v>
      </c>
      <c r="M43" s="91">
        <f t="shared" si="32"/>
        <v>1.5099292951262075</v>
      </c>
      <c r="N43" s="91">
        <f t="shared" si="32"/>
        <v>1.6164495903415705</v>
      </c>
      <c r="O43" s="91">
        <f t="shared" si="32"/>
        <v>1.740993892147418</v>
      </c>
      <c r="P43" s="91">
        <f t="shared" si="32"/>
        <v>1.8884355248098166</v>
      </c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9">
      <c r="A44" s="50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9" ht="15.75">
      <c r="A45" s="51"/>
      <c r="B45" s="52"/>
      <c r="C45" s="52"/>
      <c r="D45" s="52"/>
      <c r="E45" s="52"/>
      <c r="F45" s="52"/>
      <c r="G45" s="52"/>
      <c r="H45" s="52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9" ht="15.75">
      <c r="A46" s="462"/>
      <c r="B46" s="462"/>
      <c r="C46" s="462"/>
      <c r="D46" s="462"/>
      <c r="E46" s="462"/>
      <c r="F46" s="462"/>
      <c r="G46" s="462"/>
      <c r="H46" s="462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9" ht="15.75">
      <c r="A47" s="462"/>
      <c r="B47" s="462"/>
      <c r="C47" s="462"/>
      <c r="D47" s="462"/>
      <c r="E47" s="462"/>
      <c r="F47" s="462"/>
      <c r="G47" s="462"/>
      <c r="H47" s="462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9" ht="15.75">
      <c r="A48" s="53"/>
      <c r="B48" s="54"/>
      <c r="D48" s="53"/>
    </row>
    <row r="49" spans="1:28" ht="15.75">
      <c r="A49" s="53"/>
      <c r="B49" s="53"/>
    </row>
    <row r="50" spans="1:28" ht="15.75">
      <c r="A50" s="53"/>
      <c r="B50" s="53"/>
    </row>
    <row r="51" spans="1:28" ht="15.75">
      <c r="A51" s="49"/>
    </row>
    <row r="53" spans="1:28" ht="15.75">
      <c r="A53" s="49"/>
    </row>
    <row r="54" spans="1:28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</row>
    <row r="55" spans="1:28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8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8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9" spans="1:28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</sheetData>
  <mergeCells count="5">
    <mergeCell ref="O1:Z4"/>
    <mergeCell ref="A46:H46"/>
    <mergeCell ref="A47:H47"/>
    <mergeCell ref="B1:B4"/>
    <mergeCell ref="C1:N4"/>
  </mergeCells>
  <phoneticPr fontId="14" type="noConversion"/>
  <printOptions horizontalCentered="1"/>
  <pageMargins left="0.25" right="0.25" top="0.75" bottom="0.75" header="0.3" footer="0.3"/>
  <pageSetup paperSize="9" scale="7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X35"/>
  <sheetViews>
    <sheetView showGridLines="0" topLeftCell="A8" zoomScale="112" zoomScaleNormal="112" workbookViewId="0">
      <selection activeCell="A37" sqref="A37"/>
    </sheetView>
  </sheetViews>
  <sheetFormatPr defaultColWidth="11.5703125" defaultRowHeight="12.75"/>
  <cols>
    <col min="1" max="1" width="39.140625" customWidth="1"/>
    <col min="2" max="2" width="8.28515625" customWidth="1"/>
    <col min="3" max="3" width="10" customWidth="1"/>
    <col min="4" max="4" width="9.7109375" customWidth="1"/>
    <col min="5" max="5" width="8.28515625" customWidth="1"/>
    <col min="6" max="7" width="9.7109375" bestFit="1" customWidth="1"/>
  </cols>
  <sheetData>
    <row r="1" spans="1:7" ht="15">
      <c r="A1" s="23" t="s">
        <v>25</v>
      </c>
    </row>
    <row r="3" spans="1:7">
      <c r="A3" s="2" t="s">
        <v>24</v>
      </c>
    </row>
    <row r="4" spans="1:7">
      <c r="A4" s="24" t="s">
        <v>26</v>
      </c>
    </row>
    <row r="5" spans="1:7">
      <c r="A5" s="24" t="s">
        <v>39</v>
      </c>
    </row>
    <row r="6" spans="1:7">
      <c r="A6" s="24" t="s">
        <v>28</v>
      </c>
    </row>
    <row r="7" spans="1:7">
      <c r="A7" s="24" t="s">
        <v>29</v>
      </c>
    </row>
    <row r="9" spans="1:7">
      <c r="A9" s="17" t="s">
        <v>27</v>
      </c>
    </row>
    <row r="10" spans="1:7" ht="13.5" thickBot="1">
      <c r="A10" s="8" t="s">
        <v>0</v>
      </c>
      <c r="B10" s="9" t="s">
        <v>5</v>
      </c>
      <c r="C10" s="9" t="s">
        <v>6</v>
      </c>
      <c r="D10" s="9" t="s">
        <v>1</v>
      </c>
      <c r="E10" s="9" t="s">
        <v>2</v>
      </c>
      <c r="F10" s="9" t="s">
        <v>3</v>
      </c>
      <c r="G10" s="9" t="s">
        <v>7</v>
      </c>
    </row>
    <row r="11" spans="1:7">
      <c r="A11" s="35" t="s">
        <v>31</v>
      </c>
      <c r="B11" s="11">
        <v>0</v>
      </c>
      <c r="C11" s="12">
        <v>0</v>
      </c>
      <c r="D11" s="12">
        <v>0</v>
      </c>
      <c r="E11" s="12">
        <v>0</v>
      </c>
      <c r="F11" s="12">
        <v>0</v>
      </c>
      <c r="G11" s="13">
        <v>0</v>
      </c>
    </row>
    <row r="12" spans="1:7">
      <c r="A12" s="4" t="s">
        <v>9</v>
      </c>
      <c r="B12" s="11">
        <v>0</v>
      </c>
      <c r="C12" s="12">
        <v>0</v>
      </c>
      <c r="D12" s="12">
        <v>0</v>
      </c>
      <c r="E12" s="12">
        <v>0</v>
      </c>
      <c r="F12" s="12">
        <v>0</v>
      </c>
      <c r="G12" s="13">
        <v>0</v>
      </c>
    </row>
    <row r="13" spans="1:7">
      <c r="A13" s="4" t="s">
        <v>37</v>
      </c>
      <c r="B13" s="12">
        <v>0</v>
      </c>
      <c r="C13" s="12">
        <v>14.87</v>
      </c>
      <c r="D13" s="12">
        <v>24.45</v>
      </c>
      <c r="E13" s="12">
        <v>46.5</v>
      </c>
      <c r="F13" s="12">
        <v>66.83</v>
      </c>
      <c r="G13" s="13">
        <v>86.02</v>
      </c>
    </row>
    <row r="14" spans="1:7">
      <c r="A14" s="5" t="s">
        <v>38</v>
      </c>
      <c r="B14" s="14">
        <v>0</v>
      </c>
      <c r="C14" s="14">
        <v>7.985034999999999</v>
      </c>
      <c r="D14" s="14">
        <v>9.291791749999998</v>
      </c>
      <c r="E14" s="14">
        <v>10.324586337499998</v>
      </c>
      <c r="F14" s="14">
        <v>10.833245654374997</v>
      </c>
      <c r="G14" s="15">
        <v>11.364110437093746</v>
      </c>
    </row>
    <row r="15" spans="1:7">
      <c r="A15" s="24" t="s">
        <v>25</v>
      </c>
      <c r="B15" s="3">
        <f t="shared" ref="B15:G15" si="0">B12+B13-B14</f>
        <v>0</v>
      </c>
      <c r="C15" s="3">
        <f t="shared" si="0"/>
        <v>6.8849650000000002</v>
      </c>
      <c r="D15" s="3">
        <f t="shared" si="0"/>
        <v>15.158208250000001</v>
      </c>
      <c r="E15" s="3">
        <f t="shared" si="0"/>
        <v>36.175413662500006</v>
      </c>
      <c r="F15" s="3">
        <f t="shared" si="0"/>
        <v>55.996754345625</v>
      </c>
      <c r="G15" s="16">
        <f t="shared" si="0"/>
        <v>74.655889562906253</v>
      </c>
    </row>
    <row r="16" spans="1:7">
      <c r="A16" s="6" t="s">
        <v>34</v>
      </c>
      <c r="B16" s="10">
        <f>B15</f>
        <v>0</v>
      </c>
      <c r="C16" s="10">
        <f>C15-B15</f>
        <v>6.8849650000000002</v>
      </c>
      <c r="D16" s="10">
        <f>D15-C15</f>
        <v>8.2732432500000002</v>
      </c>
      <c r="E16" s="10">
        <f>E15-D15</f>
        <v>21.017205412500005</v>
      </c>
      <c r="F16" s="10">
        <f>F15-E15</f>
        <v>19.821340683124994</v>
      </c>
      <c r="G16" s="7">
        <f>G15-F15</f>
        <v>18.659135217281253</v>
      </c>
    </row>
    <row r="18" spans="1:24">
      <c r="E18" s="1"/>
      <c r="F18" s="1"/>
    </row>
    <row r="19" spans="1:24">
      <c r="A19" s="17" t="s">
        <v>30</v>
      </c>
      <c r="E19" s="1"/>
      <c r="F19" s="1"/>
    </row>
    <row r="20" spans="1:24" ht="13.5" thickBot="1">
      <c r="A20" s="8" t="s">
        <v>0</v>
      </c>
      <c r="B20" s="9" t="s">
        <v>5</v>
      </c>
      <c r="C20" s="9" t="s">
        <v>6</v>
      </c>
      <c r="D20" s="9" t="s">
        <v>1</v>
      </c>
      <c r="E20" s="9" t="s">
        <v>2</v>
      </c>
      <c r="F20" s="9" t="s">
        <v>3</v>
      </c>
      <c r="G20" s="9" t="s">
        <v>4</v>
      </c>
      <c r="H20" s="9" t="s">
        <v>46</v>
      </c>
      <c r="I20" s="9" t="s">
        <v>47</v>
      </c>
      <c r="J20" s="9" t="s">
        <v>48</v>
      </c>
      <c r="K20" s="9" t="s">
        <v>49</v>
      </c>
      <c r="L20" s="9" t="s">
        <v>50</v>
      </c>
      <c r="M20" s="9" t="s">
        <v>51</v>
      </c>
      <c r="N20" s="9" t="s">
        <v>52</v>
      </c>
      <c r="O20" s="9" t="s">
        <v>53</v>
      </c>
      <c r="P20" s="9" t="s">
        <v>54</v>
      </c>
      <c r="Q20" s="9" t="s">
        <v>55</v>
      </c>
      <c r="R20" s="9" t="s">
        <v>56</v>
      </c>
      <c r="S20" s="9" t="s">
        <v>57</v>
      </c>
      <c r="T20" s="9" t="s">
        <v>58</v>
      </c>
      <c r="U20" s="9" t="s">
        <v>59</v>
      </c>
      <c r="V20" s="9" t="s">
        <v>60</v>
      </c>
      <c r="W20" s="9"/>
      <c r="X20" s="9"/>
    </row>
    <row r="21" spans="1:24">
      <c r="A21" s="24" t="s">
        <v>32</v>
      </c>
      <c r="B21" s="18" t="e">
        <f>#REF!</f>
        <v>#REF!</v>
      </c>
      <c r="C21" s="18" t="e">
        <f>#REF!</f>
        <v>#REF!</v>
      </c>
      <c r="D21" s="18" t="e">
        <f>#REF!</f>
        <v>#REF!</v>
      </c>
      <c r="E21" s="18" t="e">
        <f>#REF!</f>
        <v>#REF!</v>
      </c>
      <c r="F21" s="18" t="e">
        <f>#REF!</f>
        <v>#REF!</v>
      </c>
      <c r="G21" s="18" t="e">
        <f>#REF!</f>
        <v>#REF!</v>
      </c>
      <c r="H21" s="18" t="e">
        <f>#REF!</f>
        <v>#REF!</v>
      </c>
      <c r="I21" s="18" t="e">
        <f>#REF!</f>
        <v>#REF!</v>
      </c>
      <c r="J21" s="18" t="e">
        <f>#REF!</f>
        <v>#REF!</v>
      </c>
      <c r="K21" s="18" t="e">
        <f>#REF!</f>
        <v>#REF!</v>
      </c>
      <c r="L21" s="18" t="e">
        <f>#REF!</f>
        <v>#REF!</v>
      </c>
      <c r="M21" s="18" t="e">
        <f>#REF!</f>
        <v>#REF!</v>
      </c>
      <c r="N21" s="18" t="e">
        <f>#REF!</f>
        <v>#REF!</v>
      </c>
      <c r="O21" s="18" t="e">
        <f>#REF!</f>
        <v>#REF!</v>
      </c>
      <c r="P21" s="18" t="e">
        <f>#REF!</f>
        <v>#REF!</v>
      </c>
      <c r="Q21" s="18" t="e">
        <f>#REF!</f>
        <v>#REF!</v>
      </c>
      <c r="R21" s="18" t="e">
        <f>#REF!</f>
        <v>#REF!</v>
      </c>
      <c r="S21" s="18" t="e">
        <f>#REF!</f>
        <v>#REF!</v>
      </c>
      <c r="T21" s="18" t="e">
        <f>#REF!</f>
        <v>#REF!</v>
      </c>
      <c r="U21" s="18" t="e">
        <f>#REF!</f>
        <v>#REF!</v>
      </c>
      <c r="V21" s="18" t="e">
        <f>#REF!</f>
        <v>#REF!</v>
      </c>
    </row>
    <row r="22" spans="1:24">
      <c r="A22" s="36" t="s">
        <v>33</v>
      </c>
      <c r="B22" s="19">
        <v>0.1</v>
      </c>
      <c r="C22" s="20">
        <f>B22</f>
        <v>0.1</v>
      </c>
      <c r="D22" s="20">
        <f>C22</f>
        <v>0.1</v>
      </c>
      <c r="E22" s="20">
        <f>D22</f>
        <v>0.1</v>
      </c>
      <c r="F22" s="20">
        <f>E22</f>
        <v>0.1</v>
      </c>
      <c r="G22" s="20">
        <f>F22</f>
        <v>0.1</v>
      </c>
      <c r="H22" s="20">
        <f t="shared" ref="H22:V22" si="1">G22</f>
        <v>0.1</v>
      </c>
      <c r="I22" s="20">
        <f t="shared" si="1"/>
        <v>0.1</v>
      </c>
      <c r="J22" s="20">
        <f t="shared" si="1"/>
        <v>0.1</v>
      </c>
      <c r="K22" s="20">
        <f t="shared" si="1"/>
        <v>0.1</v>
      </c>
      <c r="L22" s="20">
        <f t="shared" si="1"/>
        <v>0.1</v>
      </c>
      <c r="M22" s="20">
        <f t="shared" si="1"/>
        <v>0.1</v>
      </c>
      <c r="N22" s="20">
        <f t="shared" si="1"/>
        <v>0.1</v>
      </c>
      <c r="O22" s="20">
        <f t="shared" si="1"/>
        <v>0.1</v>
      </c>
      <c r="P22" s="20">
        <f t="shared" si="1"/>
        <v>0.1</v>
      </c>
      <c r="Q22" s="20">
        <f t="shared" si="1"/>
        <v>0.1</v>
      </c>
      <c r="R22" s="20">
        <f t="shared" si="1"/>
        <v>0.1</v>
      </c>
      <c r="S22" s="20">
        <f t="shared" si="1"/>
        <v>0.1</v>
      </c>
      <c r="T22" s="20">
        <f t="shared" si="1"/>
        <v>0.1</v>
      </c>
      <c r="U22" s="20">
        <f t="shared" si="1"/>
        <v>0.1</v>
      </c>
      <c r="V22" s="20">
        <f t="shared" si="1"/>
        <v>0.1</v>
      </c>
    </row>
    <row r="23" spans="1:24">
      <c r="A23" s="24" t="s">
        <v>25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</row>
    <row r="24" spans="1:24">
      <c r="A24" s="6" t="s">
        <v>34</v>
      </c>
      <c r="B24" s="6">
        <v>0</v>
      </c>
      <c r="C24" s="21">
        <f>C23-B23</f>
        <v>0</v>
      </c>
      <c r="D24" s="21">
        <f>D23-C23</f>
        <v>0</v>
      </c>
      <c r="E24" s="21">
        <f>E23-D23</f>
        <v>0</v>
      </c>
      <c r="F24" s="21">
        <f>F23-E23</f>
        <v>0</v>
      </c>
      <c r="G24" s="21">
        <f>G23-F23</f>
        <v>0</v>
      </c>
      <c r="H24" s="21">
        <f t="shared" ref="H24:V24" si="2">H23-G23</f>
        <v>0</v>
      </c>
      <c r="I24" s="21">
        <f t="shared" si="2"/>
        <v>0</v>
      </c>
      <c r="J24" s="21">
        <f t="shared" si="2"/>
        <v>0</v>
      </c>
      <c r="K24" s="21">
        <f t="shared" si="2"/>
        <v>0</v>
      </c>
      <c r="L24" s="21">
        <f t="shared" si="2"/>
        <v>0</v>
      </c>
      <c r="M24" s="21">
        <f t="shared" si="2"/>
        <v>0</v>
      </c>
      <c r="N24" s="21">
        <f t="shared" si="2"/>
        <v>0</v>
      </c>
      <c r="O24" s="21">
        <f t="shared" si="2"/>
        <v>0</v>
      </c>
      <c r="P24" s="21">
        <f t="shared" si="2"/>
        <v>0</v>
      </c>
      <c r="Q24" s="21">
        <f t="shared" si="2"/>
        <v>0</v>
      </c>
      <c r="R24" s="21">
        <f t="shared" si="2"/>
        <v>0</v>
      </c>
      <c r="S24" s="21">
        <f t="shared" si="2"/>
        <v>0</v>
      </c>
      <c r="T24" s="21">
        <f t="shared" si="2"/>
        <v>0</v>
      </c>
      <c r="U24" s="21">
        <f t="shared" si="2"/>
        <v>0</v>
      </c>
      <c r="V24" s="21">
        <f t="shared" si="2"/>
        <v>0</v>
      </c>
    </row>
    <row r="27" spans="1:24">
      <c r="A27" s="17" t="s">
        <v>35</v>
      </c>
      <c r="E27" s="1"/>
      <c r="F27" s="1"/>
    </row>
    <row r="28" spans="1:24" ht="13.5" thickBot="1">
      <c r="A28" s="8" t="s">
        <v>0</v>
      </c>
      <c r="B28" s="9" t="s">
        <v>5</v>
      </c>
      <c r="C28" s="9" t="s">
        <v>6</v>
      </c>
      <c r="D28" s="9" t="s">
        <v>1</v>
      </c>
      <c r="E28" s="9" t="s">
        <v>2</v>
      </c>
      <c r="F28" s="9" t="s">
        <v>3</v>
      </c>
      <c r="G28" s="9" t="s">
        <v>7</v>
      </c>
    </row>
    <row r="29" spans="1:24">
      <c r="A29" s="6" t="s">
        <v>34</v>
      </c>
      <c r="B29" s="33">
        <v>5</v>
      </c>
      <c r="C29" s="34">
        <v>5</v>
      </c>
      <c r="D29" s="34">
        <v>5</v>
      </c>
      <c r="E29" s="34">
        <v>5</v>
      </c>
      <c r="F29" s="34">
        <v>5</v>
      </c>
      <c r="G29" s="34">
        <v>5</v>
      </c>
    </row>
    <row r="32" spans="1:24" ht="13.5" thickBot="1"/>
    <row r="33" spans="1:22" ht="13.5" thickBot="1">
      <c r="A33" s="22" t="s">
        <v>36</v>
      </c>
      <c r="B33" s="25">
        <v>2</v>
      </c>
    </row>
    <row r="35" spans="1:22">
      <c r="A35" s="6" t="s">
        <v>34</v>
      </c>
      <c r="B35" s="21">
        <f t="shared" ref="B35:V35" si="3">IF($B$33=1,B16,IF($B$33=2,B24,IF($B$33=3,B29,0)))</f>
        <v>0</v>
      </c>
      <c r="C35" s="21">
        <f t="shared" si="3"/>
        <v>0</v>
      </c>
      <c r="D35" s="21">
        <f t="shared" si="3"/>
        <v>0</v>
      </c>
      <c r="E35" s="21">
        <f t="shared" si="3"/>
        <v>0</v>
      </c>
      <c r="F35" s="21">
        <f t="shared" si="3"/>
        <v>0</v>
      </c>
      <c r="G35" s="21">
        <f t="shared" si="3"/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1">
        <f t="shared" si="3"/>
        <v>0</v>
      </c>
      <c r="L35" s="21">
        <f t="shared" si="3"/>
        <v>0</v>
      </c>
      <c r="M35" s="21">
        <f t="shared" si="3"/>
        <v>0</v>
      </c>
      <c r="N35" s="21">
        <f t="shared" si="3"/>
        <v>0</v>
      </c>
      <c r="O35" s="21">
        <f t="shared" si="3"/>
        <v>0</v>
      </c>
      <c r="P35" s="21">
        <f t="shared" si="3"/>
        <v>0</v>
      </c>
      <c r="Q35" s="21">
        <f t="shared" si="3"/>
        <v>0</v>
      </c>
      <c r="R35" s="21">
        <f t="shared" si="3"/>
        <v>0</v>
      </c>
      <c r="S35" s="21">
        <f t="shared" si="3"/>
        <v>0</v>
      </c>
      <c r="T35" s="21">
        <f t="shared" si="3"/>
        <v>0</v>
      </c>
      <c r="U35" s="21">
        <f t="shared" si="3"/>
        <v>0</v>
      </c>
      <c r="V35" s="21">
        <f t="shared" si="3"/>
        <v>0</v>
      </c>
    </row>
  </sheetData>
  <phoneticPr fontId="0" type="noConversion"/>
  <pageMargins left="0.75" right="0.75" top="1" bottom="1" header="0" footer="0"/>
  <pageSetup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00B0F0"/>
  </sheetPr>
  <dimension ref="A1:AB53"/>
  <sheetViews>
    <sheetView showGridLines="0" workbookViewId="0">
      <pane xSplit="1" ySplit="5" topLeftCell="B27" activePane="bottomRight" state="frozen"/>
      <selection activeCell="A19" sqref="A19"/>
      <selection pane="topRight" activeCell="A19" sqref="A19"/>
      <selection pane="bottomLeft" activeCell="A19" sqref="A19"/>
      <selection pane="bottomRight" activeCell="A40" sqref="A40"/>
    </sheetView>
  </sheetViews>
  <sheetFormatPr defaultColWidth="9.28515625" defaultRowHeight="12.75"/>
  <cols>
    <col min="1" max="1" width="33.28515625" style="37" customWidth="1"/>
    <col min="2" max="2" width="11.42578125" style="37" customWidth="1"/>
    <col min="3" max="3" width="9.7109375" style="37" customWidth="1"/>
    <col min="4" max="10" width="8.42578125" style="37" bestFit="1" customWidth="1"/>
    <col min="11" max="11" width="8.7109375" style="37" bestFit="1" customWidth="1"/>
    <col min="12" max="12" width="8.42578125" style="37" bestFit="1" customWidth="1"/>
    <col min="13" max="14" width="6.5703125" style="37" bestFit="1" customWidth="1"/>
    <col min="15" max="18" width="8.42578125" style="37" bestFit="1" customWidth="1"/>
    <col min="19" max="19" width="8.7109375" style="37" bestFit="1" customWidth="1"/>
    <col min="20" max="22" width="10.5703125" style="37" bestFit="1" customWidth="1"/>
    <col min="23" max="25" width="8.42578125" style="37" bestFit="1" customWidth="1"/>
    <col min="26" max="26" width="10" style="37" customWidth="1"/>
    <col min="27" max="27" width="9.28515625" style="37"/>
    <col min="28" max="28" width="9.28515625" style="37" bestFit="1" customWidth="1"/>
    <col min="29" max="16384" width="9.28515625" style="37"/>
  </cols>
  <sheetData>
    <row r="1" spans="1:28" ht="14.25" customHeight="1">
      <c r="A1" s="78"/>
      <c r="B1" s="463">
        <f>'Dashboard-Input&amp;Output'!B2</f>
        <v>3578</v>
      </c>
      <c r="C1" s="465" t="s">
        <v>277</v>
      </c>
      <c r="D1" s="465"/>
      <c r="E1" s="465"/>
      <c r="F1" s="465"/>
      <c r="G1" s="465"/>
      <c r="H1" s="465"/>
      <c r="I1" s="465"/>
      <c r="J1" s="465"/>
      <c r="K1" s="456" t="str">
        <f>+'Dashboard-Input&amp;Output'!H37</f>
        <v>REC (BOO/Captive)</v>
      </c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7"/>
    </row>
    <row r="2" spans="1:28" ht="12.75" customHeight="1">
      <c r="A2" s="75"/>
      <c r="B2" s="463"/>
      <c r="C2" s="466"/>
      <c r="D2" s="466"/>
      <c r="E2" s="466"/>
      <c r="F2" s="466"/>
      <c r="G2" s="466"/>
      <c r="H2" s="466"/>
      <c r="I2" s="466"/>
      <c r="J2" s="466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9"/>
    </row>
    <row r="3" spans="1:28" ht="12.75" customHeight="1">
      <c r="A3" s="77" t="s">
        <v>88</v>
      </c>
      <c r="B3" s="463"/>
      <c r="C3" s="466"/>
      <c r="D3" s="466"/>
      <c r="E3" s="466"/>
      <c r="F3" s="466"/>
      <c r="G3" s="466"/>
      <c r="H3" s="466"/>
      <c r="I3" s="466"/>
      <c r="J3" s="466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9"/>
    </row>
    <row r="4" spans="1:28" ht="13.5" customHeight="1" thickBot="1">
      <c r="A4" s="76"/>
      <c r="B4" s="464"/>
      <c r="C4" s="467"/>
      <c r="D4" s="467"/>
      <c r="E4" s="467"/>
      <c r="F4" s="467"/>
      <c r="G4" s="467"/>
      <c r="H4" s="467"/>
      <c r="I4" s="467"/>
      <c r="J4" s="467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1"/>
    </row>
    <row r="5" spans="1:28" s="70" customFormat="1" ht="21" customHeight="1">
      <c r="A5" s="40" t="s">
        <v>61</v>
      </c>
      <c r="B5" s="71">
        <v>1</v>
      </c>
      <c r="C5" s="71">
        <v>2</v>
      </c>
      <c r="D5" s="71">
        <v>3</v>
      </c>
      <c r="E5" s="71">
        <v>4</v>
      </c>
      <c r="F5" s="71">
        <v>5</v>
      </c>
      <c r="G5" s="71">
        <v>6</v>
      </c>
      <c r="H5" s="71">
        <v>7</v>
      </c>
      <c r="I5" s="71">
        <v>8</v>
      </c>
      <c r="J5" s="71">
        <v>9</v>
      </c>
      <c r="K5" s="71">
        <v>10</v>
      </c>
      <c r="L5" s="71">
        <v>11</v>
      </c>
      <c r="M5" s="71">
        <v>12</v>
      </c>
      <c r="N5" s="71">
        <v>13</v>
      </c>
      <c r="O5" s="71">
        <v>14</v>
      </c>
      <c r="P5" s="71">
        <v>15</v>
      </c>
      <c r="Q5" s="71">
        <v>16</v>
      </c>
      <c r="R5" s="71">
        <v>17</v>
      </c>
      <c r="S5" s="71">
        <v>18</v>
      </c>
      <c r="T5" s="71">
        <v>19</v>
      </c>
      <c r="U5" s="71">
        <v>20</v>
      </c>
      <c r="V5" s="71">
        <v>21</v>
      </c>
      <c r="W5" s="71">
        <v>22</v>
      </c>
      <c r="X5" s="71">
        <v>23</v>
      </c>
      <c r="Y5" s="71">
        <v>24</v>
      </c>
      <c r="Z5" s="71">
        <v>25</v>
      </c>
    </row>
    <row r="6" spans="1:28" ht="21" customHeight="1">
      <c r="A6" s="40" t="s">
        <v>85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8" ht="21" customHeight="1">
      <c r="A7" s="41" t="s">
        <v>62</v>
      </c>
      <c r="B7" s="44">
        <f>+'P&amp;L'!B7</f>
        <v>5.5584881888516131</v>
      </c>
      <c r="C7" s="44">
        <f>+'P&amp;L'!C7</f>
        <v>5.514020283340801</v>
      </c>
      <c r="D7" s="44">
        <f>+'P&amp;L'!D7</f>
        <v>5.4699081210740736</v>
      </c>
      <c r="E7" s="44">
        <f>+'P&amp;L'!E7</f>
        <v>5.4261488561054811</v>
      </c>
      <c r="F7" s="44">
        <f>+'P&amp;L'!F7</f>
        <v>5.3827396652566373</v>
      </c>
      <c r="G7" s="44">
        <f>+'P&amp;L'!G7</f>
        <v>5.3396777479345836</v>
      </c>
      <c r="H7" s="44">
        <f>+'P&amp;L'!H7</f>
        <v>5.2969603259511064</v>
      </c>
      <c r="I7" s="44">
        <f>+'P&amp;L'!I7</f>
        <v>5.254584643343498</v>
      </c>
      <c r="J7" s="44">
        <f>+'P&amp;L'!J7</f>
        <v>5.21254796619675</v>
      </c>
      <c r="K7" s="44">
        <f>+'P&amp;L'!K7</f>
        <v>5.170847582467176</v>
      </c>
      <c r="L7" s="44">
        <f>+'P&amp;L'!L7</f>
        <v>5.1294808018074391</v>
      </c>
      <c r="M7" s="44">
        <f>+'P&amp;L'!M7</f>
        <v>5.0884449553929789</v>
      </c>
      <c r="N7" s="44">
        <f>+'P&amp;L'!N7</f>
        <v>5.0477373957498353</v>
      </c>
      <c r="O7" s="44">
        <f>+'P&amp;L'!O7</f>
        <v>5.0073554965838358</v>
      </c>
      <c r="P7" s="44">
        <f>+'P&amp;L'!P7</f>
        <v>4.9672966526111653</v>
      </c>
      <c r="Q7" s="44">
        <f>+'P&amp;L'!Q7</f>
        <v>4.9275582793902766</v>
      </c>
      <c r="R7" s="44">
        <f>+'P&amp;L'!R7</f>
        <v>4.8881378131551534</v>
      </c>
      <c r="S7" s="44">
        <f>+'P&amp;L'!S7</f>
        <v>4.8490327106499125</v>
      </c>
      <c r="T7" s="44">
        <f>+'P&amp;L'!T7</f>
        <v>4.8102404489647128</v>
      </c>
      <c r="U7" s="44">
        <f>+'P&amp;L'!U7</f>
        <v>4.7717585253729951</v>
      </c>
      <c r="V7" s="44">
        <f>+'P&amp;L'!V7</f>
        <v>4.7335844571700116</v>
      </c>
      <c r="W7" s="44">
        <f>+'P&amp;L'!W7</f>
        <v>4.6957157815126518</v>
      </c>
      <c r="X7" s="44">
        <f>+'P&amp;L'!X7</f>
        <v>4.6581500552605499</v>
      </c>
      <c r="Y7" s="44">
        <f>+'P&amp;L'!Y7</f>
        <v>4.620884854818466</v>
      </c>
      <c r="Z7" s="44">
        <f>+'P&amp;L'!Z7</f>
        <v>4.5839177759799181</v>
      </c>
    </row>
    <row r="8" spans="1:28" ht="21" customHeight="1">
      <c r="A8" s="72" t="s">
        <v>86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8" ht="21" customHeight="1">
      <c r="A9" s="73" t="s">
        <v>307</v>
      </c>
      <c r="B9" s="42">
        <f>+'P&amp;L'!B9</f>
        <v>4.05</v>
      </c>
      <c r="C9" s="42">
        <f>+'P&amp;L'!C9</f>
        <v>4.05</v>
      </c>
      <c r="D9" s="42">
        <f>+'P&amp;L'!D9</f>
        <v>4.05</v>
      </c>
      <c r="E9" s="42">
        <f>+'P&amp;L'!E9</f>
        <v>4.05</v>
      </c>
      <c r="F9" s="42">
        <f>+'P&amp;L'!F9</f>
        <v>4.05</v>
      </c>
      <c r="G9" s="42">
        <f>+'P&amp;L'!G9</f>
        <v>4.05</v>
      </c>
      <c r="H9" s="42">
        <f>+'P&amp;L'!H9</f>
        <v>4.05</v>
      </c>
      <c r="I9" s="42">
        <f>+'P&amp;L'!I9</f>
        <v>4.05</v>
      </c>
      <c r="J9" s="42">
        <f>+'P&amp;L'!J9</f>
        <v>4.05</v>
      </c>
      <c r="K9" s="42">
        <f>+'P&amp;L'!K9</f>
        <v>4.05</v>
      </c>
      <c r="L9" s="42">
        <f>+'P&amp;L'!L9</f>
        <v>4.05</v>
      </c>
      <c r="M9" s="42">
        <f>+'P&amp;L'!M9</f>
        <v>4.05</v>
      </c>
      <c r="N9" s="42">
        <f>+'P&amp;L'!N9</f>
        <v>4.05</v>
      </c>
      <c r="O9" s="42">
        <f>+'P&amp;L'!O9</f>
        <v>4.05</v>
      </c>
      <c r="P9" s="42">
        <f>+'P&amp;L'!P9</f>
        <v>4.05</v>
      </c>
      <c r="Q9" s="42">
        <f>+'P&amp;L'!Q9</f>
        <v>4.05</v>
      </c>
      <c r="R9" s="42">
        <f>+'P&amp;L'!R9</f>
        <v>4.05</v>
      </c>
      <c r="S9" s="42">
        <f>+'P&amp;L'!S9</f>
        <v>4.05</v>
      </c>
      <c r="T9" s="42">
        <f>+'P&amp;L'!T9</f>
        <v>4.05</v>
      </c>
      <c r="U9" s="42">
        <f>+'P&amp;L'!U9</f>
        <v>4.05</v>
      </c>
      <c r="V9" s="42">
        <f>+'P&amp;L'!V9</f>
        <v>4.05</v>
      </c>
      <c r="W9" s="42">
        <f>+'P&amp;L'!W9</f>
        <v>4.05</v>
      </c>
      <c r="X9" s="42">
        <f>+'P&amp;L'!X9</f>
        <v>4.05</v>
      </c>
      <c r="Y9" s="42">
        <f>+'P&amp;L'!Y9</f>
        <v>4.05</v>
      </c>
      <c r="Z9" s="42">
        <f>+'P&amp;L'!Z9</f>
        <v>4.05</v>
      </c>
    </row>
    <row r="10" spans="1:28" ht="21" customHeight="1">
      <c r="A10" s="73" t="s">
        <v>308</v>
      </c>
      <c r="B10" s="42">
        <f>+'P&amp;L'!B10</f>
        <v>0</v>
      </c>
      <c r="C10" s="42">
        <f>+'P&amp;L'!C10</f>
        <v>0</v>
      </c>
      <c r="D10" s="42">
        <f>+'P&amp;L'!D10</f>
        <v>0</v>
      </c>
      <c r="E10" s="42">
        <f>+'P&amp;L'!E10</f>
        <v>0</v>
      </c>
      <c r="F10" s="42">
        <f>+'P&amp;L'!F10</f>
        <v>0</v>
      </c>
      <c r="G10" s="42">
        <f>+'P&amp;L'!G10</f>
        <v>0</v>
      </c>
      <c r="H10" s="42">
        <f>+'P&amp;L'!H10</f>
        <v>0</v>
      </c>
      <c r="I10" s="42">
        <f>+'P&amp;L'!I10</f>
        <v>0</v>
      </c>
      <c r="J10" s="42">
        <f>+'P&amp;L'!J10</f>
        <v>0</v>
      </c>
      <c r="K10" s="42">
        <f>+'P&amp;L'!K10</f>
        <v>0</v>
      </c>
      <c r="L10" s="42">
        <f>+'P&amp;L'!L10</f>
        <v>0</v>
      </c>
      <c r="M10" s="42">
        <f>+'P&amp;L'!M10</f>
        <v>0</v>
      </c>
      <c r="N10" s="42">
        <f>+'P&amp;L'!N10</f>
        <v>0</v>
      </c>
      <c r="O10" s="42">
        <f>+'P&amp;L'!O10</f>
        <v>0</v>
      </c>
      <c r="P10" s="42">
        <f>+'P&amp;L'!P10</f>
        <v>0</v>
      </c>
      <c r="Q10" s="42">
        <f>+'P&amp;L'!Q10</f>
        <v>0</v>
      </c>
      <c r="R10" s="42">
        <f>+'P&amp;L'!R10</f>
        <v>0</v>
      </c>
      <c r="S10" s="42">
        <f>+'P&amp;L'!S10</f>
        <v>0</v>
      </c>
      <c r="T10" s="42">
        <f>+'P&amp;L'!T10</f>
        <v>0</v>
      </c>
      <c r="U10" s="42">
        <f>+'P&amp;L'!U10</f>
        <v>0</v>
      </c>
      <c r="V10" s="42">
        <f>+'P&amp;L'!V10</f>
        <v>0</v>
      </c>
      <c r="W10" s="42">
        <f>+'P&amp;L'!W10</f>
        <v>0</v>
      </c>
      <c r="X10" s="42">
        <f>+'P&amp;L'!X10</f>
        <v>0</v>
      </c>
      <c r="Y10" s="42">
        <f>+'P&amp;L'!Y10</f>
        <v>0</v>
      </c>
      <c r="Z10" s="42">
        <f>+'P&amp;L'!Z10</f>
        <v>0</v>
      </c>
    </row>
    <row r="11" spans="1:28" ht="21" customHeight="1">
      <c r="A11" s="73" t="s">
        <v>288</v>
      </c>
      <c r="B11" s="42">
        <f>+'P&amp;L'!B11</f>
        <v>0</v>
      </c>
      <c r="C11" s="42">
        <f>+'P&amp;L'!C11</f>
        <v>0</v>
      </c>
      <c r="D11" s="42">
        <f>+'P&amp;L'!D11</f>
        <v>0</v>
      </c>
      <c r="E11" s="42">
        <f>+'P&amp;L'!E11</f>
        <v>0</v>
      </c>
      <c r="F11" s="42">
        <f>+'P&amp;L'!F11</f>
        <v>0</v>
      </c>
      <c r="G11" s="42">
        <f>+'P&amp;L'!G11</f>
        <v>0</v>
      </c>
      <c r="H11" s="42">
        <f>+'P&amp;L'!H11</f>
        <v>0</v>
      </c>
      <c r="I11" s="42">
        <f>+'P&amp;L'!I11</f>
        <v>0</v>
      </c>
      <c r="J11" s="42">
        <f>+'P&amp;L'!J11</f>
        <v>0</v>
      </c>
      <c r="K11" s="42">
        <f>+'P&amp;L'!K11</f>
        <v>0</v>
      </c>
      <c r="L11" s="42">
        <f>+'P&amp;L'!L11</f>
        <v>0</v>
      </c>
      <c r="M11" s="42">
        <f>+'P&amp;L'!M11</f>
        <v>0</v>
      </c>
      <c r="N11" s="42">
        <f>+'P&amp;L'!N11</f>
        <v>0</v>
      </c>
      <c r="O11" s="42">
        <f>+'P&amp;L'!O11</f>
        <v>0</v>
      </c>
      <c r="P11" s="42">
        <f>+'P&amp;L'!P11</f>
        <v>0</v>
      </c>
      <c r="Q11" s="42">
        <f>+'P&amp;L'!Q11</f>
        <v>0</v>
      </c>
      <c r="R11" s="42">
        <f>+'P&amp;L'!R11</f>
        <v>0</v>
      </c>
      <c r="S11" s="42">
        <f>+'P&amp;L'!S11</f>
        <v>0</v>
      </c>
      <c r="T11" s="42">
        <f>+'P&amp;L'!T11</f>
        <v>0</v>
      </c>
      <c r="U11" s="42">
        <f>+'P&amp;L'!U11</f>
        <v>0</v>
      </c>
      <c r="V11" s="42">
        <f>+'P&amp;L'!V11</f>
        <v>0</v>
      </c>
      <c r="W11" s="42">
        <f>+'P&amp;L'!W11</f>
        <v>0</v>
      </c>
      <c r="X11" s="42">
        <f>+'P&amp;L'!X11</f>
        <v>0</v>
      </c>
      <c r="Y11" s="42">
        <f>+'P&amp;L'!Y11</f>
        <v>0</v>
      </c>
      <c r="Z11" s="42">
        <f>+'P&amp;L'!Z11</f>
        <v>0</v>
      </c>
    </row>
    <row r="12" spans="1:28" ht="21" customHeight="1">
      <c r="A12" s="73" t="s">
        <v>309</v>
      </c>
      <c r="B12" s="42">
        <f>+'P&amp;L'!B12</f>
        <v>2.2511877164849032</v>
      </c>
      <c r="C12" s="42">
        <f>+'P&amp;L'!C12</f>
        <v>2.2331782147530244</v>
      </c>
      <c r="D12" s="42">
        <f>+'P&amp;L'!D12</f>
        <v>2.2153127890349995</v>
      </c>
      <c r="E12" s="42">
        <f>+'P&amp;L'!E12</f>
        <v>2.1975902867227197</v>
      </c>
      <c r="F12" s="42">
        <f>+'P&amp;L'!F12</f>
        <v>2.1800095644289383</v>
      </c>
      <c r="G12" s="42">
        <f>+'P&amp;L'!G12</f>
        <v>2.162569487913506</v>
      </c>
      <c r="H12" s="42">
        <f>+'P&amp;L'!H12</f>
        <v>2.1452689320101981</v>
      </c>
      <c r="I12" s="42">
        <f>+'P&amp;L'!I12</f>
        <v>2.1281067805541167</v>
      </c>
      <c r="J12" s="42">
        <f>+'P&amp;L'!J12</f>
        <v>2.1110819263096836</v>
      </c>
      <c r="K12" s="42">
        <f>+'P&amp;L'!K12</f>
        <v>2.0941932708992064</v>
      </c>
      <c r="L12" s="42">
        <f>+'P&amp;L'!L12</f>
        <v>2.0774397247320127</v>
      </c>
      <c r="M12" s="42">
        <f>+'P&amp;L'!M12</f>
        <v>2.0608202069341561</v>
      </c>
      <c r="N12" s="42">
        <f>+'P&amp;L'!N12</f>
        <v>2.0443336452786829</v>
      </c>
      <c r="O12" s="42">
        <f>+'P&amp;L'!O12</f>
        <v>2.0279789761164535</v>
      </c>
      <c r="P12" s="42">
        <f>+'P&amp;L'!P12</f>
        <v>2.0117551443075219</v>
      </c>
      <c r="Q12" s="42">
        <f>+'P&amp;L'!Q12</f>
        <v>1.995661103153062</v>
      </c>
      <c r="R12" s="42">
        <f>+'P&amp;L'!R12</f>
        <v>1.9796958143278371</v>
      </c>
      <c r="S12" s="42">
        <f>+'P&amp;L'!S12</f>
        <v>1.9638582478132143</v>
      </c>
      <c r="T12" s="42">
        <f>+'P&amp;L'!T12</f>
        <v>1.9481473818307087</v>
      </c>
      <c r="U12" s="42">
        <f>+'P&amp;L'!U12</f>
        <v>1.9325622027760629</v>
      </c>
      <c r="V12" s="42">
        <f>+'P&amp;L'!V12</f>
        <v>1.9171017051538546</v>
      </c>
      <c r="W12" s="42">
        <f>+'P&amp;L'!W12</f>
        <v>1.9017648915126237</v>
      </c>
      <c r="X12" s="42">
        <f>+'P&amp;L'!X12</f>
        <v>1.8865507723805226</v>
      </c>
      <c r="Y12" s="42">
        <f>+'P&amp;L'!Y12</f>
        <v>1.8714583662014785</v>
      </c>
      <c r="Z12" s="42">
        <f>+'P&amp;L'!Z12</f>
        <v>1.8564866992718667</v>
      </c>
    </row>
    <row r="13" spans="1:28" ht="21" customHeight="1">
      <c r="A13" s="73" t="s">
        <v>84</v>
      </c>
      <c r="B13" s="42">
        <f>+'P&amp;L'!B14</f>
        <v>0</v>
      </c>
      <c r="C13" s="42">
        <f>+'P&amp;L'!C14</f>
        <v>6.7983652445094175E-2</v>
      </c>
      <c r="D13" s="42">
        <f>+'P&amp;L'!D14</f>
        <v>7.2062671591799826E-2</v>
      </c>
      <c r="E13" s="42">
        <f>+'P&amp;L'!E14</f>
        <v>7.6386431887307815E-2</v>
      </c>
      <c r="F13" s="42">
        <f>+'P&amp;L'!F14</f>
        <v>8.096961780054629E-2</v>
      </c>
      <c r="G13" s="42">
        <f>+'P&amp;L'!G14</f>
        <v>8.5827794868579069E-2</v>
      </c>
      <c r="H13" s="42">
        <f>+'P&amp;L'!H14</f>
        <v>9.0977462560693806E-2</v>
      </c>
      <c r="I13" s="42">
        <f>+'P&amp;L'!I14</f>
        <v>9.6436110314335438E-2</v>
      </c>
      <c r="J13" s="42">
        <f>+'P&amp;L'!J14</f>
        <v>0.10222227693319556</v>
      </c>
      <c r="K13" s="42">
        <f>+'P&amp;L'!K14</f>
        <v>0.1083556135491873</v>
      </c>
      <c r="L13" s="42">
        <f>+'P&amp;L'!L14</f>
        <v>0.11485695036213853</v>
      </c>
      <c r="M13" s="42">
        <f>+'P&amp;L'!M14</f>
        <v>0.12174836738386684</v>
      </c>
      <c r="N13" s="42">
        <f>+'P&amp;L'!N14</f>
        <v>0.12905326942689885</v>
      </c>
      <c r="O13" s="42">
        <f>+'P&amp;L'!O14</f>
        <v>0.13679646559251277</v>
      </c>
      <c r="P13" s="42">
        <f>+'P&amp;L'!P14</f>
        <v>0.14500425352806354</v>
      </c>
      <c r="Q13" s="42">
        <f>+'P&amp;L'!Q14</f>
        <v>0.15370450873974734</v>
      </c>
      <c r="R13" s="42">
        <f>+'P&amp;L'!R14</f>
        <v>0.16292677926413218</v>
      </c>
      <c r="S13" s="42">
        <f>+'P&amp;L'!S14</f>
        <v>0.17270238601998011</v>
      </c>
      <c r="T13" s="42">
        <f>+'P&amp;L'!T14</f>
        <v>0.18306452918117891</v>
      </c>
      <c r="U13" s="42">
        <f>+'P&amp;L'!U14</f>
        <v>0.19404840093204964</v>
      </c>
      <c r="V13" s="42">
        <f>+'P&amp;L'!V14</f>
        <v>0.20569130498797261</v>
      </c>
      <c r="W13" s="42">
        <f>+'P&amp;L'!W14</f>
        <v>0.21803278328725098</v>
      </c>
      <c r="X13" s="42">
        <f>+'P&amp;L'!X14</f>
        <v>0.23111475028448603</v>
      </c>
      <c r="Y13" s="42">
        <f>+'P&amp;L'!Y14</f>
        <v>0.2449816353015552</v>
      </c>
      <c r="Z13" s="42">
        <f>+'P&amp;L'!Z14</f>
        <v>0.25968053341964853</v>
      </c>
    </row>
    <row r="14" spans="1:28" s="70" customFormat="1" ht="21" customHeight="1" thickBot="1">
      <c r="A14" s="80" t="s">
        <v>80</v>
      </c>
      <c r="B14" s="81">
        <f>B13+B12</f>
        <v>2.2511877164849032</v>
      </c>
      <c r="C14" s="81">
        <f t="shared" ref="C14:Z14" si="0">C13+C12</f>
        <v>2.3011618671981187</v>
      </c>
      <c r="D14" s="81">
        <f t="shared" si="0"/>
        <v>2.2873754606267993</v>
      </c>
      <c r="E14" s="81">
        <f t="shared" si="0"/>
        <v>2.2739767186100277</v>
      </c>
      <c r="F14" s="81">
        <f t="shared" si="0"/>
        <v>2.2609791822294847</v>
      </c>
      <c r="G14" s="81">
        <f t="shared" si="0"/>
        <v>2.2483972827820851</v>
      </c>
      <c r="H14" s="81">
        <f t="shared" si="0"/>
        <v>2.2362463945708919</v>
      </c>
      <c r="I14" s="81">
        <f t="shared" si="0"/>
        <v>2.2245428908684524</v>
      </c>
      <c r="J14" s="81">
        <f t="shared" si="0"/>
        <v>2.2133042032428794</v>
      </c>
      <c r="K14" s="81">
        <f t="shared" si="0"/>
        <v>2.2025488844483938</v>
      </c>
      <c r="L14" s="81">
        <f t="shared" si="0"/>
        <v>2.192296675094151</v>
      </c>
      <c r="M14" s="81">
        <f t="shared" si="0"/>
        <v>2.1825685743180228</v>
      </c>
      <c r="N14" s="81">
        <f t="shared" si="0"/>
        <v>2.1733869147055818</v>
      </c>
      <c r="O14" s="81">
        <f t="shared" si="0"/>
        <v>2.1647754417089664</v>
      </c>
      <c r="P14" s="81">
        <f t="shared" si="0"/>
        <v>2.1567593978355855</v>
      </c>
      <c r="Q14" s="81">
        <f t="shared" si="0"/>
        <v>2.1493656118928093</v>
      </c>
      <c r="R14" s="81">
        <f t="shared" si="0"/>
        <v>2.1426225935919692</v>
      </c>
      <c r="S14" s="81">
        <f t="shared" si="0"/>
        <v>2.1365606338331942</v>
      </c>
      <c r="T14" s="81">
        <f t="shared" si="0"/>
        <v>2.1312119110118877</v>
      </c>
      <c r="U14" s="81">
        <f t="shared" si="0"/>
        <v>2.1266106037081127</v>
      </c>
      <c r="V14" s="81">
        <f t="shared" si="0"/>
        <v>2.1227930101418271</v>
      </c>
      <c r="W14" s="81">
        <f t="shared" si="0"/>
        <v>2.1197976747998748</v>
      </c>
      <c r="X14" s="81">
        <f t="shared" si="0"/>
        <v>2.1176655226650087</v>
      </c>
      <c r="Y14" s="81">
        <f t="shared" si="0"/>
        <v>2.1164400015030336</v>
      </c>
      <c r="Z14" s="81">
        <f t="shared" si="0"/>
        <v>2.1161672326915153</v>
      </c>
      <c r="AB14" s="74"/>
    </row>
    <row r="15" spans="1:28" s="70" customFormat="1" ht="21" customHeight="1" thickTop="1">
      <c r="A15" s="40" t="s">
        <v>87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B15" s="74"/>
    </row>
    <row r="16" spans="1:28" ht="21" customHeight="1">
      <c r="A16" s="73" t="s">
        <v>82</v>
      </c>
      <c r="B16" s="42">
        <f>+'P&amp;L'!B17</f>
        <v>0.02</v>
      </c>
      <c r="C16" s="42">
        <f>+'P&amp;L'!C17</f>
        <v>2.0199999999999999E-2</v>
      </c>
      <c r="D16" s="42">
        <f>+'P&amp;L'!D17</f>
        <v>2.0402E-2</v>
      </c>
      <c r="E16" s="42">
        <f>+'P&amp;L'!E17</f>
        <v>2.0606019999999999E-2</v>
      </c>
      <c r="F16" s="42">
        <f>+'P&amp;L'!F17</f>
        <v>2.0812080199999999E-2</v>
      </c>
      <c r="G16" s="42">
        <f>+'P&amp;L'!G17</f>
        <v>2.1020201002E-2</v>
      </c>
      <c r="H16" s="42">
        <f>+'P&amp;L'!H17</f>
        <v>2.1230403012020001E-2</v>
      </c>
      <c r="I16" s="42">
        <f>+'P&amp;L'!I17</f>
        <v>2.1442707042140203E-2</v>
      </c>
      <c r="J16" s="42">
        <f>+'P&amp;L'!J17</f>
        <v>2.1657134112561604E-2</v>
      </c>
      <c r="K16" s="42">
        <f>+'P&amp;L'!K17</f>
        <v>2.187370545368722E-2</v>
      </c>
      <c r="L16" s="42">
        <f>+'P&amp;L'!L17</f>
        <v>2.2092442508224092E-2</v>
      </c>
      <c r="M16" s="42">
        <f>+'P&amp;L'!M17</f>
        <v>2.2313366933306333E-2</v>
      </c>
      <c r="N16" s="42">
        <f>+'P&amp;L'!N17</f>
        <v>2.2536500602639398E-2</v>
      </c>
      <c r="O16" s="42">
        <f>+'P&amp;L'!O17</f>
        <v>2.2761865608665791E-2</v>
      </c>
      <c r="P16" s="42">
        <f>+'P&amp;L'!P17</f>
        <v>2.298948426475245E-2</v>
      </c>
      <c r="Q16" s="42">
        <f>+'P&amp;L'!Q17</f>
        <v>2.3219379107399976E-2</v>
      </c>
      <c r="R16" s="42">
        <f>+'P&amp;L'!R17</f>
        <v>2.3451572898473976E-2</v>
      </c>
      <c r="S16" s="42">
        <f>+'P&amp;L'!S17</f>
        <v>2.3686088627458714E-2</v>
      </c>
      <c r="T16" s="42">
        <f>+'P&amp;L'!T17</f>
        <v>2.3922949513733301E-2</v>
      </c>
      <c r="U16" s="42">
        <f>+'P&amp;L'!U17</f>
        <v>2.4162179008870636E-2</v>
      </c>
      <c r="V16" s="42">
        <f>+'P&amp;L'!V17</f>
        <v>2.4403800798959343E-2</v>
      </c>
      <c r="W16" s="42">
        <f>+'P&amp;L'!W17</f>
        <v>2.4647838806948937E-2</v>
      </c>
      <c r="X16" s="42">
        <f>+'P&amp;L'!X17</f>
        <v>2.4894317195018428E-2</v>
      </c>
      <c r="Y16" s="42">
        <f>+'P&amp;L'!Y17</f>
        <v>2.5143260366968612E-2</v>
      </c>
      <c r="Z16" s="42">
        <f>+'P&amp;L'!Z17</f>
        <v>2.5394692970638299E-2</v>
      </c>
      <c r="AB16" s="43"/>
    </row>
    <row r="17" spans="1:28" ht="21" customHeight="1">
      <c r="A17" s="73" t="s">
        <v>292</v>
      </c>
      <c r="B17" s="42">
        <f>+'P&amp;L'!B18</f>
        <v>0</v>
      </c>
      <c r="C17" s="42">
        <f>+'P&amp;L'!C18</f>
        <v>0</v>
      </c>
      <c r="D17" s="42">
        <f>+'P&amp;L'!D18</f>
        <v>0</v>
      </c>
      <c r="E17" s="42">
        <f>+'P&amp;L'!E18</f>
        <v>0</v>
      </c>
      <c r="F17" s="42">
        <f>+'P&amp;L'!F18</f>
        <v>0</v>
      </c>
      <c r="G17" s="42">
        <f>+'P&amp;L'!G18</f>
        <v>0</v>
      </c>
      <c r="H17" s="42">
        <f>+'P&amp;L'!H18</f>
        <v>0</v>
      </c>
      <c r="I17" s="42">
        <f>+'P&amp;L'!I18</f>
        <v>0</v>
      </c>
      <c r="J17" s="42">
        <f>+'P&amp;L'!J18</f>
        <v>0</v>
      </c>
      <c r="K17" s="42">
        <f>+'P&amp;L'!K18</f>
        <v>0</v>
      </c>
      <c r="L17" s="42">
        <f>+'P&amp;L'!L18</f>
        <v>0</v>
      </c>
      <c r="M17" s="42">
        <f>+'P&amp;L'!M18</f>
        <v>0</v>
      </c>
      <c r="N17" s="42">
        <f>+'P&amp;L'!N18</f>
        <v>0</v>
      </c>
      <c r="O17" s="42">
        <f>+'P&amp;L'!O18</f>
        <v>0</v>
      </c>
      <c r="P17" s="42">
        <f>+'P&amp;L'!P18</f>
        <v>0</v>
      </c>
      <c r="Q17" s="42">
        <f>+'P&amp;L'!Q18</f>
        <v>0</v>
      </c>
      <c r="R17" s="42">
        <f>+'P&amp;L'!R18</f>
        <v>0</v>
      </c>
      <c r="S17" s="42">
        <f>+'P&amp;L'!S18</f>
        <v>0</v>
      </c>
      <c r="T17" s="42">
        <f>+'P&amp;L'!T18</f>
        <v>0</v>
      </c>
      <c r="U17" s="42">
        <f>+'P&amp;L'!U18</f>
        <v>0</v>
      </c>
      <c r="V17" s="42">
        <f>+'P&amp;L'!V18</f>
        <v>0</v>
      </c>
      <c r="W17" s="42">
        <f>+'P&amp;L'!W18</f>
        <v>0</v>
      </c>
      <c r="X17" s="42">
        <f>+'P&amp;L'!X18</f>
        <v>0</v>
      </c>
      <c r="Y17" s="42">
        <f>+'P&amp;L'!Y18</f>
        <v>0</v>
      </c>
      <c r="Z17" s="42">
        <f>+'P&amp;L'!Z18</f>
        <v>0</v>
      </c>
      <c r="AB17" s="43"/>
    </row>
    <row r="18" spans="1:28" ht="25.5">
      <c r="A18" s="73" t="s">
        <v>293</v>
      </c>
      <c r="B18" s="42">
        <f>+'P&amp;L'!B19</f>
        <v>0</v>
      </c>
      <c r="C18" s="42">
        <f>+'P&amp;L'!C19</f>
        <v>0</v>
      </c>
      <c r="D18" s="42">
        <f>+'P&amp;L'!D19</f>
        <v>0</v>
      </c>
      <c r="E18" s="42">
        <f>+'P&amp;L'!E19</f>
        <v>0</v>
      </c>
      <c r="F18" s="42">
        <f>+'P&amp;L'!F19</f>
        <v>0</v>
      </c>
      <c r="G18" s="42">
        <f>+'P&amp;L'!G19</f>
        <v>0</v>
      </c>
      <c r="H18" s="42">
        <f>+'P&amp;L'!H19</f>
        <v>0</v>
      </c>
      <c r="I18" s="42">
        <f>+'P&amp;L'!I19</f>
        <v>0</v>
      </c>
      <c r="J18" s="42">
        <f>+'P&amp;L'!J19</f>
        <v>0</v>
      </c>
      <c r="K18" s="42">
        <f>+'P&amp;L'!K19</f>
        <v>0</v>
      </c>
      <c r="L18" s="42">
        <f>+'P&amp;L'!L19</f>
        <v>0</v>
      </c>
      <c r="M18" s="42">
        <f>+'P&amp;L'!M19</f>
        <v>0</v>
      </c>
      <c r="N18" s="42">
        <f>+'P&amp;L'!N19</f>
        <v>0</v>
      </c>
      <c r="O18" s="42">
        <f>+'P&amp;L'!O19</f>
        <v>0</v>
      </c>
      <c r="P18" s="42">
        <f>+'P&amp;L'!P19</f>
        <v>0</v>
      </c>
      <c r="Q18" s="42">
        <f>+'P&amp;L'!Q19</f>
        <v>0</v>
      </c>
      <c r="R18" s="42">
        <f>+'P&amp;L'!R19</f>
        <v>0</v>
      </c>
      <c r="S18" s="42">
        <f>+'P&amp;L'!S19</f>
        <v>0</v>
      </c>
      <c r="T18" s="42">
        <f>+'P&amp;L'!T19</f>
        <v>0</v>
      </c>
      <c r="U18" s="42">
        <f>+'P&amp;L'!U19</f>
        <v>0</v>
      </c>
      <c r="V18" s="42">
        <f>+'P&amp;L'!V19</f>
        <v>0</v>
      </c>
      <c r="W18" s="42">
        <f>+'P&amp;L'!W19</f>
        <v>0</v>
      </c>
      <c r="X18" s="42">
        <f>+'P&amp;L'!X19</f>
        <v>0</v>
      </c>
      <c r="Y18" s="42">
        <f>+'P&amp;L'!Y19</f>
        <v>0</v>
      </c>
      <c r="Z18" s="42">
        <f>+'P&amp;L'!Z19</f>
        <v>0</v>
      </c>
      <c r="AB18" s="43"/>
    </row>
    <row r="19" spans="1:28" ht="29.25" customHeight="1">
      <c r="A19" s="73" t="s">
        <v>79</v>
      </c>
      <c r="B19" s="42">
        <f>+'P&amp;L'!B20</f>
        <v>0</v>
      </c>
      <c r="C19" s="42">
        <f>+'P&amp;L'!C20</f>
        <v>0.16100999999999999</v>
      </c>
      <c r="D19" s="42">
        <f>+'P&amp;L'!D20</f>
        <v>0.16262009999999999</v>
      </c>
      <c r="E19" s="42">
        <f>+'P&amp;L'!E20</f>
        <v>0.16424630099999998</v>
      </c>
      <c r="F19" s="42">
        <f>+'P&amp;L'!F20</f>
        <v>0.16588876400999999</v>
      </c>
      <c r="G19" s="42">
        <f>+'P&amp;L'!G20</f>
        <v>0.16754765165009999</v>
      </c>
      <c r="H19" s="42">
        <f>+'P&amp;L'!H20</f>
        <v>0.16922312816660098</v>
      </c>
      <c r="I19" s="42">
        <f>+'P&amp;L'!I20</f>
        <v>0.170915359448267</v>
      </c>
      <c r="J19" s="42">
        <f>+'P&amp;L'!J20</f>
        <v>0.17262451304274967</v>
      </c>
      <c r="K19" s="42">
        <f>+'P&amp;L'!K20</f>
        <v>0.17435075817317716</v>
      </c>
      <c r="L19" s="42">
        <f>+'P&amp;L'!L20</f>
        <v>0.17609426575490894</v>
      </c>
      <c r="M19" s="42">
        <f>+'P&amp;L'!M20</f>
        <v>0.17785520841245803</v>
      </c>
      <c r="N19" s="42">
        <f>+'P&amp;L'!N20</f>
        <v>0.17963376049658261</v>
      </c>
      <c r="O19" s="42">
        <f>+'P&amp;L'!O20</f>
        <v>0.18143009810154845</v>
      </c>
      <c r="P19" s="42">
        <f>+'P&amp;L'!P20</f>
        <v>0.18324439908256393</v>
      </c>
      <c r="Q19" s="42">
        <f>+'P&amp;L'!Q20</f>
        <v>0.18507684307338956</v>
      </c>
      <c r="R19" s="42">
        <f>+'P&amp;L'!R20</f>
        <v>0.18692761150412346</v>
      </c>
      <c r="S19" s="42">
        <f>+'P&amp;L'!S20</f>
        <v>0.18879688761916469</v>
      </c>
      <c r="T19" s="42">
        <f>+'P&amp;L'!T20</f>
        <v>0.19068485649535633</v>
      </c>
      <c r="U19" s="42">
        <f>+'P&amp;L'!U20</f>
        <v>0.1925917050603099</v>
      </c>
      <c r="V19" s="42">
        <f>+'P&amp;L'!V20</f>
        <v>0.194517622110913</v>
      </c>
      <c r="W19" s="42">
        <f>+'P&amp;L'!W20</f>
        <v>0.19646279833202213</v>
      </c>
      <c r="X19" s="42">
        <f>+'P&amp;L'!X20</f>
        <v>0.19842742631534235</v>
      </c>
      <c r="Y19" s="42">
        <f>+'P&amp;L'!Y20</f>
        <v>0.20041170057849578</v>
      </c>
      <c r="Z19" s="42">
        <f>+'P&amp;L'!Z20</f>
        <v>0.20241581758428073</v>
      </c>
      <c r="AB19" s="43"/>
    </row>
    <row r="20" spans="1:28" ht="21" customHeight="1">
      <c r="A20" s="73" t="s">
        <v>120</v>
      </c>
      <c r="B20" s="42">
        <f>+'P&amp;L'!B21</f>
        <v>2.7410342399999999E-2</v>
      </c>
      <c r="C20" s="42">
        <f>+'P&amp;L'!C21</f>
        <v>2.62682448E-2</v>
      </c>
      <c r="D20" s="42">
        <f>+'P&amp;L'!D21</f>
        <v>2.5126147199999997E-2</v>
      </c>
      <c r="E20" s="42">
        <f>+'P&amp;L'!E21</f>
        <v>2.3984049599999998E-2</v>
      </c>
      <c r="F20" s="42">
        <f>+'P&amp;L'!F21</f>
        <v>2.2841951999999999E-2</v>
      </c>
      <c r="G20" s="42">
        <f>+'P&amp;L'!G21</f>
        <v>2.1699854399999999E-2</v>
      </c>
      <c r="H20" s="42">
        <f>+'P&amp;L'!H21</f>
        <v>2.05577568E-2</v>
      </c>
      <c r="I20" s="42">
        <f>+'P&amp;L'!I21</f>
        <v>1.9415659200000001E-2</v>
      </c>
      <c r="J20" s="42">
        <f>+'P&amp;L'!J21</f>
        <v>1.8273561600000002E-2</v>
      </c>
      <c r="K20" s="42">
        <f>+'P&amp;L'!K21</f>
        <v>1.7131464000000002E-2</v>
      </c>
      <c r="L20" s="42">
        <f>+'P&amp;L'!L21</f>
        <v>1.5989366400000003E-2</v>
      </c>
      <c r="M20" s="42">
        <f>+'P&amp;L'!M21</f>
        <v>1.4847268800000002E-2</v>
      </c>
      <c r="N20" s="42">
        <f>+'P&amp;L'!N21</f>
        <v>1.3705171200000003E-2</v>
      </c>
      <c r="O20" s="42">
        <f>+'P&amp;L'!O21</f>
        <v>1.2563073600000004E-2</v>
      </c>
      <c r="P20" s="42">
        <f>+'P&amp;L'!P21</f>
        <v>1.1420976000000003E-2</v>
      </c>
      <c r="Q20" s="42">
        <f>+'P&amp;L'!Q21</f>
        <v>1.0278878400000004E-2</v>
      </c>
      <c r="R20" s="42">
        <f>+'P&amp;L'!R21</f>
        <v>9.1367808000000043E-3</v>
      </c>
      <c r="S20" s="42">
        <f>+'P&amp;L'!S21</f>
        <v>7.9946832000000051E-3</v>
      </c>
      <c r="T20" s="42">
        <f>+'P&amp;L'!T21</f>
        <v>6.852585600000005E-3</v>
      </c>
      <c r="U20" s="42">
        <f>+'P&amp;L'!U21</f>
        <v>5.7104880000000049E-3</v>
      </c>
      <c r="V20" s="42">
        <f>+'P&amp;L'!V21</f>
        <v>4.5683904000000056E-3</v>
      </c>
      <c r="W20" s="42">
        <f>+'P&amp;L'!W21</f>
        <v>3.426292800000006E-3</v>
      </c>
      <c r="X20" s="42">
        <f>+'P&amp;L'!X21</f>
        <v>2.2841952000000063E-3</v>
      </c>
      <c r="Y20" s="42">
        <f>+'P&amp;L'!Y21</f>
        <v>1.1420976000000066E-3</v>
      </c>
      <c r="Z20" s="42">
        <f>+'P&amp;L'!Z21</f>
        <v>6.661338147750939E-18</v>
      </c>
      <c r="AB20" s="43"/>
    </row>
    <row r="21" spans="1:28" s="70" customFormat="1" ht="21" customHeight="1" thickBot="1">
      <c r="A21" s="80" t="s">
        <v>63</v>
      </c>
      <c r="B21" s="81">
        <f>SUM(B16:B20)</f>
        <v>4.74103424E-2</v>
      </c>
      <c r="C21" s="81">
        <f>SUM(C16:C20)</f>
        <v>0.20747824479999999</v>
      </c>
      <c r="D21" s="81">
        <f t="shared" ref="D21:Z21" si="1">SUM(D16:D20)</f>
        <v>0.2081482472</v>
      </c>
      <c r="E21" s="81">
        <f t="shared" si="1"/>
        <v>0.20883637059999999</v>
      </c>
      <c r="F21" s="81">
        <f t="shared" si="1"/>
        <v>0.20954279620999999</v>
      </c>
      <c r="G21" s="81">
        <f t="shared" si="1"/>
        <v>0.21026770705209999</v>
      </c>
      <c r="H21" s="81">
        <f t="shared" si="1"/>
        <v>0.21101128797862098</v>
      </c>
      <c r="I21" s="81">
        <f t="shared" si="1"/>
        <v>0.2117737256904072</v>
      </c>
      <c r="J21" s="81">
        <f t="shared" si="1"/>
        <v>0.21255520875531125</v>
      </c>
      <c r="K21" s="81">
        <f t="shared" si="1"/>
        <v>0.21335592762686439</v>
      </c>
      <c r="L21" s="81">
        <f t="shared" si="1"/>
        <v>0.21417607466313304</v>
      </c>
      <c r="M21" s="81">
        <f t="shared" si="1"/>
        <v>0.21501584414576436</v>
      </c>
      <c r="N21" s="81">
        <f t="shared" si="1"/>
        <v>0.21587543229922201</v>
      </c>
      <c r="O21" s="81">
        <f t="shared" si="1"/>
        <v>0.21675503731021425</v>
      </c>
      <c r="P21" s="81">
        <f t="shared" si="1"/>
        <v>0.21765485934731638</v>
      </c>
      <c r="Q21" s="81">
        <f t="shared" si="1"/>
        <v>0.21857510058078952</v>
      </c>
      <c r="R21" s="81">
        <f t="shared" si="1"/>
        <v>0.21951596520259742</v>
      </c>
      <c r="S21" s="81">
        <f t="shared" si="1"/>
        <v>0.2204776594466234</v>
      </c>
      <c r="T21" s="81">
        <f t="shared" si="1"/>
        <v>0.22146039160908965</v>
      </c>
      <c r="U21" s="81">
        <f t="shared" si="1"/>
        <v>0.22246437206918054</v>
      </c>
      <c r="V21" s="81">
        <f t="shared" si="1"/>
        <v>0.22348981330987236</v>
      </c>
      <c r="W21" s="81">
        <f t="shared" si="1"/>
        <v>0.22453692993897106</v>
      </c>
      <c r="X21" s="81">
        <f t="shared" si="1"/>
        <v>0.22560593871036078</v>
      </c>
      <c r="Y21" s="81">
        <f t="shared" si="1"/>
        <v>0.2266970585454644</v>
      </c>
      <c r="Z21" s="81">
        <f t="shared" si="1"/>
        <v>0.22781051055491902</v>
      </c>
      <c r="AB21" s="74"/>
    </row>
    <row r="22" spans="1:28" s="85" customFormat="1" ht="21" customHeight="1" thickTop="1">
      <c r="A22" s="83" t="s">
        <v>8</v>
      </c>
      <c r="B22" s="84">
        <f>B14-B21</f>
        <v>2.2037773740849032</v>
      </c>
      <c r="C22" s="84">
        <f t="shared" ref="C22:Z22" si="2">C14-C21</f>
        <v>2.0936836223981188</v>
      </c>
      <c r="D22" s="84">
        <f t="shared" si="2"/>
        <v>2.0792272134267993</v>
      </c>
      <c r="E22" s="84">
        <f t="shared" si="2"/>
        <v>2.0651403480100279</v>
      </c>
      <c r="F22" s="84">
        <f t="shared" si="2"/>
        <v>2.0514363860194846</v>
      </c>
      <c r="G22" s="84">
        <f t="shared" si="2"/>
        <v>2.0381295757299851</v>
      </c>
      <c r="H22" s="84">
        <f t="shared" si="2"/>
        <v>2.0252351065922709</v>
      </c>
      <c r="I22" s="84">
        <f t="shared" si="2"/>
        <v>2.012769165178045</v>
      </c>
      <c r="J22" s="84">
        <f t="shared" si="2"/>
        <v>2.000748994487568</v>
      </c>
      <c r="K22" s="84">
        <f t="shared" si="2"/>
        <v>1.9891929568215294</v>
      </c>
      <c r="L22" s="84">
        <f t="shared" si="2"/>
        <v>1.9781206004310179</v>
      </c>
      <c r="M22" s="84">
        <f t="shared" si="2"/>
        <v>1.9675527301722584</v>
      </c>
      <c r="N22" s="84">
        <f t="shared" si="2"/>
        <v>1.9575114824063597</v>
      </c>
      <c r="O22" s="84">
        <f t="shared" si="2"/>
        <v>1.9480204043987521</v>
      </c>
      <c r="P22" s="84">
        <f t="shared" si="2"/>
        <v>1.939104538488269</v>
      </c>
      <c r="Q22" s="84">
        <f t="shared" si="2"/>
        <v>1.9307905113120198</v>
      </c>
      <c r="R22" s="84">
        <f t="shared" si="2"/>
        <v>1.9231066283893719</v>
      </c>
      <c r="S22" s="84">
        <f t="shared" si="2"/>
        <v>1.9160829743865708</v>
      </c>
      <c r="T22" s="84">
        <f t="shared" si="2"/>
        <v>1.9097515194027981</v>
      </c>
      <c r="U22" s="84">
        <f t="shared" si="2"/>
        <v>1.9041462316389322</v>
      </c>
      <c r="V22" s="84">
        <f t="shared" si="2"/>
        <v>1.8993031968319547</v>
      </c>
      <c r="W22" s="84">
        <f t="shared" si="2"/>
        <v>1.8952607448609038</v>
      </c>
      <c r="X22" s="84">
        <f t="shared" si="2"/>
        <v>1.8920595839546479</v>
      </c>
      <c r="Y22" s="84">
        <f t="shared" si="2"/>
        <v>1.8897429429575692</v>
      </c>
      <c r="Z22" s="84">
        <f t="shared" si="2"/>
        <v>1.8883567221365962</v>
      </c>
      <c r="AB22" s="86"/>
    </row>
    <row r="23" spans="1:28" ht="21" customHeight="1">
      <c r="A23" s="41" t="s">
        <v>89</v>
      </c>
      <c r="B23" s="42">
        <f>+'P&amp;L'!B26</f>
        <v>0.57104879999999991</v>
      </c>
      <c r="C23" s="42">
        <f>+'P&amp;L'!C26</f>
        <v>0.57104879999999991</v>
      </c>
      <c r="D23" s="42">
        <f>+'P&amp;L'!D26</f>
        <v>0.57104879999999991</v>
      </c>
      <c r="E23" s="42">
        <f>+'P&amp;L'!E26</f>
        <v>0.57104879999999991</v>
      </c>
      <c r="F23" s="42">
        <f>+'P&amp;L'!F26</f>
        <v>0.57104879999999991</v>
      </c>
      <c r="G23" s="42">
        <f>+'P&amp;L'!G26</f>
        <v>0.57104879999999991</v>
      </c>
      <c r="H23" s="42">
        <f>+'P&amp;L'!H26</f>
        <v>0.57104879999999991</v>
      </c>
      <c r="I23" s="42">
        <f>+'P&amp;L'!I26</f>
        <v>0.57104879999999991</v>
      </c>
      <c r="J23" s="42">
        <f>+'P&amp;L'!J26</f>
        <v>0.57104879999999991</v>
      </c>
      <c r="K23" s="42">
        <f>+'P&amp;L'!K26</f>
        <v>0.57104879999999991</v>
      </c>
      <c r="L23" s="42">
        <f>+'P&amp;L'!L26</f>
        <v>0.57104879999999991</v>
      </c>
      <c r="M23" s="42">
        <f>+'P&amp;L'!M26</f>
        <v>0.57104879999999991</v>
      </c>
      <c r="N23" s="42">
        <f>+'P&amp;L'!N26</f>
        <v>0.57104879999999991</v>
      </c>
      <c r="O23" s="42">
        <f>+'P&amp;L'!O26</f>
        <v>0.57104879999999991</v>
      </c>
      <c r="P23" s="42">
        <f>+'P&amp;L'!P26</f>
        <v>0.57104879999999991</v>
      </c>
      <c r="Q23" s="42">
        <f>+'P&amp;L'!Q26</f>
        <v>0.57104879999999991</v>
      </c>
      <c r="R23" s="42">
        <f>+'P&amp;L'!R26</f>
        <v>0.57104879999999991</v>
      </c>
      <c r="S23" s="42">
        <f>+'P&amp;L'!S26</f>
        <v>0.57104879999999991</v>
      </c>
      <c r="T23" s="42">
        <f>+'P&amp;L'!T26</f>
        <v>0.57104879999999991</v>
      </c>
      <c r="U23" s="42">
        <f>+'P&amp;L'!U26</f>
        <v>0.57104879999999991</v>
      </c>
      <c r="V23" s="42">
        <f>+'P&amp;L'!V26</f>
        <v>0.57104879999999991</v>
      </c>
      <c r="W23" s="42">
        <f>+'P&amp;L'!W26</f>
        <v>0.57104879999999991</v>
      </c>
      <c r="X23" s="42">
        <f>+'P&amp;L'!X26</f>
        <v>0.57104879999999991</v>
      </c>
      <c r="Y23" s="42">
        <f>+'P&amp;L'!Y26</f>
        <v>0.57104879999999991</v>
      </c>
      <c r="Z23" s="42">
        <f>+'P&amp;L'!Z26</f>
        <v>0.57104879999999991</v>
      </c>
      <c r="AB23" s="43"/>
    </row>
    <row r="24" spans="1:28" ht="21" customHeight="1" thickBot="1">
      <c r="A24" s="80" t="s">
        <v>91</v>
      </c>
      <c r="B24" s="81">
        <f>B22-B23</f>
        <v>1.6327285740849034</v>
      </c>
      <c r="C24" s="81">
        <f t="shared" ref="C24:Z24" si="3">C22-C23</f>
        <v>1.522634822398119</v>
      </c>
      <c r="D24" s="81">
        <f t="shared" si="3"/>
        <v>1.5081784134267995</v>
      </c>
      <c r="E24" s="81">
        <f t="shared" si="3"/>
        <v>1.4940915480100281</v>
      </c>
      <c r="F24" s="81">
        <f t="shared" si="3"/>
        <v>1.4803875860194848</v>
      </c>
      <c r="G24" s="81">
        <f t="shared" si="3"/>
        <v>1.4670807757299853</v>
      </c>
      <c r="H24" s="81">
        <f t="shared" si="3"/>
        <v>1.4541863065922711</v>
      </c>
      <c r="I24" s="81">
        <f t="shared" si="3"/>
        <v>1.4417203651780452</v>
      </c>
      <c r="J24" s="81">
        <f t="shared" si="3"/>
        <v>1.4297001944875682</v>
      </c>
      <c r="K24" s="81">
        <f t="shared" si="3"/>
        <v>1.4181441568215294</v>
      </c>
      <c r="L24" s="81">
        <f t="shared" si="3"/>
        <v>1.4070718004310181</v>
      </c>
      <c r="M24" s="81">
        <f t="shared" si="3"/>
        <v>1.3965039301722584</v>
      </c>
      <c r="N24" s="81">
        <f t="shared" si="3"/>
        <v>1.3864626824063597</v>
      </c>
      <c r="O24" s="81">
        <f t="shared" si="3"/>
        <v>1.3769716043987521</v>
      </c>
      <c r="P24" s="81">
        <f t="shared" si="3"/>
        <v>1.3680557384882692</v>
      </c>
      <c r="Q24" s="81">
        <f t="shared" si="3"/>
        <v>1.35974171131202</v>
      </c>
      <c r="R24" s="81">
        <f t="shared" si="3"/>
        <v>1.3520578283893721</v>
      </c>
      <c r="S24" s="81">
        <f t="shared" si="3"/>
        <v>1.345034174386571</v>
      </c>
      <c r="T24" s="81">
        <f t="shared" si="3"/>
        <v>1.3387027194027983</v>
      </c>
      <c r="U24" s="81">
        <f t="shared" si="3"/>
        <v>1.3330974316389321</v>
      </c>
      <c r="V24" s="81">
        <f t="shared" si="3"/>
        <v>1.3282543968319547</v>
      </c>
      <c r="W24" s="81">
        <f t="shared" si="3"/>
        <v>1.3242119448609038</v>
      </c>
      <c r="X24" s="81">
        <f t="shared" si="3"/>
        <v>1.3210107839546481</v>
      </c>
      <c r="Y24" s="81">
        <f t="shared" si="3"/>
        <v>1.3186941429575691</v>
      </c>
      <c r="Z24" s="81">
        <f t="shared" si="3"/>
        <v>1.3173079221365964</v>
      </c>
      <c r="AB24" s="43"/>
    </row>
    <row r="25" spans="1:28" ht="21" customHeight="1" thickTop="1">
      <c r="A25" s="38" t="s">
        <v>92</v>
      </c>
      <c r="B25" s="79">
        <f>IF(B24*'Dashboard-Input&amp;Output'!$I$25&gt;0,B24*'Dashboard-Input&amp;Output'!$I$25,0)</f>
        <v>0</v>
      </c>
      <c r="C25" s="79">
        <f>IF(C24*'Dashboard-Input&amp;Output'!$I$25&gt;0,C24*'Dashboard-Input&amp;Output'!$I$25,0)</f>
        <v>0</v>
      </c>
      <c r="D25" s="79">
        <f>IF(D24*'Dashboard-Input&amp;Output'!$I$25&gt;0,D24*'Dashboard-Input&amp;Output'!$I$25,0)</f>
        <v>0</v>
      </c>
      <c r="E25" s="79">
        <f>IF(E24*'Dashboard-Input&amp;Output'!$I$25&gt;0,E24*'Dashboard-Input&amp;Output'!$I$25,0)</f>
        <v>0</v>
      </c>
      <c r="F25" s="79">
        <f>IF(F24*'Dashboard-Input&amp;Output'!$I$25&gt;0,F24*'Dashboard-Input&amp;Output'!$I$25,0)</f>
        <v>0</v>
      </c>
      <c r="G25" s="79">
        <f>IF(G24*'Dashboard-Input&amp;Output'!$I$25&gt;0,G24*'Dashboard-Input&amp;Output'!$I$25,0)</f>
        <v>0</v>
      </c>
      <c r="H25" s="79">
        <f>IF(H24*'Dashboard-Input&amp;Output'!$I$25&gt;0,H24*'Dashboard-Input&amp;Output'!$I$25,0)</f>
        <v>0</v>
      </c>
      <c r="I25" s="79">
        <f>IF(I24*'Dashboard-Input&amp;Output'!$I$25&gt;0,I24*'Dashboard-Input&amp;Output'!$I$25,0)</f>
        <v>0</v>
      </c>
      <c r="J25" s="79">
        <f>IF(J24*'Dashboard-Input&amp;Output'!$I$25&gt;0,J24*'Dashboard-Input&amp;Output'!$I$25,0)</f>
        <v>0</v>
      </c>
      <c r="K25" s="79">
        <f>IF(K24*'Dashboard-Input&amp;Output'!$I$25&gt;0,K24*'Dashboard-Input&amp;Output'!$I$25,0)</f>
        <v>0</v>
      </c>
      <c r="L25" s="79">
        <f>IF(L24*'Dashboard-Input&amp;Output'!$I$26&gt;0,L24*'Dashboard-Input&amp;Output'!$I$26,0)</f>
        <v>0.35176795010775452</v>
      </c>
      <c r="M25" s="79">
        <f>IF(M24*'Dashboard-Input&amp;Output'!$I$26&gt;0,M24*'Dashboard-Input&amp;Output'!$I$26,0)</f>
        <v>0.34912598254306459</v>
      </c>
      <c r="N25" s="79">
        <f>IF(N24*'Dashboard-Input&amp;Output'!$I$26&gt;0,N24*'Dashboard-Input&amp;Output'!$I$26,0)</f>
        <v>0.34661567060158993</v>
      </c>
      <c r="O25" s="79">
        <f>IF(O24*'Dashboard-Input&amp;Output'!$I$26&gt;0,O24*'Dashboard-Input&amp;Output'!$I$26,0)</f>
        <v>0.34424290109968803</v>
      </c>
      <c r="P25" s="79">
        <f>IF(P24*'Dashboard-Input&amp;Output'!$I$26&gt;0,P24*'Dashboard-Input&amp;Output'!$I$26,0)</f>
        <v>0.34201393462206731</v>
      </c>
      <c r="Q25" s="79">
        <f>IF(Q24*'Dashboard-Input&amp;Output'!$I$26&gt;0,Q24*'Dashboard-Input&amp;Output'!$I$26,0)</f>
        <v>0.33993542782800501</v>
      </c>
      <c r="R25" s="79">
        <f>IF(R24*'Dashboard-Input&amp;Output'!$I$26&gt;0,R24*'Dashboard-Input&amp;Output'!$I$26,0)</f>
        <v>0.33801445709734301</v>
      </c>
      <c r="S25" s="79">
        <f>IF(S24*'Dashboard-Input&amp;Output'!$I$26&gt;0,S24*'Dashboard-Input&amp;Output'!$I$26,0)</f>
        <v>0.33625854359664276</v>
      </c>
      <c r="T25" s="79">
        <f>IF(T24*'Dashboard-Input&amp;Output'!$I$26&gt;0,T24*'Dashboard-Input&amp;Output'!$I$26,0)</f>
        <v>0.33467567985069957</v>
      </c>
      <c r="U25" s="79">
        <f>IF(U24*'Dashboard-Input&amp;Output'!$I$26&gt;0,U24*'Dashboard-Input&amp;Output'!$I$26,0)</f>
        <v>0.33327435790973303</v>
      </c>
      <c r="V25" s="79">
        <f>IF(V24*'Dashboard-Input&amp;Output'!$I$26&gt;0,V24*'Dashboard-Input&amp;Output'!$I$26,0)</f>
        <v>0.33206359920798867</v>
      </c>
      <c r="W25" s="79">
        <f>IF(W24*'Dashboard-Input&amp;Output'!$I$26&gt;0,W24*'Dashboard-Input&amp;Output'!$I$26,0)</f>
        <v>0.33105298621522594</v>
      </c>
      <c r="X25" s="79">
        <f>IF(X24*'Dashboard-Input&amp;Output'!$I$26&gt;0,X24*'Dashboard-Input&amp;Output'!$I$26,0)</f>
        <v>0.33025269598866203</v>
      </c>
      <c r="Y25" s="79">
        <f>IF(Y24*'Dashboard-Input&amp;Output'!$I$26&gt;0,Y24*'Dashboard-Input&amp;Output'!$I$26,0)</f>
        <v>0.32967353573939229</v>
      </c>
      <c r="Z25" s="79">
        <f>IF(Z24*'Dashboard-Input&amp;Output'!$I$26&gt;0,Z24*'Dashboard-Input&amp;Output'!$I$26,0)</f>
        <v>0.32932698053414911</v>
      </c>
      <c r="AB25" s="43"/>
    </row>
    <row r="26" spans="1:28" ht="21" customHeight="1">
      <c r="A26" s="169" t="s">
        <v>242</v>
      </c>
      <c r="B26" s="170">
        <v>0</v>
      </c>
      <c r="C26" s="170">
        <v>0</v>
      </c>
      <c r="D26" s="170">
        <v>0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f>IF((SUM($B$26:K26)+IF('Dashboard-Input&amp;Output'!$I$25&gt;0,IRR!L25-IRR!L24*'Dashboard-Input&amp;Output'!$I$25,0))&gt;SUM(IRR!$B$25:$K$25),MAX(0,SUM(IRR!$B$25:$K$25)-SUM(IRR!$B$26:K26)),IF('Dashboard-Input&amp;Output'!$I$25&gt;0,IRR!L25-IRR!L24*'Dashboard-Input&amp;Output'!$I$25,0))</f>
        <v>0</v>
      </c>
      <c r="M26" s="170">
        <f>IF((SUM($B$26:L26)+IF('Dashboard-Input&amp;Output'!$I$25&gt;0,IRR!M25-IRR!M24*'Dashboard-Input&amp;Output'!$I$25,0))&gt;SUM(IRR!$B$25:$K$25),MAX(0,SUM(IRR!$B$25:$K$25)-SUM(IRR!$B$26:L26)),IF('Dashboard-Input&amp;Output'!$I$25&gt;0,IRR!M25-IRR!M24*'Dashboard-Input&amp;Output'!$I$25,0))</f>
        <v>0</v>
      </c>
      <c r="N26" s="170">
        <f>IF((SUM($B$26:M26)+IF('Dashboard-Input&amp;Output'!$I$25&gt;0,IRR!N25-IRR!N24*'Dashboard-Input&amp;Output'!$I$25,0))&gt;SUM(IRR!$B$25:$K$25),MAX(0,SUM(IRR!$B$25:$K$25)-SUM(IRR!$B$26:M26)),IF('Dashboard-Input&amp;Output'!$I$25&gt;0,IRR!N25-IRR!N24*'Dashboard-Input&amp;Output'!$I$25,0))</f>
        <v>0</v>
      </c>
      <c r="O26" s="170">
        <f>IF((SUM($B$26:N26)+IF('Dashboard-Input&amp;Output'!$I$25&gt;0,IRR!O25-IRR!O24*'Dashboard-Input&amp;Output'!$I$25,0))&gt;SUM(IRR!$B$25:$K$25),MAX(0,SUM(IRR!$B$25:$K$25)-SUM(IRR!$B$26:N26)),IF('Dashboard-Input&amp;Output'!$I$25&gt;0,IRR!O25-IRR!O24*'Dashboard-Input&amp;Output'!$I$25,0))</f>
        <v>0</v>
      </c>
      <c r="P26" s="170">
        <f>IF((SUM($B$26:O26)+IF('Dashboard-Input&amp;Output'!$I$25&gt;0,IRR!P25-IRR!P24*'Dashboard-Input&amp;Output'!$I$25,0))&gt;SUM(IRR!$B$25:$K$25),MAX(0,SUM(IRR!$B$25:$K$25)-SUM(IRR!$B$26:O26)),IF('Dashboard-Input&amp;Output'!$I$25&gt;0,IRR!P25-IRR!P24*'Dashboard-Input&amp;Output'!$I$25,0))</f>
        <v>0</v>
      </c>
      <c r="Q26" s="170">
        <f>IF((SUM($B$26:P26)+IF('Dashboard-Input&amp;Output'!$I$25&gt;0,IRR!Q25-IRR!Q24*'Dashboard-Input&amp;Output'!$I$25,0))&gt;SUM(IRR!$B$25:$K$25),MAX(0,SUM(IRR!$B$25:$K$25)-SUM(IRR!$B$26:P26)),IF('Dashboard-Input&amp;Output'!$I$25&gt;0,IRR!Q25-IRR!Q24*'Dashboard-Input&amp;Output'!$I$25,0))</f>
        <v>0</v>
      </c>
      <c r="R26" s="170">
        <f>IF((SUM($B$26:Q26)+IF('Dashboard-Input&amp;Output'!$I$25&gt;0,IRR!R25-IRR!R24*'Dashboard-Input&amp;Output'!$I$25,0))&gt;SUM(IRR!$B$25:$K$25),MAX(0,SUM(IRR!$B$25:$K$25)-SUM(IRR!$B$26:Q26)),IF('Dashboard-Input&amp;Output'!$I$25&gt;0,IRR!R25-IRR!R24*'Dashboard-Input&amp;Output'!$I$25,0))</f>
        <v>0</v>
      </c>
      <c r="S26" s="170">
        <f>IF((SUM($B$26:R26)+IF('Dashboard-Input&amp;Output'!$I$25&gt;0,IRR!S25-IRR!S24*'Dashboard-Input&amp;Output'!$I$25,0))&gt;SUM(IRR!$B$25:$K$25),MAX(0,SUM(IRR!$B$25:$K$25)-SUM(IRR!$B$26:R26)),IF('Dashboard-Input&amp;Output'!$I$25&gt;0,IRR!S25-IRR!S24*'Dashboard-Input&amp;Output'!$I$25,0))</f>
        <v>0</v>
      </c>
      <c r="T26" s="170">
        <f>IF((SUM($B$26:S26)+IF('Dashboard-Input&amp;Output'!$I$25&gt;0,IRR!T25-IRR!T24*'Dashboard-Input&amp;Output'!$I$25,0))&gt;SUM(IRR!$B$25:$K$25),MAX(0,SUM(IRR!$B$25:$K$25)-SUM(IRR!$B$26:S26)),IF('Dashboard-Input&amp;Output'!$I$25&gt;0,IRR!T25-IRR!T24*'Dashboard-Input&amp;Output'!$I$25,0))</f>
        <v>0</v>
      </c>
      <c r="U26" s="170">
        <f>IF((SUM($B$26:T26)+IF('Dashboard-Input&amp;Output'!$I$25&gt;0,IRR!U25-IRR!U24*'Dashboard-Input&amp;Output'!$I$25,0))&gt;SUM(IRR!$B$25:$K$25),MAX(0,SUM(IRR!$B$25:$K$25)-SUM(IRR!$B$26:T26)),IF('Dashboard-Input&amp;Output'!$I$25&gt;0,IRR!U25-IRR!U24*'Dashboard-Input&amp;Output'!$I$25,0))</f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B26" s="43"/>
    </row>
    <row r="27" spans="1:28" s="70" customFormat="1" ht="21" customHeight="1" thickBot="1">
      <c r="A27" s="80" t="s">
        <v>93</v>
      </c>
      <c r="B27" s="81">
        <f>B24-B25+B26</f>
        <v>1.6327285740849034</v>
      </c>
      <c r="C27" s="81">
        <f t="shared" ref="C27:Z27" si="4">C24-C25+C26</f>
        <v>1.522634822398119</v>
      </c>
      <c r="D27" s="81">
        <f t="shared" si="4"/>
        <v>1.5081784134267995</v>
      </c>
      <c r="E27" s="81">
        <f t="shared" si="4"/>
        <v>1.4940915480100281</v>
      </c>
      <c r="F27" s="81">
        <f t="shared" si="4"/>
        <v>1.4803875860194848</v>
      </c>
      <c r="G27" s="81">
        <f t="shared" si="4"/>
        <v>1.4670807757299853</v>
      </c>
      <c r="H27" s="81">
        <f t="shared" si="4"/>
        <v>1.4541863065922711</v>
      </c>
      <c r="I27" s="81">
        <f t="shared" si="4"/>
        <v>1.4417203651780452</v>
      </c>
      <c r="J27" s="81">
        <f t="shared" si="4"/>
        <v>1.4297001944875682</v>
      </c>
      <c r="K27" s="81">
        <f t="shared" si="4"/>
        <v>1.4181441568215294</v>
      </c>
      <c r="L27" s="81">
        <f t="shared" si="4"/>
        <v>1.0553038503232637</v>
      </c>
      <c r="M27" s="81">
        <f t="shared" si="4"/>
        <v>1.0473779476291938</v>
      </c>
      <c r="N27" s="81">
        <f t="shared" si="4"/>
        <v>1.0398470118047698</v>
      </c>
      <c r="O27" s="81">
        <f t="shared" si="4"/>
        <v>1.032728703299064</v>
      </c>
      <c r="P27" s="81">
        <f t="shared" si="4"/>
        <v>1.0260418038662018</v>
      </c>
      <c r="Q27" s="81">
        <f t="shared" si="4"/>
        <v>1.0198062834840149</v>
      </c>
      <c r="R27" s="81">
        <f t="shared" si="4"/>
        <v>1.0140433712920291</v>
      </c>
      <c r="S27" s="81">
        <f t="shared" si="4"/>
        <v>1.0087756307899283</v>
      </c>
      <c r="T27" s="81">
        <f t="shared" si="4"/>
        <v>1.0040270395520987</v>
      </c>
      <c r="U27" s="81">
        <f t="shared" si="4"/>
        <v>0.9998230737291991</v>
      </c>
      <c r="V27" s="81">
        <f t="shared" si="4"/>
        <v>0.99619079762396601</v>
      </c>
      <c r="W27" s="81">
        <f t="shared" si="4"/>
        <v>0.99315895864567783</v>
      </c>
      <c r="X27" s="81">
        <f t="shared" si="4"/>
        <v>0.99075808796598608</v>
      </c>
      <c r="Y27" s="81">
        <f t="shared" si="4"/>
        <v>0.98902060721817686</v>
      </c>
      <c r="Z27" s="81">
        <f t="shared" si="4"/>
        <v>0.98798094160244732</v>
      </c>
      <c r="AB27" s="74"/>
    </row>
    <row r="28" spans="1:28" s="70" customFormat="1" ht="43.5" customHeight="1" thickTop="1">
      <c r="A28" s="88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B28" s="74"/>
    </row>
    <row r="29" spans="1:28" s="70" customFormat="1" ht="15">
      <c r="A29" s="119" t="s">
        <v>249</v>
      </c>
      <c r="B29" s="71">
        <v>0</v>
      </c>
      <c r="C29" s="71">
        <f>+B29+1</f>
        <v>1</v>
      </c>
      <c r="D29" s="71">
        <f t="shared" ref="D29:AA29" si="5">+C29+1</f>
        <v>2</v>
      </c>
      <c r="E29" s="71">
        <f t="shared" si="5"/>
        <v>3</v>
      </c>
      <c r="F29" s="71">
        <f t="shared" si="5"/>
        <v>4</v>
      </c>
      <c r="G29" s="71">
        <f t="shared" si="5"/>
        <v>5</v>
      </c>
      <c r="H29" s="71">
        <f t="shared" si="5"/>
        <v>6</v>
      </c>
      <c r="I29" s="71">
        <f t="shared" si="5"/>
        <v>7</v>
      </c>
      <c r="J29" s="71">
        <f t="shared" si="5"/>
        <v>8</v>
      </c>
      <c r="K29" s="71">
        <f t="shared" si="5"/>
        <v>9</v>
      </c>
      <c r="L29" s="71">
        <f t="shared" si="5"/>
        <v>10</v>
      </c>
      <c r="M29" s="71">
        <f t="shared" si="5"/>
        <v>11</v>
      </c>
      <c r="N29" s="71">
        <f t="shared" si="5"/>
        <v>12</v>
      </c>
      <c r="O29" s="71">
        <f t="shared" si="5"/>
        <v>13</v>
      </c>
      <c r="P29" s="71">
        <f t="shared" si="5"/>
        <v>14</v>
      </c>
      <c r="Q29" s="71">
        <f t="shared" si="5"/>
        <v>15</v>
      </c>
      <c r="R29" s="71">
        <f t="shared" si="5"/>
        <v>16</v>
      </c>
      <c r="S29" s="71">
        <f t="shared" si="5"/>
        <v>17</v>
      </c>
      <c r="T29" s="71">
        <f t="shared" si="5"/>
        <v>18</v>
      </c>
      <c r="U29" s="71">
        <f t="shared" si="5"/>
        <v>19</v>
      </c>
      <c r="V29" s="71">
        <f t="shared" si="5"/>
        <v>20</v>
      </c>
      <c r="W29" s="71">
        <f t="shared" si="5"/>
        <v>21</v>
      </c>
      <c r="X29" s="71">
        <f t="shared" si="5"/>
        <v>22</v>
      </c>
      <c r="Y29" s="71">
        <f t="shared" si="5"/>
        <v>23</v>
      </c>
      <c r="Z29" s="71">
        <f t="shared" si="5"/>
        <v>24</v>
      </c>
      <c r="AA29" s="173">
        <f t="shared" si="5"/>
        <v>25</v>
      </c>
      <c r="AB29" s="74"/>
    </row>
    <row r="30" spans="1:28" s="70" customFormat="1" ht="21.75" customHeight="1">
      <c r="A30" s="119" t="s">
        <v>243</v>
      </c>
      <c r="B30" s="82">
        <f>+'Dashboard-Input&amp;Output'!I22*-1</f>
        <v>-15.0276</v>
      </c>
      <c r="C30" s="82">
        <f>IF(B27&lt;0,B22+(B27*-1)*'Dashboard-Input&amp;Output'!$I$26,B27+B23)</f>
        <v>2.2037773740849032</v>
      </c>
      <c r="D30" s="82">
        <f>IF(C27&lt;0,C22+(C27*-1)*'Dashboard-Input&amp;Output'!$I$26,C27+C23)</f>
        <v>2.0936836223981188</v>
      </c>
      <c r="E30" s="82">
        <f>IF(D27&lt;0,D22+(D27*-1)*'Dashboard-Input&amp;Output'!$I$26,D27+D23)</f>
        <v>2.0792272134267993</v>
      </c>
      <c r="F30" s="82">
        <f>IF(E27&lt;0,E22+(E27*-1)*'Dashboard-Input&amp;Output'!$I$26,E27+E23)</f>
        <v>2.0651403480100279</v>
      </c>
      <c r="G30" s="82">
        <f>IF(F27&lt;0,F22+(F27*-1)*'Dashboard-Input&amp;Output'!$I$26,F27+F23)</f>
        <v>2.0514363860194846</v>
      </c>
      <c r="H30" s="82">
        <f>IF(G27&lt;0,G22+(G27*-1)*'Dashboard-Input&amp;Output'!$I$26,G27+G23)</f>
        <v>2.0381295757299851</v>
      </c>
      <c r="I30" s="82">
        <f>IF(H27&lt;0,H22+(H27*-1)*'Dashboard-Input&amp;Output'!$I$26,H27+H23)</f>
        <v>2.0252351065922709</v>
      </c>
      <c r="J30" s="82">
        <f>IF(I27&lt;0,I22+(I27*-1)*'Dashboard-Input&amp;Output'!$I$26,I27+I23)</f>
        <v>2.012769165178045</v>
      </c>
      <c r="K30" s="82">
        <f>IF(J27&lt;0,J22+(J27*-1)*'Dashboard-Input&amp;Output'!$I$26,J27+J23)</f>
        <v>2.000748994487568</v>
      </c>
      <c r="L30" s="82">
        <f>IF(K27&lt;0,K22+(K27*-1)*'Dashboard-Input&amp;Output'!$I$26,K27+K23)</f>
        <v>1.9891929568215292</v>
      </c>
      <c r="M30" s="82">
        <f>IF(L27&lt;0,L22+(L27*-1)*'Dashboard-Input&amp;Output'!$I$26,L27+L23)</f>
        <v>1.6263526503232635</v>
      </c>
      <c r="N30" s="82">
        <f>IF(M27&lt;0,M22+(M27*-1)*'Dashboard-Input&amp;Output'!$I$26,M27+M23)</f>
        <v>1.6184267476291936</v>
      </c>
      <c r="O30" s="82">
        <f>IF(N27&lt;0,N22+(N27*-1)*'Dashboard-Input&amp;Output'!$I$26,N27+N23)</f>
        <v>1.6108958118047698</v>
      </c>
      <c r="P30" s="82">
        <f>IF(O27&lt;0,O22+(O27*-1)*'Dashboard-Input&amp;Output'!$I$26,O27+O23)</f>
        <v>1.6037775032990638</v>
      </c>
      <c r="Q30" s="82">
        <f>IF(P27&lt;0,P22+(P27*-1)*'Dashboard-Input&amp;Output'!$I$26,P27+P23)</f>
        <v>1.5970906038662016</v>
      </c>
      <c r="R30" s="82">
        <f>IF(Q27&lt;0,Q22+(Q27*-1)*'Dashboard-Input&amp;Output'!$I$26,Q27+Q23)</f>
        <v>1.5908550834840147</v>
      </c>
      <c r="S30" s="82">
        <f>IF(R27&lt;0,R22+(R27*-1)*'Dashboard-Input&amp;Output'!$I$26,R27+R23)</f>
        <v>1.585092171292029</v>
      </c>
      <c r="T30" s="82">
        <f>IF(S27&lt;0,S22+(S27*-1)*'Dashboard-Input&amp;Output'!$I$26,S27+S23)</f>
        <v>1.5798244307899281</v>
      </c>
      <c r="U30" s="82">
        <f>IF(T27&lt;0,T22+(T27*-1)*'Dashboard-Input&amp;Output'!$I$26,T27+T23)</f>
        <v>1.5750758395520985</v>
      </c>
      <c r="V30" s="82">
        <f>IF(U27&lt;0,U22+(U27*-1)*'Dashboard-Input&amp;Output'!$I$26,U27+U23)</f>
        <v>1.5708718737291991</v>
      </c>
      <c r="W30" s="82">
        <f>IF(V27&lt;0,V22+(V27*-1)*'Dashboard-Input&amp;Output'!$I$26,V27+V23)</f>
        <v>1.5672395976239659</v>
      </c>
      <c r="X30" s="82">
        <f>IF(W27&lt;0,W22+(W27*-1)*'Dashboard-Input&amp;Output'!$I$26,W27+W23)</f>
        <v>1.5642077586456777</v>
      </c>
      <c r="Y30" s="82">
        <f>IF(X27&lt;0,X22+(X27*-1)*'Dashboard-Input&amp;Output'!$I$26,X27+X23)</f>
        <v>1.5618068879659859</v>
      </c>
      <c r="Z30" s="82">
        <f>IF(Y27&lt;0,Y22+(Y27*-1)*'Dashboard-Input&amp;Output'!$I$26,Y27+Y23)</f>
        <v>1.5600694072181769</v>
      </c>
      <c r="AA30" s="172">
        <f>IF(Z27&lt;0,Z22+(Z27*-1)*'Dashboard-Input&amp;Output'!$I$26,Z27+Z23)</f>
        <v>1.5590297416024472</v>
      </c>
      <c r="AB30" s="74"/>
    </row>
    <row r="31" spans="1:28" ht="21" customHeight="1">
      <c r="A31" s="119" t="s">
        <v>247</v>
      </c>
      <c r="B31" s="174">
        <f>+IRR(B30:AA30)</f>
        <v>0.12194900520159924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59"/>
      <c r="AB31" s="43"/>
    </row>
    <row r="32" spans="1:28" ht="21" customHeight="1">
      <c r="A32" s="38" t="s">
        <v>245</v>
      </c>
      <c r="B32" s="79">
        <f>1/(1+WACC!$C$10)^B29</f>
        <v>1</v>
      </c>
      <c r="C32" s="79">
        <f>1/(1+WACC!$C$10)^C29</f>
        <v>0.88105726872246692</v>
      </c>
      <c r="D32" s="79">
        <f>1/(1+WACC!$C$10)^D29</f>
        <v>0.77626191076869333</v>
      </c>
      <c r="E32" s="79">
        <f>1/(1+WACC!$C$10)^E29</f>
        <v>0.68393119891514842</v>
      </c>
      <c r="F32" s="79">
        <f>1/(1+WACC!$C$10)^F29</f>
        <v>0.60258255411026285</v>
      </c>
      <c r="G32" s="79">
        <f>1/(1+WACC!$C$10)^G29</f>
        <v>0.53090973930419638</v>
      </c>
      <c r="H32" s="79">
        <f>1/(1+WACC!$C$10)^H29</f>
        <v>0.4677618848495122</v>
      </c>
      <c r="I32" s="79">
        <f>1/(1+WACC!$C$10)^I29</f>
        <v>0.41212500867798435</v>
      </c>
      <c r="J32" s="79">
        <f>1/(1+WACC!$C$10)^J29</f>
        <v>0.3631057345180479</v>
      </c>
      <c r="K32" s="79">
        <f>1/(1+WACC!$C$10)^K29</f>
        <v>0.31991694671193649</v>
      </c>
      <c r="L32" s="79">
        <f>1/(1+WACC!$C$10)^L29</f>
        <v>0.28186515128804979</v>
      </c>
      <c r="M32" s="79">
        <f>1/(1+WACC!$C$10)^M29</f>
        <v>0.24833934034189409</v>
      </c>
      <c r="N32" s="79">
        <f>1/(1+WACC!$C$10)^N29</f>
        <v>0.21880118091796832</v>
      </c>
      <c r="O32" s="79">
        <f>1/(1+WACC!$C$10)^O29</f>
        <v>0.19277637085283555</v>
      </c>
      <c r="P32" s="79">
        <f>1/(1+WACC!$C$10)^P29</f>
        <v>0.16984702277782865</v>
      </c>
      <c r="Q32" s="79">
        <f>1/(1+WACC!$C$10)^Q29</f>
        <v>0.14964495398927638</v>
      </c>
      <c r="R32" s="79">
        <f>1/(1+WACC!$C$10)^R29</f>
        <v>0.13184577443989109</v>
      </c>
      <c r="S32" s="79">
        <f>1/(1+WACC!$C$10)^S29</f>
        <v>0.11616367792060887</v>
      </c>
      <c r="T32" s="79">
        <f>1/(1+WACC!$C$10)^T29</f>
        <v>0.102346852793488</v>
      </c>
      <c r="U32" s="79">
        <f>1/(1+WACC!$C$10)^U29</f>
        <v>9.0173438584570942E-2</v>
      </c>
      <c r="V32" s="79">
        <f>1/(1+WACC!$C$10)^V29</f>
        <v>7.9447963510635183E-2</v>
      </c>
      <c r="W32" s="79">
        <f>1/(1+WACC!$C$10)^W29</f>
        <v>6.999820573624245E-2</v>
      </c>
      <c r="X32" s="79">
        <f>1/(1+WACC!$C$10)^X29</f>
        <v>6.1672427961447097E-2</v>
      </c>
      <c r="Y32" s="79">
        <f>1/(1+WACC!$C$10)^Y29</f>
        <v>5.4336940935195678E-2</v>
      </c>
      <c r="Z32" s="79">
        <f>1/(1+WACC!$C$10)^Z29</f>
        <v>4.7873956771097514E-2</v>
      </c>
      <c r="AA32" s="79">
        <f>1/(1+WACC!$C$10)^AA29</f>
        <v>4.2179697595680632E-2</v>
      </c>
      <c r="AB32" s="43"/>
    </row>
    <row r="33" spans="1:28" ht="21" customHeight="1">
      <c r="A33" s="38" t="s">
        <v>248</v>
      </c>
      <c r="B33" s="79">
        <f>+B30*B32</f>
        <v>-15.0276</v>
      </c>
      <c r="C33" s="79">
        <f t="shared" ref="C33:AA33" si="6">+C30*C32</f>
        <v>1.941654074083615</v>
      </c>
      <c r="D33" s="79">
        <f t="shared" si="6"/>
        <v>1.6252468492678831</v>
      </c>
      <c r="E33" s="79">
        <f t="shared" si="6"/>
        <v>1.422048360895994</v>
      </c>
      <c r="F33" s="79">
        <f t="shared" si="6"/>
        <v>1.2444175455000397</v>
      </c>
      <c r="G33" s="79">
        <f t="shared" si="6"/>
        <v>1.0891275569007475</v>
      </c>
      <c r="H33" s="79">
        <f t="shared" si="6"/>
        <v>0.95335933191099442</v>
      </c>
      <c r="I33" s="79">
        <f t="shared" si="6"/>
        <v>0.8346500358792982</v>
      </c>
      <c r="J33" s="79">
        <f t="shared" si="6"/>
        <v>0.73084802613725208</v>
      </c>
      <c r="K33" s="79">
        <f t="shared" si="6"/>
        <v>0.64007350945343977</v>
      </c>
      <c r="L33" s="79">
        <f t="shared" si="6"/>
        <v>0.5606841737156234</v>
      </c>
      <c r="M33" s="79">
        <f t="shared" si="6"/>
        <v>0.40388734434457041</v>
      </c>
      <c r="N33" s="79">
        <f t="shared" si="6"/>
        <v>0.35411368361049422</v>
      </c>
      <c r="O33" s="79">
        <f t="shared" si="6"/>
        <v>0.31054264842175588</v>
      </c>
      <c r="P33" s="79">
        <f t="shared" si="6"/>
        <v>0.27239683413340526</v>
      </c>
      <c r="Q33" s="79">
        <f t="shared" si="6"/>
        <v>0.23899654993226338</v>
      </c>
      <c r="R33" s="79">
        <f t="shared" si="6"/>
        <v>0.20974752050358753</v>
      </c>
      <c r="S33" s="79">
        <f t="shared" si="6"/>
        <v>0.18413013646044585</v>
      </c>
      <c r="T33" s="79">
        <f t="shared" si="6"/>
        <v>0.16169005845761275</v>
      </c>
      <c r="U33" s="79">
        <f t="shared" si="6"/>
        <v>0.14203000448389266</v>
      </c>
      <c r="V33" s="79">
        <f t="shared" si="6"/>
        <v>0.12480257130392053</v>
      </c>
      <c r="W33" s="79">
        <f t="shared" si="6"/>
        <v>0.10970395979246821</v>
      </c>
      <c r="X33" s="79">
        <f t="shared" si="6"/>
        <v>9.6468490311812191E-2</v>
      </c>
      <c r="Y33" s="79">
        <f t="shared" si="6"/>
        <v>8.4863808623589554E-2</v>
      </c>
      <c r="Z33" s="79">
        <f t="shared" si="6"/>
        <v>7.4686695361074723E-2</v>
      </c>
      <c r="AA33" s="79">
        <f t="shared" si="6"/>
        <v>6.5759403043463338E-2</v>
      </c>
      <c r="AB33" s="43"/>
    </row>
    <row r="34" spans="1:28" ht="21" customHeight="1">
      <c r="A34" s="175" t="s">
        <v>250</v>
      </c>
      <c r="B34" s="176">
        <f>SUM(B33:AA33)</f>
        <v>-1.1516708274707548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43"/>
    </row>
    <row r="35" spans="1:28" ht="21" customHeight="1">
      <c r="A35" s="41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59"/>
      <c r="AB35" s="43"/>
    </row>
    <row r="36" spans="1:28" s="70" customFormat="1" ht="21" customHeight="1">
      <c r="A36" s="72" t="s">
        <v>246</v>
      </c>
      <c r="B36" s="171">
        <f>+'Dashboard-Input&amp;Output'!E29*-1</f>
        <v>-3.7568999999999999</v>
      </c>
      <c r="C36" s="171">
        <f>+'P&amp;L'!B35</f>
        <v>1.1330608740849031</v>
      </c>
      <c r="D36" s="171">
        <f>+'P&amp;L'!C35</f>
        <v>0.47950805677311881</v>
      </c>
      <c r="E36" s="171">
        <f>+'P&amp;L'!D35</f>
        <v>0.51858747280179951</v>
      </c>
      <c r="F36" s="171">
        <f>+'P&amp;L'!E35</f>
        <v>0.55803643238502831</v>
      </c>
      <c r="G36" s="171">
        <f>+'P&amp;L'!F35</f>
        <v>0.59786829539448527</v>
      </c>
      <c r="H36" s="171">
        <f>+'P&amp;L'!G35</f>
        <v>0.37723695860498552</v>
      </c>
      <c r="I36" s="171">
        <f>+'P&amp;L'!H35</f>
        <v>0.44357551046727117</v>
      </c>
      <c r="J36" s="171">
        <f>+'P&amp;L'!I35</f>
        <v>0.51034259005304516</v>
      </c>
      <c r="K36" s="171">
        <f>+'P&amp;L'!J35</f>
        <v>0.57755544036256801</v>
      </c>
      <c r="L36" s="171">
        <f>+'P&amp;L'!K35</f>
        <v>0.64523242369652944</v>
      </c>
      <c r="M36" s="171">
        <f>+'P&amp;L'!L35</f>
        <v>0.58296291255601773</v>
      </c>
      <c r="N36" s="171">
        <f>+'P&amp;L'!M35</f>
        <v>0.66447666129725802</v>
      </c>
      <c r="O36" s="171">
        <f>+'P&amp;L'!N35</f>
        <v>0.74651703253135937</v>
      </c>
      <c r="P36" s="171">
        <f>+'P&amp;L'!O35</f>
        <v>0.82910757352375175</v>
      </c>
      <c r="Q36" s="171">
        <f>+'P&amp;L'!P35</f>
        <v>0.9122733266132671</v>
      </c>
      <c r="R36" s="171">
        <f>+'P&amp;L'!Q35</f>
        <v>1.9307905113120198</v>
      </c>
      <c r="S36" s="171">
        <f>+'P&amp;L'!R35</f>
        <v>1.9231066283893719</v>
      </c>
      <c r="T36" s="171">
        <f>+'P&amp;L'!S35</f>
        <v>1.9160829743865708</v>
      </c>
      <c r="U36" s="171">
        <f>+'P&amp;L'!T35</f>
        <v>1.9097515194027981</v>
      </c>
      <c r="V36" s="171">
        <f>+'P&amp;L'!U35</f>
        <v>1.9041462316389319</v>
      </c>
      <c r="W36" s="171">
        <f>+'P&amp;L'!V35</f>
        <v>1.8993031968319545</v>
      </c>
      <c r="X36" s="171">
        <f>+'P&amp;L'!W35</f>
        <v>1.8952607448609036</v>
      </c>
      <c r="Y36" s="171">
        <f>+'P&amp;L'!X35</f>
        <v>1.8920595839546479</v>
      </c>
      <c r="Z36" s="171">
        <f>+'P&amp;L'!Y35</f>
        <v>1.8897429429575689</v>
      </c>
      <c r="AA36" s="171">
        <f>+'P&amp;L'!Z35</f>
        <v>1.8883567221365962</v>
      </c>
      <c r="AB36" s="74"/>
    </row>
    <row r="37" spans="1:28" ht="21" customHeight="1">
      <c r="A37" s="119" t="s">
        <v>121</v>
      </c>
      <c r="B37" s="178">
        <f>+IRR(B36:AA36)</f>
        <v>0.18962928273187396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59"/>
    </row>
    <row r="38" spans="1:28">
      <c r="A38" s="38" t="s">
        <v>245</v>
      </c>
      <c r="B38" s="179">
        <v>1</v>
      </c>
      <c r="C38" s="179">
        <f>1/(1+WACC!C18)^C29</f>
        <v>0.90497737556561086</v>
      </c>
      <c r="D38" s="179">
        <f>1/(1+WACC!D18)^D29</f>
        <v>0.8146433053489327</v>
      </c>
      <c r="E38" s="179">
        <f>1/(1+WACC!E18)^E29</f>
        <v>0.72982483576409418</v>
      </c>
      <c r="F38" s="179">
        <f>1/(1+WACC!F18)^F29</f>
        <v>0.65132139550909041</v>
      </c>
      <c r="G38" s="179">
        <f>1/(1+WACC!G18)^G29</f>
        <v>0.57937207585363115</v>
      </c>
      <c r="H38" s="179">
        <f>1/(1+WACC!H18)^H29</f>
        <v>0.51393746117510164</v>
      </c>
      <c r="I38" s="179">
        <f>1/(1+WACC!I18)^I29</f>
        <v>0.45391514003897587</v>
      </c>
      <c r="J38" s="179">
        <f>1/(1+WACC!J18)^J29</f>
        <v>0.39977488096648134</v>
      </c>
      <c r="K38" s="179">
        <f>1/(1+WACC!K18)^K29</f>
        <v>0.35118575548252512</v>
      </c>
      <c r="L38" s="179">
        <f>1/(1+WACC!L18)^L29</f>
        <v>0.3077710694821863</v>
      </c>
      <c r="M38" s="179">
        <f>1/(1+WACC!M18)^M29</f>
        <v>0.26913160467975394</v>
      </c>
      <c r="N38" s="179">
        <f>1/(1+WACC!N18)^N29</f>
        <v>0.21880118091796832</v>
      </c>
      <c r="O38" s="179">
        <f>1/(1+WACC!O18)^O29</f>
        <v>0.19277637085283555</v>
      </c>
      <c r="P38" s="179">
        <f>1/(1+WACC!P18)^P29</f>
        <v>0.16984702277782865</v>
      </c>
      <c r="Q38" s="179">
        <f>1/(1+WACC!Q18)^Q29</f>
        <v>0.16163602700468255</v>
      </c>
      <c r="R38" s="179">
        <f>1/(1+WACC!R18)^R29</f>
        <v>0.13184577443989109</v>
      </c>
      <c r="S38" s="179">
        <f>1/(1+WACC!S18)^S29</f>
        <v>0.11616367792060887</v>
      </c>
      <c r="T38" s="179">
        <f>1/(1+WACC!T18)^T29</f>
        <v>0.102346852793488</v>
      </c>
      <c r="U38" s="179">
        <f>1/(1+WACC!U18)^U29</f>
        <v>9.6281871748009562E-2</v>
      </c>
      <c r="V38" s="179">
        <f>1/(1+WACC!V18)^V29</f>
        <v>7.9447963510635183E-2</v>
      </c>
      <c r="W38" s="179">
        <f>1/(1+WACC!W18)^W29</f>
        <v>6.999820573624245E-2</v>
      </c>
      <c r="X38" s="179">
        <f>1/(1+WACC!X18)^X29</f>
        <v>6.1672427961447097E-2</v>
      </c>
      <c r="Y38" s="179">
        <f>1/(1+WACC!Y18)^Y29</f>
        <v>5.7007810573334365E-2</v>
      </c>
      <c r="Z38" s="179">
        <f>1/(1+WACC!Z18)^Z29</f>
        <v>4.7873956771097514E-2</v>
      </c>
      <c r="AA38" s="179">
        <f>1/(1+WACC!AA18)^AA29</f>
        <v>4.2179697595680632E-2</v>
      </c>
    </row>
    <row r="39" spans="1:28">
      <c r="A39" s="38" t="s">
        <v>248</v>
      </c>
      <c r="B39" s="180">
        <f>+B36*B38</f>
        <v>-3.7568999999999999</v>
      </c>
      <c r="C39" s="180">
        <f t="shared" ref="C39:K39" si="7">+C36*C38</f>
        <v>1.0253944561854327</v>
      </c>
      <c r="D39" s="180">
        <f t="shared" si="7"/>
        <v>0.39062802831109716</v>
      </c>
      <c r="E39" s="180">
        <f t="shared" si="7"/>
        <v>0.37847801716689</v>
      </c>
      <c r="F39" s="180">
        <f t="shared" si="7"/>
        <v>0.3634610678859308</v>
      </c>
      <c r="G39" s="180">
        <f t="shared" si="7"/>
        <v>0.34638819538977489</v>
      </c>
      <c r="H39" s="180">
        <f t="shared" si="7"/>
        <v>0.19387620476686318</v>
      </c>
      <c r="I39" s="180">
        <f t="shared" si="7"/>
        <v>0.20134563995161162</v>
      </c>
      <c r="J39" s="180">
        <f t="shared" si="7"/>
        <v>0.20402214819058193</v>
      </c>
      <c r="K39" s="180">
        <f t="shared" si="7"/>
        <v>0.20282924365677094</v>
      </c>
      <c r="L39" s="180">
        <f t="shared" ref="L39:AA39" si="8">+L36*L38</f>
        <v>0.19858387310566403</v>
      </c>
      <c r="M39" s="180">
        <f t="shared" si="8"/>
        <v>0.15689374412498414</v>
      </c>
      <c r="N39" s="180">
        <f t="shared" si="8"/>
        <v>0.14538827818426892</v>
      </c>
      <c r="O39" s="180">
        <f t="shared" si="8"/>
        <v>0.14391084431122364</v>
      </c>
      <c r="P39" s="180">
        <f t="shared" si="8"/>
        <v>0.14082145292555889</v>
      </c>
      <c r="Q39" s="180">
        <f t="shared" si="8"/>
        <v>0.14745623605611363</v>
      </c>
      <c r="R39" s="180">
        <f t="shared" si="8"/>
        <v>0.25456657024512658</v>
      </c>
      <c r="S39" s="180">
        <f t="shared" si="8"/>
        <v>0.22339513898721106</v>
      </c>
      <c r="T39" s="180">
        <f t="shared" si="8"/>
        <v>0.19610506211965101</v>
      </c>
      <c r="U39" s="180">
        <f t="shared" si="8"/>
        <v>0.18387445086170659</v>
      </c>
      <c r="V39" s="180">
        <f t="shared" si="8"/>
        <v>0.15128054033016336</v>
      </c>
      <c r="W39" s="180">
        <f t="shared" si="8"/>
        <v>0.13294781592734614</v>
      </c>
      <c r="X39" s="180">
        <f t="shared" si="8"/>
        <v>0.11688533175559264</v>
      </c>
      <c r="Y39" s="180">
        <f t="shared" si="8"/>
        <v>0.1078621743555484</v>
      </c>
      <c r="Z39" s="180">
        <f t="shared" si="8"/>
        <v>9.0469471959637254E-2</v>
      </c>
      <c r="AA39" s="180">
        <f t="shared" si="8"/>
        <v>7.9650315492492352E-2</v>
      </c>
    </row>
    <row r="40" spans="1:28">
      <c r="A40" s="175" t="s">
        <v>294</v>
      </c>
      <c r="B40" s="176">
        <f>SUM(B39:AA39)</f>
        <v>2.0196143022472417</v>
      </c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</row>
    <row r="41" spans="1:28" ht="15.75">
      <c r="A41" s="177"/>
      <c r="B41" s="177"/>
      <c r="C41" s="177"/>
      <c r="D41" s="177"/>
      <c r="E41" s="177"/>
      <c r="F41" s="177"/>
      <c r="G41" s="177"/>
      <c r="H41" s="177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8" ht="15.75">
      <c r="A42" s="53"/>
      <c r="B42" s="54"/>
      <c r="D42" s="53"/>
    </row>
    <row r="43" spans="1:28" ht="15.75">
      <c r="A43" s="53"/>
      <c r="B43" s="53"/>
    </row>
    <row r="44" spans="1:28" ht="15.75">
      <c r="A44" s="53"/>
      <c r="B44" s="53"/>
    </row>
    <row r="45" spans="1:28" ht="15.75">
      <c r="A45" s="49"/>
    </row>
    <row r="47" spans="1:28" ht="15.75">
      <c r="A47" s="49"/>
    </row>
    <row r="48" spans="1:28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</row>
    <row r="49" spans="2:26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2:26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2:26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3" spans="2:26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</sheetData>
  <mergeCells count="3">
    <mergeCell ref="B1:B4"/>
    <mergeCell ref="C1:J4"/>
    <mergeCell ref="K1:Z4"/>
  </mergeCells>
  <pageMargins left="0.22" right="0.2" top="0.74803149606299202" bottom="0.74803149606299202" header="0.31496062992126" footer="0.31496062992126"/>
  <pageSetup paperSize="9" scale="5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AA42"/>
  <sheetViews>
    <sheetView workbookViewId="0">
      <selection activeCell="C14" sqref="C14"/>
    </sheetView>
  </sheetViews>
  <sheetFormatPr defaultColWidth="9.28515625" defaultRowHeight="12.75"/>
  <cols>
    <col min="1" max="1" width="31" style="37" bestFit="1" customWidth="1"/>
    <col min="2" max="2" width="7.5703125" style="37" bestFit="1" customWidth="1"/>
    <col min="3" max="12" width="10.28515625" style="37" customWidth="1"/>
    <col min="13" max="16384" width="9.28515625" style="37"/>
  </cols>
  <sheetData>
    <row r="1" spans="1:27" ht="13.5" thickBot="1"/>
    <row r="2" spans="1:27" ht="16.5" thickBot="1">
      <c r="A2" s="449" t="s">
        <v>276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1"/>
    </row>
    <row r="3" spans="1:27" ht="13.5" thickBot="1"/>
    <row r="4" spans="1:27" ht="27.75" customHeight="1">
      <c r="A4" s="469">
        <f>'Dashboard-Input&amp;Output'!B2</f>
        <v>3578</v>
      </c>
      <c r="B4" s="472" t="s">
        <v>318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3"/>
    </row>
    <row r="5" spans="1:27" ht="12.75" customHeight="1">
      <c r="A5" s="470"/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74"/>
      <c r="AA5" s="475"/>
    </row>
    <row r="6" spans="1:27" ht="12.75" customHeight="1">
      <c r="A6" s="470"/>
      <c r="B6" s="474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5"/>
    </row>
    <row r="7" spans="1:27" ht="13.5" customHeight="1" thickBot="1">
      <c r="A7" s="471"/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</row>
    <row r="8" spans="1:27" s="70" customFormat="1">
      <c r="A8" s="273" t="s">
        <v>61</v>
      </c>
      <c r="B8" s="274">
        <v>1</v>
      </c>
      <c r="C8" s="274">
        <f>+B8+1</f>
        <v>2</v>
      </c>
      <c r="D8" s="274">
        <f t="shared" ref="D8:Z8" si="0">+C8+1</f>
        <v>3</v>
      </c>
      <c r="E8" s="274">
        <f t="shared" si="0"/>
        <v>4</v>
      </c>
      <c r="F8" s="274">
        <f t="shared" si="0"/>
        <v>5</v>
      </c>
      <c r="G8" s="274">
        <f t="shared" si="0"/>
        <v>6</v>
      </c>
      <c r="H8" s="274">
        <f t="shared" si="0"/>
        <v>7</v>
      </c>
      <c r="I8" s="274">
        <f t="shared" si="0"/>
        <v>8</v>
      </c>
      <c r="J8" s="274">
        <f t="shared" si="0"/>
        <v>9</v>
      </c>
      <c r="K8" s="274">
        <f t="shared" si="0"/>
        <v>10</v>
      </c>
      <c r="L8" s="274">
        <f t="shared" si="0"/>
        <v>11</v>
      </c>
      <c r="M8" s="274">
        <f t="shared" si="0"/>
        <v>12</v>
      </c>
      <c r="N8" s="274">
        <f t="shared" si="0"/>
        <v>13</v>
      </c>
      <c r="O8" s="274">
        <f t="shared" si="0"/>
        <v>14</v>
      </c>
      <c r="P8" s="274">
        <f t="shared" si="0"/>
        <v>15</v>
      </c>
      <c r="Q8" s="274">
        <f t="shared" si="0"/>
        <v>16</v>
      </c>
      <c r="R8" s="274">
        <f t="shared" si="0"/>
        <v>17</v>
      </c>
      <c r="S8" s="274">
        <f t="shared" si="0"/>
        <v>18</v>
      </c>
      <c r="T8" s="274">
        <f t="shared" si="0"/>
        <v>19</v>
      </c>
      <c r="U8" s="274">
        <f t="shared" si="0"/>
        <v>20</v>
      </c>
      <c r="V8" s="274">
        <f t="shared" si="0"/>
        <v>21</v>
      </c>
      <c r="W8" s="274">
        <f t="shared" si="0"/>
        <v>22</v>
      </c>
      <c r="X8" s="274">
        <f t="shared" si="0"/>
        <v>23</v>
      </c>
      <c r="Y8" s="274">
        <f t="shared" si="0"/>
        <v>24</v>
      </c>
      <c r="Z8" s="274">
        <f t="shared" si="0"/>
        <v>25</v>
      </c>
    </row>
    <row r="9" spans="1:27">
      <c r="B9" s="101" t="s">
        <v>88</v>
      </c>
      <c r="I9" s="468"/>
      <c r="J9" s="468"/>
      <c r="K9" s="468"/>
      <c r="L9" s="468"/>
    </row>
    <row r="10" spans="1:27">
      <c r="A10" s="59" t="s">
        <v>105</v>
      </c>
      <c r="B10" s="179">
        <f>+'Dashboard-Input&amp;Output'!I21</f>
        <v>15.0276</v>
      </c>
      <c r="G10" s="102"/>
      <c r="H10" s="102"/>
      <c r="I10" s="102"/>
      <c r="J10" s="102"/>
      <c r="K10" s="102"/>
      <c r="L10" s="102"/>
    </row>
    <row r="11" spans="1:27">
      <c r="A11" s="59" t="s">
        <v>106</v>
      </c>
      <c r="B11" s="179">
        <f>+B10*'Dashboard-Input&amp;Output'!I32</f>
        <v>14.276219999999999</v>
      </c>
      <c r="C11" s="185"/>
      <c r="G11" s="43"/>
      <c r="K11" s="43"/>
      <c r="L11" s="43"/>
    </row>
    <row r="12" spans="1:27">
      <c r="G12" s="43"/>
      <c r="K12" s="43"/>
      <c r="L12" s="43"/>
    </row>
    <row r="13" spans="1:27">
      <c r="A13" s="59" t="s">
        <v>107</v>
      </c>
      <c r="B13" s="267">
        <f>+'Dashboard-Input&amp;Output'!$I$29</f>
        <v>0.4</v>
      </c>
      <c r="C13" s="267">
        <f>+'Dashboard-Input&amp;Output'!$I$29</f>
        <v>0.4</v>
      </c>
      <c r="D13" s="267">
        <f>+'Dashboard-Input&amp;Output'!$I$29</f>
        <v>0.4</v>
      </c>
      <c r="E13" s="267">
        <f>+'Dashboard-Input&amp;Output'!$I$29</f>
        <v>0.4</v>
      </c>
      <c r="F13" s="267">
        <f>+'Dashboard-Input&amp;Output'!$I$29</f>
        <v>0.4</v>
      </c>
      <c r="J13" s="43"/>
      <c r="K13" s="43"/>
    </row>
    <row r="14" spans="1:27">
      <c r="A14" s="59" t="s">
        <v>263</v>
      </c>
      <c r="B14" s="59">
        <f>+B11*B13</f>
        <v>5.7104879999999998</v>
      </c>
      <c r="C14" s="179">
        <f>+B15*C13</f>
        <v>3.4262927999999997</v>
      </c>
      <c r="D14" s="179">
        <f>+C15*D13</f>
        <v>2.0557756799999996</v>
      </c>
      <c r="E14" s="179">
        <f>+D15*E13</f>
        <v>1.2334654079999998</v>
      </c>
      <c r="F14" s="179">
        <f>+E15*F13</f>
        <v>0.74007924479999998</v>
      </c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27">
      <c r="A15" s="59" t="s">
        <v>264</v>
      </c>
      <c r="B15" s="268">
        <f>+$B$11-B14</f>
        <v>8.5657319999999988</v>
      </c>
      <c r="C15" s="268">
        <f>+B15-C14</f>
        <v>5.1394391999999991</v>
      </c>
      <c r="D15" s="268">
        <f>+C15-D14</f>
        <v>3.0836635199999995</v>
      </c>
      <c r="E15" s="268">
        <f>+D15-E14</f>
        <v>1.8501981119999997</v>
      </c>
      <c r="F15" s="268">
        <f>+E15-F14</f>
        <v>1.1101188671999997</v>
      </c>
      <c r="G15" s="103"/>
      <c r="H15" s="103"/>
      <c r="I15" s="103"/>
      <c r="J15" s="103"/>
      <c r="K15" s="103"/>
      <c r="L15" s="103"/>
      <c r="M15" s="103"/>
      <c r="N15" s="103"/>
      <c r="O15" s="103"/>
      <c r="P15" s="103"/>
    </row>
    <row r="16" spans="1:27">
      <c r="C16" s="106"/>
      <c r="D16" s="185"/>
      <c r="E16" s="185"/>
      <c r="F16" s="185"/>
      <c r="G16" s="185"/>
      <c r="K16" s="43"/>
      <c r="L16" s="43"/>
    </row>
    <row r="17" spans="1:27">
      <c r="C17" s="106"/>
      <c r="D17" s="106"/>
      <c r="E17" s="106"/>
      <c r="F17" s="106"/>
      <c r="G17" s="106"/>
      <c r="K17" s="43"/>
      <c r="L17" s="43"/>
    </row>
    <row r="18" spans="1:27">
      <c r="G18" s="43"/>
      <c r="K18" s="43"/>
      <c r="L18" s="43"/>
    </row>
    <row r="19" spans="1:27">
      <c r="A19" s="59" t="s">
        <v>239</v>
      </c>
      <c r="B19" s="179">
        <f>+$B$11*'Dashboard-Input&amp;Output'!$I$30</f>
        <v>0.57104879999999991</v>
      </c>
      <c r="C19" s="179">
        <f>+$B$11*'Dashboard-Input&amp;Output'!$I$30</f>
        <v>0.57104879999999991</v>
      </c>
      <c r="D19" s="179">
        <f>+$B$11*'Dashboard-Input&amp;Output'!$I$30</f>
        <v>0.57104879999999991</v>
      </c>
      <c r="E19" s="179">
        <f>+$B$11*'Dashboard-Input&amp;Output'!$I$30</f>
        <v>0.57104879999999991</v>
      </c>
      <c r="F19" s="179">
        <f>+$B$11*'Dashboard-Input&amp;Output'!$I$30</f>
        <v>0.57104879999999991</v>
      </c>
      <c r="G19" s="179">
        <f>+$B$11*'Dashboard-Input&amp;Output'!$I$30</f>
        <v>0.57104879999999991</v>
      </c>
      <c r="H19" s="179">
        <f>+$B$11*'Dashboard-Input&amp;Output'!$I$30</f>
        <v>0.57104879999999991</v>
      </c>
      <c r="I19" s="179">
        <f>+$B$11*'Dashboard-Input&amp;Output'!$I$30</f>
        <v>0.57104879999999991</v>
      </c>
      <c r="J19" s="179">
        <f>+$B$11*'Dashboard-Input&amp;Output'!$I$30</f>
        <v>0.57104879999999991</v>
      </c>
      <c r="K19" s="179">
        <f>+$B$11*'Dashboard-Input&amp;Output'!$I$30</f>
        <v>0.57104879999999991</v>
      </c>
      <c r="L19" s="179">
        <f>$B$11*'Dashboard-Input&amp;Output'!$I$31</f>
        <v>0.57104879999999991</v>
      </c>
      <c r="M19" s="179">
        <f>$B$11*'Dashboard-Input&amp;Output'!$I$31</f>
        <v>0.57104879999999991</v>
      </c>
      <c r="N19" s="179">
        <f>$B$11*'Dashboard-Input&amp;Output'!$I$31</f>
        <v>0.57104879999999991</v>
      </c>
      <c r="O19" s="179">
        <f>$B$11*'Dashboard-Input&amp;Output'!$I$31</f>
        <v>0.57104879999999991</v>
      </c>
      <c r="P19" s="179">
        <f>$B$11*'Dashboard-Input&amp;Output'!$I$31</f>
        <v>0.57104879999999991</v>
      </c>
      <c r="Q19" s="179">
        <f>$B$11*'Dashboard-Input&amp;Output'!$I$31</f>
        <v>0.57104879999999991</v>
      </c>
      <c r="R19" s="179">
        <f>$B$11*'Dashboard-Input&amp;Output'!$I$31</f>
        <v>0.57104879999999991</v>
      </c>
      <c r="S19" s="179">
        <f>$B$11*'Dashboard-Input&amp;Output'!$I$31</f>
        <v>0.57104879999999991</v>
      </c>
      <c r="T19" s="179">
        <f>$B$11*'Dashboard-Input&amp;Output'!$I$31</f>
        <v>0.57104879999999991</v>
      </c>
      <c r="U19" s="179">
        <f>$B$11*'Dashboard-Input&amp;Output'!$I$31</f>
        <v>0.57104879999999991</v>
      </c>
      <c r="V19" s="179">
        <f>$B$11*'Dashboard-Input&amp;Output'!$I$31</f>
        <v>0.57104879999999991</v>
      </c>
      <c r="W19" s="179">
        <f>$B$11*'Dashboard-Input&amp;Output'!$I$31</f>
        <v>0.57104879999999991</v>
      </c>
      <c r="X19" s="179">
        <f>$B$11*'Dashboard-Input&amp;Output'!$I$31</f>
        <v>0.57104879999999991</v>
      </c>
      <c r="Y19" s="179">
        <f>$B$11*'Dashboard-Input&amp;Output'!$I$31</f>
        <v>0.57104879999999991</v>
      </c>
      <c r="Z19" s="179">
        <f>$B$11*'Dashboard-Input&amp;Output'!$I$31</f>
        <v>0.57104879999999991</v>
      </c>
      <c r="AA19" s="100"/>
    </row>
    <row r="20" spans="1:27">
      <c r="A20" s="269" t="s">
        <v>240</v>
      </c>
      <c r="B20" s="268">
        <f>+B11-B19</f>
        <v>13.705171199999999</v>
      </c>
      <c r="C20" s="270">
        <f>+B20-C19</f>
        <v>13.134122399999999</v>
      </c>
      <c r="D20" s="270">
        <f t="shared" ref="D20:L20" si="1">+C20-D19</f>
        <v>12.563073599999999</v>
      </c>
      <c r="E20" s="270">
        <f t="shared" si="1"/>
        <v>11.992024799999999</v>
      </c>
      <c r="F20" s="270">
        <f t="shared" si="1"/>
        <v>11.420976</v>
      </c>
      <c r="G20" s="270">
        <f t="shared" si="1"/>
        <v>10.8499272</v>
      </c>
      <c r="H20" s="270">
        <f t="shared" si="1"/>
        <v>10.2788784</v>
      </c>
      <c r="I20" s="270">
        <f t="shared" si="1"/>
        <v>9.7078296000000002</v>
      </c>
      <c r="J20" s="270">
        <f t="shared" si="1"/>
        <v>9.1367808000000004</v>
      </c>
      <c r="K20" s="270">
        <f t="shared" si="1"/>
        <v>8.5657320000000006</v>
      </c>
      <c r="L20" s="270">
        <f t="shared" si="1"/>
        <v>7.9946832000000008</v>
      </c>
      <c r="M20" s="270">
        <f t="shared" ref="M20:Z20" si="2">+L20-M19</f>
        <v>7.423634400000001</v>
      </c>
      <c r="N20" s="270">
        <f t="shared" si="2"/>
        <v>6.8525856000000012</v>
      </c>
      <c r="O20" s="270">
        <f t="shared" si="2"/>
        <v>6.2815368000000014</v>
      </c>
      <c r="P20" s="270">
        <f t="shared" si="2"/>
        <v>5.7104880000000016</v>
      </c>
      <c r="Q20" s="270">
        <f t="shared" si="2"/>
        <v>5.1394392000000018</v>
      </c>
      <c r="R20" s="270">
        <f t="shared" si="2"/>
        <v>4.568390400000002</v>
      </c>
      <c r="S20" s="270">
        <f t="shared" si="2"/>
        <v>3.9973416000000022</v>
      </c>
      <c r="T20" s="270">
        <f t="shared" si="2"/>
        <v>3.4262928000000024</v>
      </c>
      <c r="U20" s="270">
        <f t="shared" si="2"/>
        <v>2.8552440000000026</v>
      </c>
      <c r="V20" s="270">
        <f t="shared" si="2"/>
        <v>2.2841952000000028</v>
      </c>
      <c r="W20" s="270">
        <f t="shared" si="2"/>
        <v>1.713146400000003</v>
      </c>
      <c r="X20" s="270">
        <f t="shared" si="2"/>
        <v>1.1420976000000032</v>
      </c>
      <c r="Y20" s="270">
        <f t="shared" si="2"/>
        <v>0.57104880000000324</v>
      </c>
      <c r="Z20" s="270">
        <f t="shared" si="2"/>
        <v>3.3306690738754696E-15</v>
      </c>
      <c r="AA20" s="168"/>
    </row>
    <row r="21" spans="1:27">
      <c r="A21" s="271" t="s">
        <v>241</v>
      </c>
      <c r="B21" s="272">
        <f>+B20*'Dashboard-Input&amp;Output'!$I$12</f>
        <v>2.7410342399999999E-2</v>
      </c>
      <c r="C21" s="272">
        <f>+C20*'Dashboard-Input&amp;Output'!$I$12</f>
        <v>2.62682448E-2</v>
      </c>
      <c r="D21" s="272">
        <f>+D20*'Dashboard-Input&amp;Output'!$I$12</f>
        <v>2.5126147199999997E-2</v>
      </c>
      <c r="E21" s="272">
        <f>+E20*'Dashboard-Input&amp;Output'!$I$12</f>
        <v>2.3984049599999998E-2</v>
      </c>
      <c r="F21" s="272">
        <f>+F20*'Dashboard-Input&amp;Output'!$I$12</f>
        <v>2.2841951999999999E-2</v>
      </c>
      <c r="G21" s="272">
        <f>+G20*'Dashboard-Input&amp;Output'!$I$12</f>
        <v>2.1699854399999999E-2</v>
      </c>
      <c r="H21" s="272">
        <f>+H20*'Dashboard-Input&amp;Output'!$I$12</f>
        <v>2.05577568E-2</v>
      </c>
      <c r="I21" s="272">
        <f>+I20*'Dashboard-Input&amp;Output'!$I$12</f>
        <v>1.9415659200000001E-2</v>
      </c>
      <c r="J21" s="272">
        <f>+J20*'Dashboard-Input&amp;Output'!$I$12</f>
        <v>1.8273561600000002E-2</v>
      </c>
      <c r="K21" s="272">
        <f>+K20*'Dashboard-Input&amp;Output'!$I$12</f>
        <v>1.7131464000000002E-2</v>
      </c>
      <c r="L21" s="272">
        <f>+L20*'Dashboard-Input&amp;Output'!$I$12</f>
        <v>1.5989366400000003E-2</v>
      </c>
      <c r="M21" s="272">
        <f>+M20*'Dashboard-Input&amp;Output'!$I$12</f>
        <v>1.4847268800000002E-2</v>
      </c>
      <c r="N21" s="272">
        <f>+N20*'Dashboard-Input&amp;Output'!$I$12</f>
        <v>1.3705171200000003E-2</v>
      </c>
      <c r="O21" s="272">
        <f>+O20*'Dashboard-Input&amp;Output'!$I$12</f>
        <v>1.2563073600000004E-2</v>
      </c>
      <c r="P21" s="272">
        <f>+P20*'Dashboard-Input&amp;Output'!$I$12</f>
        <v>1.1420976000000003E-2</v>
      </c>
      <c r="Q21" s="272">
        <f>+Q20*'Dashboard-Input&amp;Output'!$I$12</f>
        <v>1.0278878400000004E-2</v>
      </c>
      <c r="R21" s="272">
        <f>+R20*'Dashboard-Input&amp;Output'!$I$12</f>
        <v>9.1367808000000043E-3</v>
      </c>
      <c r="S21" s="272">
        <f>+S20*'Dashboard-Input&amp;Output'!$I$12</f>
        <v>7.9946832000000051E-3</v>
      </c>
      <c r="T21" s="272">
        <f>+T20*'Dashboard-Input&amp;Output'!$I$12</f>
        <v>6.852585600000005E-3</v>
      </c>
      <c r="U21" s="272">
        <f>+U20*'Dashboard-Input&amp;Output'!$I$12</f>
        <v>5.7104880000000049E-3</v>
      </c>
      <c r="V21" s="272">
        <f>+V20*'Dashboard-Input&amp;Output'!$I$12</f>
        <v>4.5683904000000056E-3</v>
      </c>
      <c r="W21" s="272">
        <f>+W20*'Dashboard-Input&amp;Output'!$I$12</f>
        <v>3.426292800000006E-3</v>
      </c>
      <c r="X21" s="272">
        <f>+X20*'Dashboard-Input&amp;Output'!$I$12</f>
        <v>2.2841952000000063E-3</v>
      </c>
      <c r="Y21" s="272">
        <f>+Y20*'Dashboard-Input&amp;Output'!$I$12</f>
        <v>1.1420976000000066E-3</v>
      </c>
      <c r="Z21" s="272">
        <f>+Z20*'Dashboard-Input&amp;Output'!$I$12</f>
        <v>6.661338147750939E-18</v>
      </c>
    </row>
    <row r="22" spans="1:27">
      <c r="A22" s="107"/>
      <c r="B22" s="56"/>
      <c r="C22" s="103"/>
      <c r="D22" s="103"/>
      <c r="E22" s="103"/>
      <c r="F22" s="103"/>
      <c r="K22" s="43"/>
      <c r="L22" s="43"/>
    </row>
    <row r="23" spans="1:27">
      <c r="A23" s="107"/>
      <c r="B23" s="56"/>
      <c r="F23" s="43"/>
      <c r="K23" s="43"/>
      <c r="L23" s="43"/>
    </row>
    <row r="24" spans="1:27">
      <c r="A24" s="107"/>
      <c r="F24" s="43"/>
      <c r="K24" s="43"/>
      <c r="L24" s="43"/>
    </row>
    <row r="25" spans="1:27">
      <c r="A25" s="107"/>
      <c r="F25" s="43"/>
      <c r="K25" s="43"/>
      <c r="L25" s="43"/>
    </row>
    <row r="26" spans="1:27">
      <c r="A26" s="107"/>
      <c r="C26" s="102"/>
      <c r="D26" s="102"/>
      <c r="E26" s="102"/>
      <c r="F26" s="102"/>
    </row>
    <row r="27" spans="1:27">
      <c r="A27" s="108"/>
      <c r="B27" s="56"/>
      <c r="C27" s="103"/>
      <c r="D27" s="103"/>
      <c r="E27" s="103"/>
      <c r="F27" s="103"/>
    </row>
    <row r="28" spans="1:27" ht="15">
      <c r="A28" s="109"/>
      <c r="F28" s="43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1:27" ht="15">
      <c r="B29" s="69"/>
      <c r="F29" s="43"/>
      <c r="G29" s="104"/>
      <c r="H29" s="104"/>
      <c r="I29" s="104"/>
      <c r="J29" s="104"/>
      <c r="K29" s="104"/>
      <c r="L29" s="104"/>
      <c r="M29" s="104"/>
      <c r="N29" s="104"/>
      <c r="O29" s="104"/>
      <c r="P29" s="104"/>
    </row>
    <row r="30" spans="1:27" ht="15">
      <c r="F30" s="43"/>
      <c r="G30" s="104"/>
      <c r="H30" s="104"/>
      <c r="I30" s="104"/>
      <c r="J30" s="104"/>
      <c r="K30" s="104"/>
      <c r="L30" s="104"/>
      <c r="M30" s="104"/>
      <c r="N30" s="104"/>
      <c r="O30" s="104"/>
      <c r="P30" s="104"/>
    </row>
    <row r="31" spans="1:27" ht="15">
      <c r="F31" s="43"/>
      <c r="G31" s="104"/>
      <c r="H31" s="104"/>
      <c r="I31" s="104"/>
      <c r="J31" s="104"/>
      <c r="K31" s="104"/>
      <c r="L31" s="104"/>
      <c r="M31" s="104"/>
      <c r="N31" s="104"/>
      <c r="O31" s="104"/>
      <c r="P31" s="104"/>
    </row>
    <row r="32" spans="1:27" ht="15"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4" spans="1:16">
      <c r="G34" s="99"/>
      <c r="H34" s="99"/>
      <c r="I34" s="99"/>
      <c r="J34" s="99"/>
      <c r="K34" s="99"/>
    </row>
    <row r="35" spans="1:16">
      <c r="L35" s="103"/>
      <c r="M35" s="103"/>
      <c r="N35" s="103"/>
      <c r="O35" s="103"/>
      <c r="P35" s="103"/>
    </row>
    <row r="36" spans="1:16">
      <c r="L36" s="103"/>
      <c r="M36" s="103"/>
      <c r="N36" s="103"/>
      <c r="O36" s="103"/>
      <c r="P36" s="103"/>
    </row>
    <row r="37" spans="1:16">
      <c r="G37" s="103"/>
      <c r="H37" s="103"/>
      <c r="I37" s="103"/>
      <c r="J37" s="103"/>
      <c r="K37" s="103"/>
      <c r="L37" s="103"/>
      <c r="M37" s="103"/>
      <c r="N37" s="103"/>
      <c r="O37" s="103"/>
      <c r="P37" s="103"/>
    </row>
    <row r="38" spans="1:16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</row>
    <row r="39" spans="1:16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</row>
    <row r="41" spans="1:16">
      <c r="A41" s="63"/>
    </row>
    <row r="42" spans="1:16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</row>
  </sheetData>
  <mergeCells count="4">
    <mergeCell ref="I9:L9"/>
    <mergeCell ref="A4:A7"/>
    <mergeCell ref="B4:AA7"/>
    <mergeCell ref="A2:P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7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B1:AA18"/>
  <sheetViews>
    <sheetView showGridLines="0" workbookViewId="0"/>
  </sheetViews>
  <sheetFormatPr defaultColWidth="11.5703125" defaultRowHeight="12.75"/>
  <cols>
    <col min="1" max="1" width="2.140625" style="37" customWidth="1"/>
    <col min="2" max="2" width="14" style="37" bestFit="1" customWidth="1"/>
    <col min="3" max="27" width="6.5703125" style="37" bestFit="1" customWidth="1"/>
    <col min="28" max="16384" width="11.5703125" style="37"/>
  </cols>
  <sheetData>
    <row r="1" spans="2:27" ht="13.5" thickBot="1"/>
    <row r="2" spans="2:27" ht="16.5" thickBot="1">
      <c r="B2" s="449" t="s">
        <v>278</v>
      </c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1"/>
    </row>
    <row r="3" spans="2:27" ht="16.5" thickBot="1"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2:27" ht="35.25" customHeight="1" thickBot="1">
      <c r="B4" s="302">
        <f>'Dashboard-Input&amp;Output'!B2</f>
        <v>3578</v>
      </c>
      <c r="C4" s="478" t="s">
        <v>272</v>
      </c>
      <c r="D4" s="478"/>
      <c r="E4" s="478"/>
      <c r="F4" s="478"/>
      <c r="G4" s="478"/>
      <c r="H4" s="478"/>
      <c r="I4" s="478"/>
      <c r="J4" s="478"/>
      <c r="K4" s="478"/>
      <c r="L4" s="478"/>
      <c r="M4" s="479" t="str">
        <f>+'Dashboard-Input&amp;Output'!H37</f>
        <v>REC (BOO/Captive)</v>
      </c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80"/>
    </row>
    <row r="5" spans="2:27" ht="13.5" thickBot="1"/>
    <row r="6" spans="2:27">
      <c r="B6" s="240" t="s">
        <v>43</v>
      </c>
      <c r="C6" s="241">
        <v>1</v>
      </c>
    </row>
    <row r="7" spans="2:27">
      <c r="B7" s="242" t="s">
        <v>44</v>
      </c>
      <c r="C7" s="243">
        <v>7.4999999999999997E-2</v>
      </c>
    </row>
    <row r="8" spans="2:27">
      <c r="B8" s="242" t="s">
        <v>45</v>
      </c>
      <c r="C8" s="243">
        <v>0.06</v>
      </c>
    </row>
    <row r="9" spans="2:27">
      <c r="B9" s="242" t="s">
        <v>66</v>
      </c>
      <c r="C9" s="244">
        <f>C7+C8</f>
        <v>0.13500000000000001</v>
      </c>
    </row>
    <row r="10" spans="2:27">
      <c r="B10" s="247" t="s">
        <v>65</v>
      </c>
      <c r="C10" s="248">
        <f>C7+(C6*C8)</f>
        <v>0.13500000000000001</v>
      </c>
    </row>
    <row r="11" spans="2:27">
      <c r="B11" s="242"/>
      <c r="C11" s="245"/>
    </row>
    <row r="12" spans="2:27" ht="13.5" thickBot="1">
      <c r="B12" s="249" t="s">
        <v>42</v>
      </c>
      <c r="C12" s="250">
        <f>+'Dashboard-Input&amp;Output'!E33</f>
        <v>9.5000000000000001E-2</v>
      </c>
    </row>
    <row r="13" spans="2:27" ht="13.5" thickBot="1">
      <c r="C13" s="69"/>
    </row>
    <row r="14" spans="2:27">
      <c r="B14" s="256" t="s">
        <v>256</v>
      </c>
      <c r="C14" s="257">
        <v>1</v>
      </c>
      <c r="D14" s="257">
        <f>+C14+1</f>
        <v>2</v>
      </c>
      <c r="E14" s="257">
        <f>+D14+1</f>
        <v>3</v>
      </c>
      <c r="F14" s="257">
        <f t="shared" ref="F14:AA14" si="0">+E14+1</f>
        <v>4</v>
      </c>
      <c r="G14" s="257">
        <f t="shared" si="0"/>
        <v>5</v>
      </c>
      <c r="H14" s="257">
        <f t="shared" si="0"/>
        <v>6</v>
      </c>
      <c r="I14" s="257">
        <f t="shared" si="0"/>
        <v>7</v>
      </c>
      <c r="J14" s="257">
        <f t="shared" si="0"/>
        <v>8</v>
      </c>
      <c r="K14" s="257">
        <f t="shared" si="0"/>
        <v>9</v>
      </c>
      <c r="L14" s="257">
        <f t="shared" si="0"/>
        <v>10</v>
      </c>
      <c r="M14" s="257">
        <f t="shared" si="0"/>
        <v>11</v>
      </c>
      <c r="N14" s="257">
        <f t="shared" si="0"/>
        <v>12</v>
      </c>
      <c r="O14" s="257">
        <f t="shared" si="0"/>
        <v>13</v>
      </c>
      <c r="P14" s="257">
        <f t="shared" si="0"/>
        <v>14</v>
      </c>
      <c r="Q14" s="257">
        <f t="shared" si="0"/>
        <v>15</v>
      </c>
      <c r="R14" s="257">
        <f t="shared" si="0"/>
        <v>16</v>
      </c>
      <c r="S14" s="257">
        <f t="shared" si="0"/>
        <v>17</v>
      </c>
      <c r="T14" s="257">
        <f t="shared" si="0"/>
        <v>18</v>
      </c>
      <c r="U14" s="257">
        <f t="shared" si="0"/>
        <v>19</v>
      </c>
      <c r="V14" s="257">
        <f t="shared" si="0"/>
        <v>20</v>
      </c>
      <c r="W14" s="257">
        <f t="shared" si="0"/>
        <v>21</v>
      </c>
      <c r="X14" s="257">
        <f t="shared" si="0"/>
        <v>22</v>
      </c>
      <c r="Y14" s="257">
        <f t="shared" si="0"/>
        <v>23</v>
      </c>
      <c r="Z14" s="257">
        <f t="shared" si="0"/>
        <v>24</v>
      </c>
      <c r="AA14" s="258">
        <f t="shared" si="0"/>
        <v>25</v>
      </c>
    </row>
    <row r="15" spans="2:27">
      <c r="B15" s="242" t="s">
        <v>41</v>
      </c>
      <c r="C15" s="179">
        <f>+'Dashboard-Input&amp;Output'!E30</f>
        <v>11.2707</v>
      </c>
      <c r="D15" s="179">
        <f>+Debt!F22</f>
        <v>11.2707</v>
      </c>
      <c r="E15" s="179">
        <f>+Debt!J22</f>
        <v>10.707165</v>
      </c>
      <c r="F15" s="179">
        <f>+Debt!N22</f>
        <v>10.14363</v>
      </c>
      <c r="G15" s="179">
        <f>+Debt!R22</f>
        <v>9.580095</v>
      </c>
      <c r="H15" s="179">
        <f>+Debt!V22</f>
        <v>9.0165600000000001</v>
      </c>
      <c r="I15" s="179">
        <f>+Debt!Z22</f>
        <v>8.1825282000000001</v>
      </c>
      <c r="J15" s="179">
        <f>+Debt!AD22</f>
        <v>7.3484964000000002</v>
      </c>
      <c r="K15" s="179">
        <f>+Debt!AH22</f>
        <v>6.5144646000000002</v>
      </c>
      <c r="L15" s="179">
        <f>+Debt!AL22</f>
        <v>5.6804328000000002</v>
      </c>
      <c r="M15" s="179">
        <f>+Debt!AP22</f>
        <v>4.8464010000000002</v>
      </c>
      <c r="N15" s="179">
        <f>+Debt!AQ22</f>
        <v>0</v>
      </c>
      <c r="O15" s="179">
        <f>+Debt!AR22</f>
        <v>0</v>
      </c>
      <c r="P15" s="179">
        <f>+Debt!AS22</f>
        <v>0</v>
      </c>
      <c r="Q15" s="179">
        <f>+Debt!AT22</f>
        <v>3.8771208000000001</v>
      </c>
      <c r="R15" s="179">
        <f>+Debt!AU22</f>
        <v>0</v>
      </c>
      <c r="S15" s="179">
        <f>+Debt!AV22</f>
        <v>0</v>
      </c>
      <c r="T15" s="179">
        <f>+Debt!AW22</f>
        <v>0</v>
      </c>
      <c r="U15" s="179">
        <f>+Debt!AX22</f>
        <v>2.9078406000000001</v>
      </c>
      <c r="V15" s="179">
        <f>+Debt!AY22</f>
        <v>0</v>
      </c>
      <c r="W15" s="179">
        <f>+Debt!AZ22</f>
        <v>0</v>
      </c>
      <c r="X15" s="179">
        <f>+Debt!BA22</f>
        <v>0</v>
      </c>
      <c r="Y15" s="179">
        <f>+Debt!BB22</f>
        <v>1.9385604000000001</v>
      </c>
      <c r="Z15" s="179">
        <f>+Debt!BC22</f>
        <v>0</v>
      </c>
      <c r="AA15" s="251">
        <f>+Debt!BD22</f>
        <v>0</v>
      </c>
    </row>
    <row r="16" spans="2:27">
      <c r="B16" s="242" t="s">
        <v>257</v>
      </c>
      <c r="C16" s="179">
        <f>+'Dashboard-Input&amp;Output'!E29</f>
        <v>3.7568999999999999</v>
      </c>
      <c r="D16" s="179">
        <f>+C16+IRR!B27</f>
        <v>5.3896285740849033</v>
      </c>
      <c r="E16" s="179">
        <f>+D16+IRR!C27</f>
        <v>6.9122633964830218</v>
      </c>
      <c r="F16" s="179">
        <f>+E16+IRR!D27</f>
        <v>8.4204418099098213</v>
      </c>
      <c r="G16" s="179">
        <f>+F16+IRR!E27</f>
        <v>9.9145333579198489</v>
      </c>
      <c r="H16" s="179">
        <f>+G16+IRR!F27</f>
        <v>11.394920943939333</v>
      </c>
      <c r="I16" s="179">
        <f>+H16+IRR!G27</f>
        <v>12.862001719669319</v>
      </c>
      <c r="J16" s="179">
        <f>+I16+IRR!H27</f>
        <v>14.316188026261591</v>
      </c>
      <c r="K16" s="179">
        <f>+J16+IRR!I27</f>
        <v>15.757908391439635</v>
      </c>
      <c r="L16" s="179">
        <f>+K16+IRR!J27</f>
        <v>17.187608585927205</v>
      </c>
      <c r="M16" s="179">
        <f>+L16+IRR!K27</f>
        <v>18.605752742748734</v>
      </c>
      <c r="N16" s="179">
        <f>+M16+IRR!L27</f>
        <v>19.661056593071997</v>
      </c>
      <c r="O16" s="179">
        <f>+N16+IRR!M27</f>
        <v>20.708434540701191</v>
      </c>
      <c r="P16" s="179">
        <f>+O16+IRR!N27</f>
        <v>21.748281552505961</v>
      </c>
      <c r="Q16" s="179">
        <f>+P16+IRR!O27</f>
        <v>22.781010255805025</v>
      </c>
      <c r="R16" s="179">
        <f>+Q16+IRR!P27</f>
        <v>23.807052059671229</v>
      </c>
      <c r="S16" s="179">
        <f>+R16+IRR!Q27</f>
        <v>24.826858343155244</v>
      </c>
      <c r="T16" s="179">
        <f>+S16+IRR!R27</f>
        <v>25.840901714447273</v>
      </c>
      <c r="U16" s="179">
        <f>+T16+IRR!S27</f>
        <v>26.8496773452372</v>
      </c>
      <c r="V16" s="179">
        <f>+U16+IRR!T27</f>
        <v>27.8537043847893</v>
      </c>
      <c r="W16" s="179">
        <f>+V16+IRR!U27</f>
        <v>28.853527458518499</v>
      </c>
      <c r="X16" s="179">
        <f>+W16+IRR!V27</f>
        <v>29.849718256142467</v>
      </c>
      <c r="Y16" s="179">
        <f>+X16+IRR!W27</f>
        <v>30.842877214788146</v>
      </c>
      <c r="Z16" s="179">
        <f>+Y16+IRR!X27</f>
        <v>31.833635302754132</v>
      </c>
      <c r="AA16" s="251">
        <f>+Z16+IRR!Y27</f>
        <v>32.822655909972312</v>
      </c>
    </row>
    <row r="17" spans="2:27" ht="13.5" thickBot="1">
      <c r="B17" s="252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4"/>
    </row>
    <row r="18" spans="2:27" ht="13.5" thickBot="1">
      <c r="B18" s="259" t="s">
        <v>258</v>
      </c>
      <c r="C18" s="260">
        <f t="shared" ref="C18:AA18" si="1">+(C15/(C15+C16))*$C$12+(C16/(C15+C16))*$C$10</f>
        <v>0.10500000000000001</v>
      </c>
      <c r="D18" s="260">
        <f t="shared" si="1"/>
        <v>0.10794002948409663</v>
      </c>
      <c r="E18" s="260">
        <f t="shared" si="1"/>
        <v>0.11069236695070712</v>
      </c>
      <c r="F18" s="260">
        <f t="shared" si="1"/>
        <v>0.11314352346000914</v>
      </c>
      <c r="G18" s="260">
        <f t="shared" si="1"/>
        <v>0.1153431082160476</v>
      </c>
      <c r="H18" s="260">
        <f t="shared" si="1"/>
        <v>0.11733041487824582</v>
      </c>
      <c r="I18" s="260">
        <f t="shared" si="1"/>
        <v>0.11944721125872776</v>
      </c>
      <c r="J18" s="260">
        <f t="shared" si="1"/>
        <v>0.12143230382605108</v>
      </c>
      <c r="K18" s="260">
        <f t="shared" si="1"/>
        <v>0.1233003672711411</v>
      </c>
      <c r="L18" s="260">
        <f t="shared" si="1"/>
        <v>0.12506398019990345</v>
      </c>
      <c r="M18" s="260">
        <f t="shared" si="1"/>
        <v>0.12673397709538986</v>
      </c>
      <c r="N18" s="260">
        <f t="shared" si="1"/>
        <v>0.13500000000000001</v>
      </c>
      <c r="O18" s="260">
        <f t="shared" si="1"/>
        <v>0.13500000000000001</v>
      </c>
      <c r="P18" s="260">
        <f t="shared" si="1"/>
        <v>0.13500000000000001</v>
      </c>
      <c r="Q18" s="260">
        <f t="shared" si="1"/>
        <v>0.12918245668927986</v>
      </c>
      <c r="R18" s="260">
        <f t="shared" si="1"/>
        <v>0.13500000000000001</v>
      </c>
      <c r="S18" s="260">
        <f t="shared" si="1"/>
        <v>0.13500000000000001</v>
      </c>
      <c r="T18" s="260">
        <f t="shared" si="1"/>
        <v>0.13500000000000001</v>
      </c>
      <c r="U18" s="260">
        <f t="shared" si="1"/>
        <v>0.13109128610074094</v>
      </c>
      <c r="V18" s="260">
        <f t="shared" si="1"/>
        <v>0.13500000000000001</v>
      </c>
      <c r="W18" s="260">
        <f t="shared" si="1"/>
        <v>0.13500000000000001</v>
      </c>
      <c r="X18" s="260">
        <f t="shared" si="1"/>
        <v>0.13500000000000001</v>
      </c>
      <c r="Y18" s="260">
        <f t="shared" si="1"/>
        <v>0.13263456328818785</v>
      </c>
      <c r="Z18" s="260">
        <f t="shared" si="1"/>
        <v>0.13500000000000001</v>
      </c>
      <c r="AA18" s="261">
        <f t="shared" si="1"/>
        <v>0.13500000000000001</v>
      </c>
    </row>
  </sheetData>
  <mergeCells count="3">
    <mergeCell ref="B2:AA2"/>
    <mergeCell ref="C4:L4"/>
    <mergeCell ref="M4:AA4"/>
  </mergeCells>
  <phoneticPr fontId="14" type="noConversion"/>
  <pageMargins left="0.13" right="0.19" top="0.74803149606299202" bottom="0.74803149606299202" header="0.31496062992126" footer="0.31496062992126"/>
  <pageSetup paperSize="9" scale="82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F9"/>
  <sheetViews>
    <sheetView zoomScale="75" workbookViewId="0">
      <selection activeCell="A11" sqref="A11"/>
    </sheetView>
  </sheetViews>
  <sheetFormatPr defaultColWidth="12.5703125" defaultRowHeight="12.75"/>
  <cols>
    <col min="1" max="1" width="25.140625" style="28" bestFit="1" customWidth="1"/>
    <col min="2" max="2" width="15" style="32" bestFit="1" customWidth="1"/>
    <col min="3" max="3" width="22.7109375" style="32" bestFit="1" customWidth="1"/>
    <col min="4" max="4" width="14.7109375" style="32" bestFit="1" customWidth="1"/>
    <col min="5" max="5" width="20.42578125" style="32" bestFit="1" customWidth="1"/>
    <col min="6" max="6" width="20.42578125" style="32" customWidth="1"/>
    <col min="7" max="16384" width="12.5703125" style="28"/>
  </cols>
  <sheetData>
    <row r="1" spans="1:6">
      <c r="A1" s="26" t="s">
        <v>10</v>
      </c>
      <c r="B1" s="27" t="s">
        <v>11</v>
      </c>
      <c r="C1" s="27" t="s">
        <v>12</v>
      </c>
      <c r="D1" s="27" t="s">
        <v>13</v>
      </c>
      <c r="E1" s="27" t="s">
        <v>14</v>
      </c>
      <c r="F1" s="27" t="s">
        <v>15</v>
      </c>
    </row>
    <row r="2" spans="1:6">
      <c r="A2" s="29" t="s">
        <v>16</v>
      </c>
      <c r="B2" s="30">
        <v>84</v>
      </c>
      <c r="C2" s="31">
        <v>0.11518786258633841</v>
      </c>
      <c r="D2" s="31">
        <v>9.7328845252174639E-2</v>
      </c>
      <c r="E2" s="31">
        <v>4.7005885357985125E-2</v>
      </c>
      <c r="F2" s="31">
        <f t="shared" ref="F2:F9" si="0">C2+D2-E2</f>
        <v>0.16551082248052795</v>
      </c>
    </row>
    <row r="3" spans="1:6">
      <c r="A3" s="29" t="s">
        <v>17</v>
      </c>
      <c r="B3" s="30">
        <v>387</v>
      </c>
      <c r="C3" s="31">
        <v>0.21657267923233389</v>
      </c>
      <c r="D3" s="31">
        <v>8.4834934623615153E-3</v>
      </c>
      <c r="E3" s="31">
        <v>7.5723916832108912E-2</v>
      </c>
      <c r="F3" s="31">
        <f t="shared" si="0"/>
        <v>0.1493322558625865</v>
      </c>
    </row>
    <row r="4" spans="1:6">
      <c r="A4" s="29" t="s">
        <v>18</v>
      </c>
      <c r="B4" s="30">
        <v>148</v>
      </c>
      <c r="C4" s="31">
        <v>0.17704812231566325</v>
      </c>
      <c r="D4" s="31">
        <v>5.3871833260713597E-2</v>
      </c>
      <c r="E4" s="31">
        <v>0.10450133172587087</v>
      </c>
      <c r="F4" s="31">
        <f t="shared" si="0"/>
        <v>0.12641862385050598</v>
      </c>
    </row>
    <row r="5" spans="1:6">
      <c r="A5" s="29" t="s">
        <v>19</v>
      </c>
      <c r="B5" s="30">
        <v>41</v>
      </c>
      <c r="C5" s="31">
        <v>0.14758612342466376</v>
      </c>
      <c r="D5" s="31">
        <v>9.410411970286095E-3</v>
      </c>
      <c r="E5" s="31">
        <v>4.3542066962191935E-2</v>
      </c>
      <c r="F5" s="31">
        <f t="shared" si="0"/>
        <v>0.11345446843275792</v>
      </c>
    </row>
    <row r="6" spans="1:6">
      <c r="A6" s="29" t="s">
        <v>20</v>
      </c>
      <c r="B6" s="30">
        <v>34</v>
      </c>
      <c r="C6" s="31">
        <v>0.10324262411627633</v>
      </c>
      <c r="D6" s="31">
        <v>9.2289058282975893E-3</v>
      </c>
      <c r="E6" s="31">
        <v>4.0799399660334135E-2</v>
      </c>
      <c r="F6" s="31">
        <f t="shared" si="0"/>
        <v>7.1672130284239785E-2</v>
      </c>
    </row>
    <row r="7" spans="1:6">
      <c r="A7" s="29" t="s">
        <v>21</v>
      </c>
      <c r="B7" s="30">
        <v>181</v>
      </c>
      <c r="C7" s="31">
        <v>0.15528329123947757</v>
      </c>
      <c r="D7" s="31">
        <v>0.1216598504950844</v>
      </c>
      <c r="E7" s="31">
        <v>9.4553374763196446E-2</v>
      </c>
      <c r="F7" s="31">
        <f t="shared" si="0"/>
        <v>0.18238976697136552</v>
      </c>
    </row>
    <row r="8" spans="1:6">
      <c r="A8" s="29" t="s">
        <v>22</v>
      </c>
      <c r="B8" s="30">
        <v>32</v>
      </c>
      <c r="C8" s="31">
        <v>8.7593918994368858E-2</v>
      </c>
      <c r="D8" s="31">
        <v>6.0977555154976312E-2</v>
      </c>
      <c r="E8" s="31">
        <v>9.7707658685213847E-2</v>
      </c>
      <c r="F8" s="31">
        <f t="shared" si="0"/>
        <v>5.0863815464131337E-2</v>
      </c>
    </row>
    <row r="9" spans="1:6">
      <c r="A9" s="29" t="s">
        <v>23</v>
      </c>
      <c r="B9" s="30">
        <v>29</v>
      </c>
      <c r="C9" s="31">
        <v>0.20613318172127068</v>
      </c>
      <c r="D9" s="31">
        <v>1.7974320706891242E-2</v>
      </c>
      <c r="E9" s="31">
        <v>0.13814464738350743</v>
      </c>
      <c r="F9" s="31">
        <f t="shared" si="0"/>
        <v>8.5962855044654479E-2</v>
      </c>
    </row>
  </sheetData>
  <phoneticPr fontId="1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Dashboard-Input&amp;Output</vt:lpstr>
      <vt:lpstr>Tech Summary</vt:lpstr>
      <vt:lpstr>Energy Assessment</vt:lpstr>
      <vt:lpstr>P&amp;L</vt:lpstr>
      <vt:lpstr>Working Capital</vt:lpstr>
      <vt:lpstr>IRR</vt:lpstr>
      <vt:lpstr>Depreciation</vt:lpstr>
      <vt:lpstr>WACC</vt:lpstr>
      <vt:lpstr>Reference information</vt:lpstr>
      <vt:lpstr>Debt</vt:lpstr>
      <vt:lpstr>Transmission chg</vt:lpstr>
      <vt:lpstr>'Dashboard-Input&amp;Output'!Print_Area</vt:lpstr>
      <vt:lpstr>IRR!Print_Area</vt:lpstr>
      <vt:lpstr>'P&amp;L'!Print_Area</vt:lpstr>
      <vt:lpstr>IRR!Print_Titles</vt:lpstr>
      <vt:lpstr>'P&amp;L'!Print_Titles</vt:lpstr>
    </vt:vector>
  </TitlesOfParts>
  <Company>CWH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Dhariwal</dc:creator>
  <cp:lastModifiedBy>Pranjal Dhariwal</cp:lastModifiedBy>
  <cp:lastPrinted>2023-01-31T07:55:32Z</cp:lastPrinted>
  <dcterms:created xsi:type="dcterms:W3CDTF">2001-10-15T23:22:54Z</dcterms:created>
  <dcterms:modified xsi:type="dcterms:W3CDTF">2023-08-22T22:48:02Z</dcterms:modified>
</cp:coreProperties>
</file>