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Z:\In Progress Files\Yash Bhatnagar\WIP\ON HOLD\VIS(2023-24)-PL299-Q058-279-435\"/>
    </mc:Choice>
  </mc:AlternateContent>
  <xr:revisionPtr revIDLastSave="0" documentId="13_ncr:1_{4735ABDB-17DD-4B5C-8A1E-831706DEB12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working" sheetId="2" r:id="rId1"/>
    <sheet name="Boundary Wall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0" i="2" l="1"/>
  <c r="N16" i="2" l="1"/>
  <c r="N17" i="2"/>
  <c r="N18" i="2"/>
  <c r="K16" i="2"/>
  <c r="K17" i="2"/>
  <c r="K18" i="2"/>
  <c r="G17" i="2"/>
  <c r="H18" i="2"/>
  <c r="P18" i="2" s="1"/>
  <c r="H17" i="2"/>
  <c r="P17" i="2" s="1"/>
  <c r="H16" i="2"/>
  <c r="P16" i="2" s="1"/>
  <c r="G16" i="2"/>
  <c r="G18" i="2" l="1"/>
  <c r="R18" i="2"/>
  <c r="T18" i="2" s="1"/>
  <c r="Q16" i="2"/>
  <c r="R16" i="2" s="1"/>
  <c r="T16" i="2" s="1"/>
  <c r="Q17" i="2"/>
  <c r="R17" i="2" s="1"/>
  <c r="T17" i="2" s="1"/>
  <c r="Q18" i="2"/>
  <c r="H15" i="2"/>
  <c r="G15" i="2" s="1"/>
  <c r="H12" i="2"/>
  <c r="G12" i="2" s="1"/>
  <c r="H13" i="2"/>
  <c r="G13" i="2" s="1"/>
  <c r="H14" i="2"/>
  <c r="G14" i="2" s="1"/>
  <c r="H11" i="2"/>
  <c r="G11" i="2" s="1"/>
  <c r="H10" i="2"/>
  <c r="G10" i="2" s="1"/>
  <c r="H7" i="2"/>
  <c r="G7" i="2" s="1"/>
  <c r="H8" i="2"/>
  <c r="G8" i="2" s="1"/>
  <c r="H9" i="2"/>
  <c r="G9" i="2" s="1"/>
  <c r="H6" i="2"/>
  <c r="G6" i="2" s="1"/>
  <c r="H5" i="2"/>
  <c r="G5" i="2" s="1"/>
  <c r="H4" i="2"/>
  <c r="Y31" i="2"/>
  <c r="Y30" i="2"/>
  <c r="K13" i="2"/>
  <c r="G4" i="2" l="1"/>
  <c r="G19" i="2" s="1"/>
  <c r="H19" i="2"/>
  <c r="N5" i="2"/>
  <c r="N6" i="2"/>
  <c r="N7" i="2"/>
  <c r="N8" i="2"/>
  <c r="N9" i="2"/>
  <c r="N10" i="2"/>
  <c r="N11" i="2"/>
  <c r="N12" i="2"/>
  <c r="N13" i="2"/>
  <c r="N14" i="2"/>
  <c r="N15" i="2"/>
  <c r="K5" i="2"/>
  <c r="K6" i="2"/>
  <c r="K7" i="2"/>
  <c r="K8" i="2"/>
  <c r="K9" i="2"/>
  <c r="K10" i="2"/>
  <c r="K11" i="2"/>
  <c r="K12" i="2"/>
  <c r="K14" i="2"/>
  <c r="K15" i="2"/>
  <c r="P5" i="2"/>
  <c r="P6" i="2"/>
  <c r="P7" i="2"/>
  <c r="P8" i="2"/>
  <c r="P9" i="2"/>
  <c r="P10" i="2"/>
  <c r="P11" i="2"/>
  <c r="P12" i="2"/>
  <c r="P13" i="2"/>
  <c r="P14" i="2"/>
  <c r="P15" i="2"/>
  <c r="P4" i="2"/>
  <c r="B5" i="2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I3" i="3"/>
  <c r="G3" i="3"/>
  <c r="D3" i="3"/>
  <c r="N4" i="2"/>
  <c r="K4" i="2"/>
  <c r="P19" i="2" l="1"/>
  <c r="Q10" i="2"/>
  <c r="R10" i="2" s="1"/>
  <c r="T10" i="2" s="1"/>
  <c r="Q14" i="2"/>
  <c r="R14" i="2" s="1"/>
  <c r="T14" i="2" s="1"/>
  <c r="Q6" i="2"/>
  <c r="R6" i="2" s="1"/>
  <c r="T6" i="2" s="1"/>
  <c r="Q13" i="2"/>
  <c r="R13" i="2" s="1"/>
  <c r="T13" i="2" s="1"/>
  <c r="Q9" i="2"/>
  <c r="R9" i="2" s="1"/>
  <c r="T9" i="2" s="1"/>
  <c r="Q5" i="2"/>
  <c r="R5" i="2" s="1"/>
  <c r="T5" i="2" s="1"/>
  <c r="Q12" i="2"/>
  <c r="R12" i="2" s="1"/>
  <c r="T12" i="2" s="1"/>
  <c r="Q8" i="2"/>
  <c r="R8" i="2" s="1"/>
  <c r="T8" i="2" s="1"/>
  <c r="Q11" i="2"/>
  <c r="R11" i="2" s="1"/>
  <c r="T11" i="2" s="1"/>
  <c r="Q7" i="2"/>
  <c r="R7" i="2" s="1"/>
  <c r="T7" i="2" s="1"/>
  <c r="Q15" i="2"/>
  <c r="R15" i="2" s="1"/>
  <c r="T15" i="2" s="1"/>
  <c r="J3" i="3"/>
  <c r="K3" i="3" s="1"/>
  <c r="M3" i="3" s="1"/>
  <c r="Y33" i="2"/>
  <c r="Q4" i="2"/>
  <c r="Q19" i="2" l="1"/>
  <c r="R4" i="2"/>
  <c r="R19" i="2" s="1"/>
  <c r="T4" i="2" l="1"/>
  <c r="Y21" i="2" l="1"/>
  <c r="Y23" i="2" s="1"/>
  <c r="Y27" i="2" s="1"/>
  <c r="T19" i="2"/>
</calcChain>
</file>

<file path=xl/sharedStrings.xml><?xml version="1.0" encoding="utf-8"?>
<sst xmlns="http://schemas.openxmlformats.org/spreadsheetml/2006/main" count="91" uniqueCount="59">
  <si>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</si>
  <si>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</si>
  <si>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</si>
  <si>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</si>
  <si>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</si>
  <si>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</si>
  <si>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</si>
  <si>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</si>
  <si>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</si>
  <si>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</si>
  <si>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</si>
  <si>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</si>
  <si>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</si>
  <si>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Details of Building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</si>
  <si>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</si>
  <si>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</si>
  <si>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</si>
  <si>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</si>
  <si>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</si>
  <si>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t>Covered area (in sq.mtr)</t>
  </si>
  <si>
    <t>Covered Area 
(in sq ft)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</si>
  <si>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</si>
  <si>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</si>
  <si>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 xml:space="preserve">Year of Construction </t>
  </si>
  <si>
    <t>RCC</t>
  </si>
  <si>
    <t>Type of Building</t>
  </si>
  <si>
    <t>Ground Floor</t>
  </si>
  <si>
    <t>1. All the details pertaing to the building area statement such as area, floor, etc has been taken from the site survey measurement.</t>
  </si>
  <si>
    <t>Sr. No.</t>
  </si>
  <si>
    <t>land</t>
  </si>
  <si>
    <t>building</t>
  </si>
  <si>
    <t>wall</t>
  </si>
  <si>
    <t>pm</t>
  </si>
  <si>
    <t>FMV</t>
  </si>
  <si>
    <t>round off</t>
  </si>
  <si>
    <t>ins</t>
  </si>
  <si>
    <t>Shed 1</t>
  </si>
  <si>
    <t>Shed 2</t>
  </si>
  <si>
    <t>Room 1</t>
  </si>
  <si>
    <t>Room 2</t>
  </si>
  <si>
    <t>Room 3</t>
  </si>
  <si>
    <t>Room 4</t>
  </si>
  <si>
    <t>Room 5</t>
  </si>
  <si>
    <t>Meter Room 1</t>
  </si>
  <si>
    <t>Meter Room 2</t>
  </si>
  <si>
    <t xml:space="preserve">Transformer Room </t>
  </si>
  <si>
    <t>Room</t>
  </si>
  <si>
    <t>Height in feet</t>
  </si>
  <si>
    <t>Tin Shed with Brick Wall</t>
  </si>
  <si>
    <t>Container Office</t>
  </si>
  <si>
    <t>PEB Structure</t>
  </si>
  <si>
    <t xml:space="preserve">GI container </t>
  </si>
  <si>
    <t xml:space="preserve">2.The maintinence of the building is poor as per site survey observation. </t>
  </si>
  <si>
    <t>3. Age of construction taken from the information provided to us.</t>
  </si>
  <si>
    <t>M/S. Akshita Mercantile Pvt. Ltd.| C-9/2, MIDC, Taloja Industrial Area, Panvel, Raigad
TEHSB2:T22IL- DOIWALA, DISTRICT DEHRADUN</t>
  </si>
  <si>
    <t>Toilet 1</t>
  </si>
  <si>
    <t>Toilet 2</t>
  </si>
  <si>
    <t>Watchman Cabin</t>
  </si>
  <si>
    <t>Deterioration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</si>
</sst>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  <numFmt numFmtId="167" formatCode="&quot;₹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 wrapText="1"/>
    </xf>
    <xf numFmtId="166" fontId="2" fillId="2" borderId="1" xfId="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7" fontId="0" fillId="0" borderId="0" xfId="0" applyNumberFormat="1"/>
    <xf numFmtId="166" fontId="0" fillId="0" borderId="0" xfId="0" applyNumberFormat="1"/>
    <xf numFmtId="0" fontId="2" fillId="2" borderId="1" xfId="3" applyFont="1" applyBorder="1" applyAlignment="1">
      <alignment horizontal="center" vertical="center"/>
    </xf>
    <xf numFmtId="0" fontId="2" fillId="5" borderId="1" xfId="3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3" fontId="0" fillId="0" borderId="1" xfId="6" applyFont="1" applyBorder="1" applyAlignment="1">
      <alignment horizontal="center" vertical="center" wrapText="1"/>
    </xf>
    <xf numFmtId="165" fontId="0" fillId="6" borderId="1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43" fontId="2" fillId="0" borderId="1" xfId="6" applyFont="1" applyBorder="1" applyAlignment="1">
      <alignment horizontal="center" vertical="center" wrapText="1"/>
    </xf>
    <xf numFmtId="43" fontId="2" fillId="0" borderId="0" xfId="0" applyNumberFormat="1" applyFont="1"/>
    <xf numFmtId="0" fontId="2" fillId="0" borderId="0" xfId="0" applyFont="1"/>
    <xf numFmtId="166" fontId="0" fillId="0" borderId="0" xfId="6" applyNumberFormat="1" applyFont="1"/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33"/>
  <sheetViews>
    <sheetView tabSelected="1" topLeftCell="H16" zoomScale="85" zoomScaleNormal="85" workbookViewId="0">
      <selection activeCell="Y31" sqref="Y31"/>
    </sheetView>
  </sheetViews>
  <sheetFormatPr defaultRowHeight="15" x14ac:dyDescent="0.25"/>
  <cols>
    <col min="1" max="1" width="2.7109375" customWidth="1"/>
    <col min="2" max="2" width="7.28515625" customWidth="1"/>
    <col min="3" max="3" width="13.7109375" bestFit="1" customWidth="1"/>
    <col min="4" max="4" width="13.140625" bestFit="1" customWidth="1"/>
    <col min="5" max="5" width="9" customWidth="1"/>
    <col min="6" max="6" width="12.5703125" customWidth="1"/>
    <col min="7" max="7" width="11.28515625" customWidth="1"/>
    <col min="8" max="8" width="10.7109375" bestFit="1" customWidth="1"/>
    <col min="9" max="9" width="12.28515625" bestFit="1" customWidth="1"/>
    <col min="10" max="10" width="9.5703125" customWidth="1"/>
    <col min="11" max="11" width="10.42578125" customWidth="1"/>
    <col min="12" max="12" width="11" customWidth="1"/>
    <col min="13" max="13" width="7.7109375" customWidth="1"/>
    <col min="14" max="14" width="8.42578125" customWidth="1"/>
    <col min="15" max="15" width="14.28515625" customWidth="1"/>
    <col min="16" max="17" width="13.42578125" customWidth="1"/>
    <col min="18" max="18" width="15.7109375" customWidth="1"/>
    <col min="19" max="19" width="13" customWidth="1"/>
    <col min="20" max="20" width="13.140625" customWidth="1"/>
    <col min="21" max="21" width="12.7109375" customWidth="1"/>
    <col min="22" max="22" width="5.85546875" bestFit="1" customWidth="1"/>
    <col min="23" max="23" width="12.140625" bestFit="1" customWidth="1"/>
    <col min="24" max="24" width="15.5703125" customWidth="1"/>
    <col min="25" max="25" width="18" customWidth="1"/>
    <col min="26" max="26" width="12.5703125" customWidth="1"/>
    <col min="27" max="27" width="11.85546875" customWidth="1"/>
    <col min="28" max="28" width="12.42578125" customWidth="1"/>
    <col min="29" max="29" width="10.42578125" bestFit="1" customWidth="1"/>
  </cols>
  <sheetData>
    <row r="2" spans="2:20" ht="31.5" customHeight="1" x14ac:dyDescent="0.25">
      <c r="B2" s="32" t="s">
        <v>54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2:20" ht="60" x14ac:dyDescent="0.25">
      <c r="B3" s="23" t="s">
        <v>28</v>
      </c>
      <c r="C3" s="1" t="s">
        <v>13</v>
      </c>
      <c r="D3" s="1" t="s">
        <v>25</v>
      </c>
      <c r="E3" s="1" t="s">
        <v>47</v>
      </c>
      <c r="F3" s="1" t="s">
        <v>0</v>
      </c>
      <c r="G3" s="24" t="s">
        <v>19</v>
      </c>
      <c r="H3" s="19" t="s">
        <v>20</v>
      </c>
      <c r="I3" s="1" t="s">
        <v>23</v>
      </c>
      <c r="J3" s="24" t="s">
        <v>1</v>
      </c>
      <c r="K3" s="1" t="s">
        <v>2</v>
      </c>
      <c r="L3" s="1" t="s">
        <v>3</v>
      </c>
      <c r="M3" s="24" t="s">
        <v>4</v>
      </c>
      <c r="N3" s="24" t="s">
        <v>5</v>
      </c>
      <c r="O3" s="1" t="s">
        <v>6</v>
      </c>
      <c r="P3" s="1" t="s">
        <v>7</v>
      </c>
      <c r="Q3" s="24" t="s">
        <v>8</v>
      </c>
      <c r="R3" s="24" t="s">
        <v>9</v>
      </c>
      <c r="S3" s="1" t="s">
        <v>58</v>
      </c>
      <c r="T3" s="1" t="s">
        <v>10</v>
      </c>
    </row>
    <row r="4" spans="2:20" ht="30" x14ac:dyDescent="0.25">
      <c r="B4" s="2">
        <v>1</v>
      </c>
      <c r="C4" s="20" t="s">
        <v>36</v>
      </c>
      <c r="D4" s="20" t="s">
        <v>26</v>
      </c>
      <c r="E4" s="25">
        <v>35</v>
      </c>
      <c r="F4" s="2" t="s">
        <v>50</v>
      </c>
      <c r="G4" s="18">
        <f>H4/10.7639</f>
        <v>1268.1277232229954</v>
      </c>
      <c r="H4" s="27">
        <f>65*210</f>
        <v>13650</v>
      </c>
      <c r="I4" s="2">
        <v>2004</v>
      </c>
      <c r="J4" s="2">
        <v>2023</v>
      </c>
      <c r="K4" s="2">
        <f t="shared" ref="K4:K18" si="0">J4-I4</f>
        <v>19</v>
      </c>
      <c r="L4" s="2">
        <v>45</v>
      </c>
      <c r="M4" s="3">
        <v>0.05</v>
      </c>
      <c r="N4" s="4">
        <f>(1-M4)/L4</f>
        <v>2.1111111111111112E-2</v>
      </c>
      <c r="O4" s="5">
        <v>1200</v>
      </c>
      <c r="P4" s="5">
        <f>O4*H4</f>
        <v>16380000</v>
      </c>
      <c r="Q4" s="5">
        <f>P4*N4*K4</f>
        <v>6570200</v>
      </c>
      <c r="R4" s="5">
        <f>MAX(P4-Q4,0)</f>
        <v>9809800</v>
      </c>
      <c r="S4" s="6">
        <v>0.5</v>
      </c>
      <c r="T4" s="5">
        <f>IF(R4&gt;M4*P4,R4*(1-S4),P4*M4)</f>
        <v>4904900</v>
      </c>
    </row>
    <row r="5" spans="2:20" ht="30" x14ac:dyDescent="0.25">
      <c r="B5" s="2">
        <f>B4+1</f>
        <v>2</v>
      </c>
      <c r="C5" s="20" t="s">
        <v>37</v>
      </c>
      <c r="D5" s="20" t="s">
        <v>26</v>
      </c>
      <c r="E5" s="25">
        <v>35</v>
      </c>
      <c r="F5" s="2" t="s">
        <v>50</v>
      </c>
      <c r="G5" s="18">
        <f t="shared" ref="G5:G18" si="1">H5/10.7639</f>
        <v>1268.1277232229954</v>
      </c>
      <c r="H5" s="27">
        <f t="shared" ref="H5" si="2">65*210</f>
        <v>13650</v>
      </c>
      <c r="I5" s="2">
        <v>2004</v>
      </c>
      <c r="J5" s="2">
        <v>2023</v>
      </c>
      <c r="K5" s="2">
        <f t="shared" si="0"/>
        <v>19</v>
      </c>
      <c r="L5" s="2">
        <v>45</v>
      </c>
      <c r="M5" s="3">
        <v>0.05</v>
      </c>
      <c r="N5" s="4">
        <f t="shared" ref="N5:N18" si="3">(1-M5)/L5</f>
        <v>2.1111111111111112E-2</v>
      </c>
      <c r="O5" s="5">
        <v>1200</v>
      </c>
      <c r="P5" s="5">
        <f t="shared" ref="P5:P15" si="4">O5*H5</f>
        <v>16380000</v>
      </c>
      <c r="Q5" s="5">
        <f t="shared" ref="Q5:Q15" si="5">P5*N5*K5</f>
        <v>6570200</v>
      </c>
      <c r="R5" s="5">
        <f t="shared" ref="R5:R15" si="6">MAX(P5-Q5,0)</f>
        <v>9809800</v>
      </c>
      <c r="S5" s="6">
        <v>0.95</v>
      </c>
      <c r="T5" s="5">
        <f t="shared" ref="T5:T15" si="7">IF(R5&gt;M5*P5,R5*(1-S5),P5*M5)</f>
        <v>490490.00000000041</v>
      </c>
    </row>
    <row r="6" spans="2:20" ht="45" x14ac:dyDescent="0.25">
      <c r="B6" s="2">
        <f t="shared" ref="B6:B18" si="8">B5+1</f>
        <v>3</v>
      </c>
      <c r="C6" s="20" t="s">
        <v>38</v>
      </c>
      <c r="D6" s="20" t="s">
        <v>26</v>
      </c>
      <c r="E6" s="25">
        <v>8.5399999999999991</v>
      </c>
      <c r="F6" s="2" t="s">
        <v>48</v>
      </c>
      <c r="G6" s="18">
        <f t="shared" si="1"/>
        <v>10.028484099629317</v>
      </c>
      <c r="H6" s="27">
        <f>12.64*8.54</f>
        <v>107.9456</v>
      </c>
      <c r="I6" s="2">
        <v>2004</v>
      </c>
      <c r="J6" s="2">
        <v>2023</v>
      </c>
      <c r="K6" s="2">
        <f t="shared" si="0"/>
        <v>19</v>
      </c>
      <c r="L6" s="2">
        <v>45</v>
      </c>
      <c r="M6" s="3">
        <v>0.1</v>
      </c>
      <c r="N6" s="4">
        <f t="shared" si="3"/>
        <v>0.02</v>
      </c>
      <c r="O6" s="5">
        <v>1000</v>
      </c>
      <c r="P6" s="5">
        <f t="shared" si="4"/>
        <v>107945.60000000001</v>
      </c>
      <c r="Q6" s="5">
        <f t="shared" si="5"/>
        <v>41019.328000000009</v>
      </c>
      <c r="R6" s="5">
        <f t="shared" si="6"/>
        <v>66926.271999999997</v>
      </c>
      <c r="S6" s="6">
        <v>0.2</v>
      </c>
      <c r="T6" s="5">
        <f t="shared" si="7"/>
        <v>53541.017599999999</v>
      </c>
    </row>
    <row r="7" spans="2:20" ht="45" x14ac:dyDescent="0.25">
      <c r="B7" s="2">
        <f t="shared" si="8"/>
        <v>4</v>
      </c>
      <c r="C7" s="20" t="s">
        <v>39</v>
      </c>
      <c r="D7" s="20" t="s">
        <v>26</v>
      </c>
      <c r="E7" s="25">
        <v>8.5399999999999991</v>
      </c>
      <c r="F7" s="2" t="s">
        <v>48</v>
      </c>
      <c r="G7" s="18">
        <f t="shared" si="1"/>
        <v>10.028484099629317</v>
      </c>
      <c r="H7" s="27">
        <f t="shared" ref="H7:H9" si="9">12.64*8.54</f>
        <v>107.9456</v>
      </c>
      <c r="I7" s="2">
        <v>2004</v>
      </c>
      <c r="J7" s="2">
        <v>2023</v>
      </c>
      <c r="K7" s="2">
        <f t="shared" si="0"/>
        <v>19</v>
      </c>
      <c r="L7" s="2">
        <v>45</v>
      </c>
      <c r="M7" s="3">
        <v>0.1</v>
      </c>
      <c r="N7" s="4">
        <f t="shared" si="3"/>
        <v>0.02</v>
      </c>
      <c r="O7" s="5">
        <v>1000</v>
      </c>
      <c r="P7" s="5">
        <f t="shared" si="4"/>
        <v>107945.60000000001</v>
      </c>
      <c r="Q7" s="5">
        <f t="shared" si="5"/>
        <v>41019.328000000009</v>
      </c>
      <c r="R7" s="5">
        <f t="shared" si="6"/>
        <v>66926.271999999997</v>
      </c>
      <c r="S7" s="6">
        <v>0.2</v>
      </c>
      <c r="T7" s="5">
        <f t="shared" si="7"/>
        <v>53541.017599999999</v>
      </c>
    </row>
    <row r="8" spans="2:20" ht="45" x14ac:dyDescent="0.25">
      <c r="B8" s="2">
        <f t="shared" si="8"/>
        <v>5</v>
      </c>
      <c r="C8" s="20" t="s">
        <v>40</v>
      </c>
      <c r="D8" s="20" t="s">
        <v>26</v>
      </c>
      <c r="E8" s="25">
        <v>8.5399999999999991</v>
      </c>
      <c r="F8" s="2" t="s">
        <v>48</v>
      </c>
      <c r="G8" s="18">
        <f t="shared" si="1"/>
        <v>10.028484099629317</v>
      </c>
      <c r="H8" s="27">
        <f t="shared" si="9"/>
        <v>107.9456</v>
      </c>
      <c r="I8" s="2">
        <v>2004</v>
      </c>
      <c r="J8" s="2">
        <v>2023</v>
      </c>
      <c r="K8" s="2">
        <f t="shared" si="0"/>
        <v>19</v>
      </c>
      <c r="L8" s="2">
        <v>45</v>
      </c>
      <c r="M8" s="3">
        <v>0.1</v>
      </c>
      <c r="N8" s="4">
        <f t="shared" si="3"/>
        <v>0.02</v>
      </c>
      <c r="O8" s="5">
        <v>1000</v>
      </c>
      <c r="P8" s="5">
        <f t="shared" si="4"/>
        <v>107945.60000000001</v>
      </c>
      <c r="Q8" s="5">
        <f t="shared" si="5"/>
        <v>41019.328000000009</v>
      </c>
      <c r="R8" s="5">
        <f t="shared" si="6"/>
        <v>66926.271999999997</v>
      </c>
      <c r="S8" s="6">
        <v>0.2</v>
      </c>
      <c r="T8" s="5">
        <f t="shared" si="7"/>
        <v>53541.017599999999</v>
      </c>
    </row>
    <row r="9" spans="2:20" ht="45" x14ac:dyDescent="0.25">
      <c r="B9" s="2">
        <f t="shared" si="8"/>
        <v>6</v>
      </c>
      <c r="C9" s="20" t="s">
        <v>41</v>
      </c>
      <c r="D9" s="20" t="s">
        <v>26</v>
      </c>
      <c r="E9" s="25">
        <v>8.5399999999999991</v>
      </c>
      <c r="F9" s="2" t="s">
        <v>48</v>
      </c>
      <c r="G9" s="18">
        <f t="shared" si="1"/>
        <v>10.028484099629317</v>
      </c>
      <c r="H9" s="27">
        <f t="shared" si="9"/>
        <v>107.9456</v>
      </c>
      <c r="I9" s="2">
        <v>2004</v>
      </c>
      <c r="J9" s="2">
        <v>2023</v>
      </c>
      <c r="K9" s="2">
        <f t="shared" si="0"/>
        <v>19</v>
      </c>
      <c r="L9" s="2">
        <v>45</v>
      </c>
      <c r="M9" s="3">
        <v>0.1</v>
      </c>
      <c r="N9" s="4">
        <f t="shared" si="3"/>
        <v>0.02</v>
      </c>
      <c r="O9" s="5">
        <v>1000</v>
      </c>
      <c r="P9" s="5">
        <f t="shared" si="4"/>
        <v>107945.60000000001</v>
      </c>
      <c r="Q9" s="5">
        <f t="shared" si="5"/>
        <v>41019.328000000009</v>
      </c>
      <c r="R9" s="5">
        <f t="shared" si="6"/>
        <v>66926.271999999997</v>
      </c>
      <c r="S9" s="6">
        <v>0.2</v>
      </c>
      <c r="T9" s="5">
        <f t="shared" si="7"/>
        <v>53541.017599999999</v>
      </c>
    </row>
    <row r="10" spans="2:20" ht="45" x14ac:dyDescent="0.25">
      <c r="B10" s="2">
        <f t="shared" si="8"/>
        <v>7</v>
      </c>
      <c r="C10" s="20" t="s">
        <v>42</v>
      </c>
      <c r="D10" s="20" t="s">
        <v>26</v>
      </c>
      <c r="E10" s="25">
        <v>8.5399999999999991</v>
      </c>
      <c r="F10" s="2" t="s">
        <v>48</v>
      </c>
      <c r="G10" s="18">
        <f t="shared" si="1"/>
        <v>23.801781882031605</v>
      </c>
      <c r="H10" s="27">
        <f>30*8.54</f>
        <v>256.2</v>
      </c>
      <c r="I10" s="2">
        <v>2004</v>
      </c>
      <c r="J10" s="2">
        <v>2023</v>
      </c>
      <c r="K10" s="2">
        <f t="shared" si="0"/>
        <v>19</v>
      </c>
      <c r="L10" s="2">
        <v>45</v>
      </c>
      <c r="M10" s="3">
        <v>0.1</v>
      </c>
      <c r="N10" s="4">
        <f t="shared" si="3"/>
        <v>0.02</v>
      </c>
      <c r="O10" s="5">
        <v>1000</v>
      </c>
      <c r="P10" s="5">
        <f t="shared" si="4"/>
        <v>256200</v>
      </c>
      <c r="Q10" s="5">
        <f t="shared" si="5"/>
        <v>97356</v>
      </c>
      <c r="R10" s="5">
        <f t="shared" si="6"/>
        <v>158844</v>
      </c>
      <c r="S10" s="6">
        <v>0.2</v>
      </c>
      <c r="T10" s="5">
        <f t="shared" si="7"/>
        <v>127075.20000000001</v>
      </c>
    </row>
    <row r="11" spans="2:20" x14ac:dyDescent="0.25">
      <c r="B11" s="2">
        <f t="shared" si="8"/>
        <v>8</v>
      </c>
      <c r="C11" s="20" t="s">
        <v>43</v>
      </c>
      <c r="D11" s="20" t="s">
        <v>26</v>
      </c>
      <c r="E11" s="2">
        <v>11.25</v>
      </c>
      <c r="F11" s="2" t="s">
        <v>24</v>
      </c>
      <c r="G11" s="18">
        <f t="shared" si="1"/>
        <v>14.642694562379809</v>
      </c>
      <c r="H11" s="27">
        <f>14.01*11.25</f>
        <v>157.61250000000001</v>
      </c>
      <c r="I11" s="2">
        <v>2004</v>
      </c>
      <c r="J11" s="2">
        <v>2023</v>
      </c>
      <c r="K11" s="2">
        <f t="shared" si="0"/>
        <v>19</v>
      </c>
      <c r="L11" s="2">
        <v>60</v>
      </c>
      <c r="M11" s="3">
        <v>0.1</v>
      </c>
      <c r="N11" s="4">
        <f t="shared" si="3"/>
        <v>1.5000000000000001E-2</v>
      </c>
      <c r="O11" s="5">
        <v>1400</v>
      </c>
      <c r="P11" s="5">
        <f t="shared" si="4"/>
        <v>220657.50000000003</v>
      </c>
      <c r="Q11" s="5">
        <f t="shared" si="5"/>
        <v>62887.387500000012</v>
      </c>
      <c r="R11" s="5">
        <f t="shared" si="6"/>
        <v>157770.11250000002</v>
      </c>
      <c r="S11" s="6">
        <v>0.2</v>
      </c>
      <c r="T11" s="5">
        <f t="shared" si="7"/>
        <v>126216.09000000003</v>
      </c>
    </row>
    <row r="12" spans="2:20" x14ac:dyDescent="0.25">
      <c r="B12" s="2">
        <f t="shared" si="8"/>
        <v>9</v>
      </c>
      <c r="C12" s="20" t="s">
        <v>44</v>
      </c>
      <c r="D12" s="20" t="s">
        <v>26</v>
      </c>
      <c r="E12" s="2">
        <v>11.25</v>
      </c>
      <c r="F12" s="2" t="s">
        <v>24</v>
      </c>
      <c r="G12" s="18">
        <f t="shared" si="1"/>
        <v>14.642694562379809</v>
      </c>
      <c r="H12" s="27">
        <f t="shared" ref="H12:H14" si="10">14.01*11.25</f>
        <v>157.61250000000001</v>
      </c>
      <c r="I12" s="2">
        <v>2004</v>
      </c>
      <c r="J12" s="2">
        <v>2023</v>
      </c>
      <c r="K12" s="2">
        <f t="shared" si="0"/>
        <v>19</v>
      </c>
      <c r="L12" s="2">
        <v>60</v>
      </c>
      <c r="M12" s="3">
        <v>0.1</v>
      </c>
      <c r="N12" s="4">
        <f t="shared" si="3"/>
        <v>1.5000000000000001E-2</v>
      </c>
      <c r="O12" s="5">
        <v>1400</v>
      </c>
      <c r="P12" s="5">
        <f t="shared" si="4"/>
        <v>220657.50000000003</v>
      </c>
      <c r="Q12" s="5">
        <f t="shared" si="5"/>
        <v>62887.387500000012</v>
      </c>
      <c r="R12" s="5">
        <f t="shared" si="6"/>
        <v>157770.11250000002</v>
      </c>
      <c r="S12" s="6">
        <v>0.2</v>
      </c>
      <c r="T12" s="5">
        <f t="shared" si="7"/>
        <v>126216.09000000003</v>
      </c>
    </row>
    <row r="13" spans="2:20" ht="30" x14ac:dyDescent="0.25">
      <c r="B13" s="2">
        <f t="shared" si="8"/>
        <v>10</v>
      </c>
      <c r="C13" s="20" t="s">
        <v>45</v>
      </c>
      <c r="D13" s="20" t="s">
        <v>26</v>
      </c>
      <c r="E13" s="2">
        <v>11.25</v>
      </c>
      <c r="F13" s="2" t="s">
        <v>24</v>
      </c>
      <c r="G13" s="18">
        <f t="shared" si="1"/>
        <v>14.642694562379809</v>
      </c>
      <c r="H13" s="27">
        <f t="shared" si="10"/>
        <v>157.61250000000001</v>
      </c>
      <c r="I13" s="2">
        <v>2004</v>
      </c>
      <c r="J13" s="2">
        <v>2023</v>
      </c>
      <c r="K13" s="2">
        <f>J13-I13</f>
        <v>19</v>
      </c>
      <c r="L13" s="2">
        <v>60</v>
      </c>
      <c r="M13" s="3">
        <v>0.1</v>
      </c>
      <c r="N13" s="4">
        <f t="shared" si="3"/>
        <v>1.5000000000000001E-2</v>
      </c>
      <c r="O13" s="5">
        <v>1400</v>
      </c>
      <c r="P13" s="5">
        <f t="shared" si="4"/>
        <v>220657.50000000003</v>
      </c>
      <c r="Q13" s="5">
        <f t="shared" si="5"/>
        <v>62887.387500000012</v>
      </c>
      <c r="R13" s="5">
        <f t="shared" si="6"/>
        <v>157770.11250000002</v>
      </c>
      <c r="S13" s="6">
        <v>0.2</v>
      </c>
      <c r="T13" s="5">
        <f t="shared" si="7"/>
        <v>126216.09000000003</v>
      </c>
    </row>
    <row r="14" spans="2:20" x14ac:dyDescent="0.25">
      <c r="B14" s="2">
        <f t="shared" si="8"/>
        <v>11</v>
      </c>
      <c r="C14" s="20" t="s">
        <v>46</v>
      </c>
      <c r="D14" s="20" t="s">
        <v>26</v>
      </c>
      <c r="E14" s="2">
        <v>11.25</v>
      </c>
      <c r="F14" s="26" t="s">
        <v>24</v>
      </c>
      <c r="G14" s="18">
        <f t="shared" si="1"/>
        <v>14.642694562379809</v>
      </c>
      <c r="H14" s="27">
        <f t="shared" si="10"/>
        <v>157.61250000000001</v>
      </c>
      <c r="I14" s="2">
        <v>2004</v>
      </c>
      <c r="J14" s="2">
        <v>2023</v>
      </c>
      <c r="K14" s="2">
        <f t="shared" si="0"/>
        <v>19</v>
      </c>
      <c r="L14" s="2">
        <v>60</v>
      </c>
      <c r="M14" s="3">
        <v>0.1</v>
      </c>
      <c r="N14" s="4">
        <f t="shared" si="3"/>
        <v>1.5000000000000001E-2</v>
      </c>
      <c r="O14" s="5">
        <v>1400</v>
      </c>
      <c r="P14" s="5">
        <f t="shared" si="4"/>
        <v>220657.50000000003</v>
      </c>
      <c r="Q14" s="5">
        <f t="shared" si="5"/>
        <v>62887.387500000012</v>
      </c>
      <c r="R14" s="5">
        <f t="shared" si="6"/>
        <v>157770.11250000002</v>
      </c>
      <c r="S14" s="6">
        <v>0.2</v>
      </c>
      <c r="T14" s="5">
        <f t="shared" si="7"/>
        <v>126216.09000000003</v>
      </c>
    </row>
    <row r="15" spans="2:20" ht="30" x14ac:dyDescent="0.25">
      <c r="B15" s="2">
        <f t="shared" si="8"/>
        <v>12</v>
      </c>
      <c r="C15" s="20" t="s">
        <v>49</v>
      </c>
      <c r="D15" s="20" t="s">
        <v>26</v>
      </c>
      <c r="E15" s="2">
        <v>7.86</v>
      </c>
      <c r="F15" s="25" t="s">
        <v>51</v>
      </c>
      <c r="G15" s="18">
        <f t="shared" si="1"/>
        <v>26.012876373805035</v>
      </c>
      <c r="H15" s="27">
        <f>35*8</f>
        <v>280</v>
      </c>
      <c r="I15" s="2">
        <v>2004</v>
      </c>
      <c r="J15" s="2">
        <v>2023</v>
      </c>
      <c r="K15" s="2">
        <f t="shared" si="0"/>
        <v>19</v>
      </c>
      <c r="L15" s="2">
        <v>25</v>
      </c>
      <c r="M15" s="3">
        <v>0.1</v>
      </c>
      <c r="N15" s="4">
        <f t="shared" si="3"/>
        <v>3.6000000000000004E-2</v>
      </c>
      <c r="O15" s="28">
        <v>1000</v>
      </c>
      <c r="P15" s="5">
        <f t="shared" si="4"/>
        <v>280000</v>
      </c>
      <c r="Q15" s="5">
        <f t="shared" si="5"/>
        <v>191520.00000000003</v>
      </c>
      <c r="R15" s="5">
        <f t="shared" si="6"/>
        <v>88479.999999999971</v>
      </c>
      <c r="S15" s="6">
        <v>0</v>
      </c>
      <c r="T15" s="5">
        <f t="shared" si="7"/>
        <v>88479.999999999971</v>
      </c>
    </row>
    <row r="16" spans="2:20" ht="45" x14ac:dyDescent="0.25">
      <c r="B16" s="2">
        <f t="shared" si="8"/>
        <v>13</v>
      </c>
      <c r="C16" s="20" t="s">
        <v>55</v>
      </c>
      <c r="D16" s="20" t="s">
        <v>26</v>
      </c>
      <c r="E16" s="2">
        <v>10</v>
      </c>
      <c r="F16" s="25" t="s">
        <v>48</v>
      </c>
      <c r="G16" s="18">
        <f t="shared" si="1"/>
        <v>13.935469485966983</v>
      </c>
      <c r="H16" s="27">
        <f>15*10</f>
        <v>150</v>
      </c>
      <c r="I16" s="2">
        <v>2004</v>
      </c>
      <c r="J16" s="2">
        <v>2023</v>
      </c>
      <c r="K16" s="2">
        <f t="shared" si="0"/>
        <v>19</v>
      </c>
      <c r="L16" s="40">
        <v>45</v>
      </c>
      <c r="M16" s="3">
        <v>0.1</v>
      </c>
      <c r="N16" s="4">
        <f t="shared" si="3"/>
        <v>0.02</v>
      </c>
      <c r="O16" s="28">
        <v>1000</v>
      </c>
      <c r="P16" s="5">
        <f t="shared" ref="P16:P18" si="11">O16*H16</f>
        <v>150000</v>
      </c>
      <c r="Q16" s="5">
        <f t="shared" ref="Q16:Q18" si="12">P16*N16*K16</f>
        <v>57000</v>
      </c>
      <c r="R16" s="5">
        <f t="shared" ref="R16:R18" si="13">MAX(P16-Q16,0)</f>
        <v>93000</v>
      </c>
      <c r="S16" s="6">
        <v>0</v>
      </c>
      <c r="T16" s="5">
        <f t="shared" ref="T16:T18" si="14">IF(R16&gt;M16*P16,R16*(1-S16),P16*M16)</f>
        <v>93000</v>
      </c>
    </row>
    <row r="17" spans="2:25" ht="45" x14ac:dyDescent="0.25">
      <c r="B17" s="2">
        <f t="shared" si="8"/>
        <v>14</v>
      </c>
      <c r="C17" s="20" t="s">
        <v>56</v>
      </c>
      <c r="D17" s="20" t="s">
        <v>26</v>
      </c>
      <c r="E17" s="2">
        <v>10</v>
      </c>
      <c r="F17" s="25" t="s">
        <v>48</v>
      </c>
      <c r="G17" s="18">
        <f t="shared" si="1"/>
        <v>13.935469485966983</v>
      </c>
      <c r="H17" s="27">
        <f>15*10</f>
        <v>150</v>
      </c>
      <c r="I17" s="2">
        <v>2004</v>
      </c>
      <c r="J17" s="2">
        <v>2023</v>
      </c>
      <c r="K17" s="2">
        <f t="shared" si="0"/>
        <v>19</v>
      </c>
      <c r="L17" s="40">
        <v>45</v>
      </c>
      <c r="M17" s="3">
        <v>0.1</v>
      </c>
      <c r="N17" s="4">
        <f t="shared" si="3"/>
        <v>0.02</v>
      </c>
      <c r="O17" s="28">
        <v>1000</v>
      </c>
      <c r="P17" s="5">
        <f t="shared" si="11"/>
        <v>150000</v>
      </c>
      <c r="Q17" s="5">
        <f t="shared" si="12"/>
        <v>57000</v>
      </c>
      <c r="R17" s="5">
        <f t="shared" si="13"/>
        <v>93000</v>
      </c>
      <c r="S17" s="6">
        <v>0</v>
      </c>
      <c r="T17" s="5">
        <f t="shared" si="14"/>
        <v>93000</v>
      </c>
    </row>
    <row r="18" spans="2:25" ht="30" x14ac:dyDescent="0.25">
      <c r="B18" s="2">
        <f t="shared" si="8"/>
        <v>15</v>
      </c>
      <c r="C18" s="20" t="s">
        <v>57</v>
      </c>
      <c r="D18" s="20" t="s">
        <v>26</v>
      </c>
      <c r="E18" s="2">
        <v>10</v>
      </c>
      <c r="F18" s="25" t="s">
        <v>24</v>
      </c>
      <c r="G18" s="18">
        <f t="shared" si="1"/>
        <v>6.7352911119575616</v>
      </c>
      <c r="H18" s="27">
        <f>8.6*8.43</f>
        <v>72.49799999999999</v>
      </c>
      <c r="I18" s="2">
        <v>2004</v>
      </c>
      <c r="J18" s="2">
        <v>2023</v>
      </c>
      <c r="K18" s="2">
        <f t="shared" si="0"/>
        <v>19</v>
      </c>
      <c r="L18" s="40">
        <v>60</v>
      </c>
      <c r="M18" s="3">
        <v>0.1</v>
      </c>
      <c r="N18" s="4">
        <f t="shared" si="3"/>
        <v>1.5000000000000001E-2</v>
      </c>
      <c r="O18" s="28">
        <v>1400</v>
      </c>
      <c r="P18" s="5">
        <f t="shared" si="11"/>
        <v>101497.19999999998</v>
      </c>
      <c r="Q18" s="5">
        <f t="shared" si="12"/>
        <v>28926.701999999997</v>
      </c>
      <c r="R18" s="5">
        <f t="shared" si="13"/>
        <v>72570.497999999992</v>
      </c>
      <c r="S18" s="6">
        <v>0</v>
      </c>
      <c r="T18" s="5">
        <f t="shared" si="14"/>
        <v>72570.497999999992</v>
      </c>
    </row>
    <row r="19" spans="2:25" x14ac:dyDescent="0.25">
      <c r="B19" s="33" t="s">
        <v>11</v>
      </c>
      <c r="C19" s="33"/>
      <c r="D19" s="33"/>
      <c r="E19" s="33"/>
      <c r="F19" s="33"/>
      <c r="G19" s="41">
        <f>SUM(G4:G18)</f>
        <v>2719.3610494337549</v>
      </c>
      <c r="H19" s="41">
        <f>SUM(H4:H18)</f>
        <v>29270.930399999994</v>
      </c>
      <c r="I19" s="34"/>
      <c r="J19" s="35"/>
      <c r="K19" s="35"/>
      <c r="L19" s="35"/>
      <c r="M19" s="35"/>
      <c r="N19" s="35"/>
      <c r="O19" s="36"/>
      <c r="P19" s="7">
        <f>SUM(P4:P18)</f>
        <v>35012109.600000009</v>
      </c>
      <c r="Q19" s="7">
        <f>SUM(Q4:Q18)</f>
        <v>13987829.563999996</v>
      </c>
      <c r="R19" s="7">
        <f>SUM(R4:R18)</f>
        <v>21024280.036000002</v>
      </c>
      <c r="S19" s="8"/>
      <c r="T19" s="7">
        <f>SUM(T4:T18)</f>
        <v>6588544.1283999989</v>
      </c>
      <c r="X19" s="10"/>
    </row>
    <row r="20" spans="2:25" x14ac:dyDescent="0.25">
      <c r="B20" s="37" t="s">
        <v>12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X20" s="42" t="s">
        <v>29</v>
      </c>
      <c r="Y20" s="44">
        <f>6000*35000</f>
        <v>210000000</v>
      </c>
    </row>
    <row r="21" spans="2:25" ht="15" customHeight="1" x14ac:dyDescent="0.25">
      <c r="B21" s="29" t="s">
        <v>27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1"/>
      <c r="X21" s="42" t="s">
        <v>30</v>
      </c>
      <c r="Y21" s="44">
        <f>T19</f>
        <v>6588544.1283999989</v>
      </c>
    </row>
    <row r="22" spans="2:25" ht="15" customHeight="1" x14ac:dyDescent="0.25">
      <c r="B22" s="29" t="s">
        <v>52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1"/>
      <c r="X22" s="43" t="s">
        <v>31</v>
      </c>
      <c r="Y22" s="44">
        <v>858000</v>
      </c>
    </row>
    <row r="23" spans="2:25" ht="15" customHeight="1" x14ac:dyDescent="0.25">
      <c r="B23" s="29" t="s">
        <v>53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1"/>
      <c r="X23" s="43"/>
      <c r="Y23" s="44">
        <f>Y20+Y21+Y22</f>
        <v>217446544.1284</v>
      </c>
    </row>
    <row r="24" spans="2:25" x14ac:dyDescent="0.25">
      <c r="X24" s="43"/>
      <c r="Y24" s="44"/>
    </row>
    <row r="25" spans="2:25" x14ac:dyDescent="0.25">
      <c r="H25" s="10"/>
      <c r="X25" s="43"/>
      <c r="Y25" s="44"/>
    </row>
    <row r="26" spans="2:25" x14ac:dyDescent="0.25">
      <c r="I26" s="21"/>
      <c r="U26" s="22"/>
      <c r="X26" s="43" t="s">
        <v>32</v>
      </c>
      <c r="Y26" s="44">
        <v>4711837</v>
      </c>
    </row>
    <row r="27" spans="2:25" x14ac:dyDescent="0.25">
      <c r="I27" s="21"/>
      <c r="X27" s="43" t="s">
        <v>33</v>
      </c>
      <c r="Y27" s="44">
        <f>Y26+Y23</f>
        <v>222158381.1284</v>
      </c>
    </row>
    <row r="28" spans="2:25" x14ac:dyDescent="0.25">
      <c r="I28" s="21"/>
      <c r="M28" s="9"/>
      <c r="X28" s="43"/>
      <c r="Y28" s="44"/>
    </row>
    <row r="29" spans="2:25" x14ac:dyDescent="0.25">
      <c r="X29" s="43" t="s">
        <v>34</v>
      </c>
      <c r="Y29" s="44">
        <v>222000000</v>
      </c>
    </row>
    <row r="30" spans="2:25" x14ac:dyDescent="0.25">
      <c r="P30" s="18"/>
      <c r="X30" s="43"/>
      <c r="Y30" s="44">
        <f>0.85*Y29</f>
        <v>188700000</v>
      </c>
    </row>
    <row r="31" spans="2:25" x14ac:dyDescent="0.25">
      <c r="X31" s="43"/>
      <c r="Y31" s="44">
        <f>Y29*0.75</f>
        <v>166500000</v>
      </c>
    </row>
    <row r="32" spans="2:25" x14ac:dyDescent="0.25">
      <c r="X32" s="43"/>
      <c r="Y32" s="44"/>
    </row>
    <row r="33" spans="10:25" x14ac:dyDescent="0.25">
      <c r="J33" s="10"/>
      <c r="X33" s="43" t="s">
        <v>35</v>
      </c>
      <c r="Y33" s="44">
        <f>0.8*P19</f>
        <v>28009687.680000007</v>
      </c>
    </row>
  </sheetData>
  <dataConsolidate/>
  <mergeCells count="7">
    <mergeCell ref="B23:T23"/>
    <mergeCell ref="B2:T2"/>
    <mergeCell ref="B19:F19"/>
    <mergeCell ref="I19:O19"/>
    <mergeCell ref="B20:T20"/>
    <mergeCell ref="B21:T21"/>
    <mergeCell ref="B22:T22"/>
  </mergeCells>
  <phoneticPr fontId="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"/>
  <sheetViews>
    <sheetView workbookViewId="0">
      <selection activeCell="L3" sqref="L3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</cols>
  <sheetData>
    <row r="1" spans="1:13" ht="15.75" x14ac:dyDescent="0.25">
      <c r="A1" s="32" t="s">
        <v>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04.25" x14ac:dyDescent="0.25">
      <c r="A2" s="11" t="s">
        <v>21</v>
      </c>
      <c r="B2" s="11" t="s">
        <v>15</v>
      </c>
      <c r="C2" s="11" t="s">
        <v>1</v>
      </c>
      <c r="D2" s="11" t="s">
        <v>16</v>
      </c>
      <c r="E2" s="11" t="s">
        <v>17</v>
      </c>
      <c r="F2" s="11" t="s">
        <v>4</v>
      </c>
      <c r="G2" s="11" t="s">
        <v>5</v>
      </c>
      <c r="H2" s="11" t="s">
        <v>22</v>
      </c>
      <c r="I2" s="11" t="s">
        <v>7</v>
      </c>
      <c r="J2" s="11" t="s">
        <v>8</v>
      </c>
      <c r="K2" s="11" t="s">
        <v>9</v>
      </c>
      <c r="L2" s="11" t="s">
        <v>18</v>
      </c>
      <c r="M2" s="11" t="s">
        <v>10</v>
      </c>
    </row>
    <row r="3" spans="1:13" x14ac:dyDescent="0.25">
      <c r="A3" s="12">
        <v>300</v>
      </c>
      <c r="B3" s="13">
        <v>2004</v>
      </c>
      <c r="C3" s="13">
        <v>2023</v>
      </c>
      <c r="D3" s="13">
        <f>C3-B3</f>
        <v>19</v>
      </c>
      <c r="E3" s="13">
        <v>60</v>
      </c>
      <c r="F3" s="14">
        <v>0.1</v>
      </c>
      <c r="G3" s="15">
        <f>(1-F3)/E3</f>
        <v>1.5000000000000001E-2</v>
      </c>
      <c r="H3" s="16">
        <v>4000</v>
      </c>
      <c r="I3" s="16">
        <f>H3*A3</f>
        <v>1200000</v>
      </c>
      <c r="J3" s="16">
        <f>I3*G3*D3</f>
        <v>342000</v>
      </c>
      <c r="K3" s="16">
        <f>MAX(I3-J3,0)</f>
        <v>858000</v>
      </c>
      <c r="L3" s="17">
        <v>0</v>
      </c>
      <c r="M3" s="16">
        <f>IF(K3&gt;F3*I3,K3*(1-L3),I3*F3)</f>
        <v>858000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working</vt:lpstr>
      <vt:lpstr>Boundary Wall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Mahesh Joshi</cp:lastModifiedBy>
  <dcterms:created xsi:type="dcterms:W3CDTF">2022-07-28T09:17:09Z</dcterms:created>
  <dcterms:modified xsi:type="dcterms:W3CDTF">2023-11-01T13:44:03Z</dcterms:modified>
</cp:coreProperties>
</file>