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Sheet1!$A$3:$W$45</definedName>
  </definedNames>
  <calcPr calcId="152511"/>
</workbook>
</file>

<file path=xl/calcChain.xml><?xml version="1.0" encoding="utf-8"?>
<calcChain xmlns="http://schemas.openxmlformats.org/spreadsheetml/2006/main">
  <c r="AI2" i="1" l="1"/>
  <c r="S52" i="1"/>
  <c r="C51" i="1"/>
  <c r="H6" i="3" l="1"/>
  <c r="C53" i="1" l="1"/>
  <c r="D5" i="3" l="1"/>
  <c r="F5" i="3" s="1"/>
  <c r="F17" i="3" l="1"/>
  <c r="G24" i="3" l="1"/>
  <c r="I17" i="3"/>
  <c r="H17" i="3"/>
  <c r="F7" i="3" l="1"/>
  <c r="F6" i="3"/>
  <c r="F4" i="3"/>
  <c r="F8" i="3" l="1"/>
  <c r="G8" i="3" s="1"/>
  <c r="AB44" i="1"/>
  <c r="AD44" i="1" s="1"/>
  <c r="AB43" i="1"/>
  <c r="AD43" i="1" s="1"/>
  <c r="AB42" i="1"/>
  <c r="AD42" i="1" s="1"/>
  <c r="AB41" i="1"/>
  <c r="AD41" i="1" s="1"/>
  <c r="AB40" i="1"/>
  <c r="AD40" i="1" s="1"/>
  <c r="AB39" i="1"/>
  <c r="AD39" i="1" s="1"/>
  <c r="AB38" i="1"/>
  <c r="AD38" i="1" s="1"/>
  <c r="AB37" i="1"/>
  <c r="AD37" i="1" s="1"/>
  <c r="AB36" i="1"/>
  <c r="AD36" i="1" s="1"/>
  <c r="AB35" i="1"/>
  <c r="AD35" i="1" s="1"/>
  <c r="AB34" i="1"/>
  <c r="AD34" i="1" s="1"/>
  <c r="AB33" i="1"/>
  <c r="AD33" i="1" s="1"/>
  <c r="AB32" i="1"/>
  <c r="AD32" i="1" s="1"/>
  <c r="AB31" i="1"/>
  <c r="AD31" i="1" s="1"/>
  <c r="AB30" i="1"/>
  <c r="AD30" i="1" s="1"/>
  <c r="AB29" i="1"/>
  <c r="AD29" i="1" s="1"/>
  <c r="AB28" i="1"/>
  <c r="AD28" i="1" s="1"/>
  <c r="AB27" i="1"/>
  <c r="AD27" i="1" s="1"/>
  <c r="AB26" i="1"/>
  <c r="AD26" i="1" s="1"/>
  <c r="AB25" i="1"/>
  <c r="AD25" i="1" s="1"/>
  <c r="AB24" i="1"/>
  <c r="AD24" i="1" s="1"/>
  <c r="AB23" i="1"/>
  <c r="AD23" i="1" s="1"/>
  <c r="AB22" i="1"/>
  <c r="AD22" i="1" s="1"/>
  <c r="AB21" i="1"/>
  <c r="AD21" i="1" s="1"/>
  <c r="AB20" i="1"/>
  <c r="AD20" i="1" s="1"/>
  <c r="AB19" i="1"/>
  <c r="AD19" i="1" s="1"/>
  <c r="AB18" i="1"/>
  <c r="AD18" i="1" s="1"/>
  <c r="AB17" i="1"/>
  <c r="AD17" i="1" s="1"/>
  <c r="AB16" i="1"/>
  <c r="AD16" i="1" s="1"/>
  <c r="AB15" i="1"/>
  <c r="AD15" i="1" s="1"/>
  <c r="AB14" i="1"/>
  <c r="AD14" i="1" s="1"/>
  <c r="AB13" i="1"/>
  <c r="AD13" i="1" s="1"/>
  <c r="AB12" i="1"/>
  <c r="AD12" i="1" s="1"/>
  <c r="AB11" i="1"/>
  <c r="AD11" i="1" s="1"/>
  <c r="AB9" i="1"/>
  <c r="AD9" i="1" s="1"/>
  <c r="AB8" i="1"/>
  <c r="AD8" i="1" s="1"/>
  <c r="AB4" i="1"/>
  <c r="AD4" i="1" s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9" i="1"/>
  <c r="X8" i="1"/>
  <c r="X4" i="1"/>
  <c r="E8" i="3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P45" i="1"/>
  <c r="N31" i="1"/>
  <c r="N45" i="1" s="1"/>
  <c r="L45" i="1"/>
  <c r="M31" i="1"/>
  <c r="O31" i="1" s="1"/>
  <c r="O45" i="1" s="1"/>
  <c r="M15" i="1"/>
  <c r="J44" i="1"/>
  <c r="R44" i="1" s="1"/>
  <c r="S44" i="1" s="1"/>
  <c r="AE44" i="1" s="1"/>
  <c r="AF44" i="1" s="1"/>
  <c r="AG44" i="1" s="1"/>
  <c r="J43" i="1"/>
  <c r="K43" i="1" s="1"/>
  <c r="J42" i="1"/>
  <c r="R42" i="1" s="1"/>
  <c r="S42" i="1" s="1"/>
  <c r="AE42" i="1" s="1"/>
  <c r="AF42" i="1" s="1"/>
  <c r="AG42" i="1" s="1"/>
  <c r="J41" i="1"/>
  <c r="R41" i="1" s="1"/>
  <c r="S41" i="1" s="1"/>
  <c r="AE41" i="1" s="1"/>
  <c r="AF41" i="1" s="1"/>
  <c r="AG41" i="1" s="1"/>
  <c r="J40" i="1"/>
  <c r="R40" i="1" s="1"/>
  <c r="S40" i="1" s="1"/>
  <c r="AE40" i="1" s="1"/>
  <c r="J39" i="1"/>
  <c r="R39" i="1" s="1"/>
  <c r="S39" i="1" s="1"/>
  <c r="AE39" i="1" s="1"/>
  <c r="J38" i="1"/>
  <c r="R38" i="1" s="1"/>
  <c r="S38" i="1" s="1"/>
  <c r="AE38" i="1" s="1"/>
  <c r="AF38" i="1" s="1"/>
  <c r="AG38" i="1" s="1"/>
  <c r="J37" i="1"/>
  <c r="R37" i="1" s="1"/>
  <c r="S37" i="1" s="1"/>
  <c r="AE37" i="1" s="1"/>
  <c r="AF37" i="1" s="1"/>
  <c r="AG37" i="1" s="1"/>
  <c r="J36" i="1"/>
  <c r="R36" i="1" s="1"/>
  <c r="S36" i="1" s="1"/>
  <c r="AE36" i="1" s="1"/>
  <c r="AF36" i="1" s="1"/>
  <c r="AG36" i="1" s="1"/>
  <c r="J35" i="1"/>
  <c r="R35" i="1" s="1"/>
  <c r="S35" i="1" s="1"/>
  <c r="AE35" i="1" s="1"/>
  <c r="J34" i="1"/>
  <c r="R34" i="1" s="1"/>
  <c r="S34" i="1" s="1"/>
  <c r="AE34" i="1" s="1"/>
  <c r="J33" i="1"/>
  <c r="R33" i="1" s="1"/>
  <c r="S33" i="1" s="1"/>
  <c r="AE33" i="1" s="1"/>
  <c r="J32" i="1"/>
  <c r="R32" i="1" s="1"/>
  <c r="S32" i="1" s="1"/>
  <c r="AE32" i="1" s="1"/>
  <c r="J31" i="1"/>
  <c r="J30" i="1"/>
  <c r="R30" i="1" s="1"/>
  <c r="S30" i="1" s="1"/>
  <c r="AE30" i="1" s="1"/>
  <c r="AF30" i="1" s="1"/>
  <c r="AG30" i="1" s="1"/>
  <c r="J29" i="1"/>
  <c r="J28" i="1"/>
  <c r="R28" i="1" s="1"/>
  <c r="S28" i="1" s="1"/>
  <c r="AE28" i="1" s="1"/>
  <c r="J27" i="1"/>
  <c r="R27" i="1" s="1"/>
  <c r="S27" i="1" s="1"/>
  <c r="AE27" i="1" s="1"/>
  <c r="J26" i="1"/>
  <c r="R26" i="1" s="1"/>
  <c r="S26" i="1" s="1"/>
  <c r="AE26" i="1" s="1"/>
  <c r="AF26" i="1" s="1"/>
  <c r="AG26" i="1" s="1"/>
  <c r="J25" i="1"/>
  <c r="R25" i="1" s="1"/>
  <c r="S25" i="1" s="1"/>
  <c r="AE25" i="1" s="1"/>
  <c r="AF25" i="1" s="1"/>
  <c r="AG25" i="1" s="1"/>
  <c r="J24" i="1"/>
  <c r="R24" i="1" s="1"/>
  <c r="S24" i="1" s="1"/>
  <c r="AE24" i="1" s="1"/>
  <c r="AF24" i="1" s="1"/>
  <c r="AG24" i="1" s="1"/>
  <c r="J23" i="1"/>
  <c r="R23" i="1" s="1"/>
  <c r="S23" i="1" s="1"/>
  <c r="AE23" i="1" s="1"/>
  <c r="J22" i="1"/>
  <c r="R22" i="1" s="1"/>
  <c r="S22" i="1" s="1"/>
  <c r="AE22" i="1" s="1"/>
  <c r="J21" i="1"/>
  <c r="R21" i="1" s="1"/>
  <c r="S21" i="1" s="1"/>
  <c r="AE21" i="1" s="1"/>
  <c r="J20" i="1"/>
  <c r="R20" i="1" s="1"/>
  <c r="S20" i="1" s="1"/>
  <c r="AE20" i="1" s="1"/>
  <c r="J19" i="1"/>
  <c r="R19" i="1" s="1"/>
  <c r="S19" i="1" s="1"/>
  <c r="AE19" i="1" s="1"/>
  <c r="J18" i="1"/>
  <c r="R18" i="1" s="1"/>
  <c r="S18" i="1" s="1"/>
  <c r="AE18" i="1" s="1"/>
  <c r="AG18" i="1" s="1"/>
  <c r="J17" i="1"/>
  <c r="R17" i="1" s="1"/>
  <c r="S17" i="1" s="1"/>
  <c r="AE17" i="1" s="1"/>
  <c r="AG17" i="1" s="1"/>
  <c r="J16" i="1"/>
  <c r="R16" i="1" s="1"/>
  <c r="S16" i="1" s="1"/>
  <c r="AE16" i="1" s="1"/>
  <c r="AG16" i="1" s="1"/>
  <c r="J15" i="1"/>
  <c r="J14" i="1"/>
  <c r="R14" i="1" s="1"/>
  <c r="S14" i="1" s="1"/>
  <c r="AE14" i="1" s="1"/>
  <c r="AF14" i="1" s="1"/>
  <c r="AG14" i="1" s="1"/>
  <c r="J13" i="1"/>
  <c r="R13" i="1" s="1"/>
  <c r="S13" i="1" s="1"/>
  <c r="AE13" i="1" s="1"/>
  <c r="AF13" i="1" s="1"/>
  <c r="AG13" i="1" s="1"/>
  <c r="J12" i="1"/>
  <c r="R12" i="1" s="1"/>
  <c r="S12" i="1" s="1"/>
  <c r="AE12" i="1" s="1"/>
  <c r="I45" i="1"/>
  <c r="H45" i="1"/>
  <c r="G45" i="1"/>
  <c r="F11" i="1"/>
  <c r="R11" i="1" s="1"/>
  <c r="S11" i="1" s="1"/>
  <c r="F10" i="1"/>
  <c r="F9" i="1"/>
  <c r="R9" i="1" s="1"/>
  <c r="S9" i="1" s="1"/>
  <c r="AE9" i="1" s="1"/>
  <c r="AF9" i="1" s="1"/>
  <c r="AG9" i="1" s="1"/>
  <c r="F8" i="1"/>
  <c r="R8" i="1" s="1"/>
  <c r="S8" i="1" s="1"/>
  <c r="AE8" i="1" s="1"/>
  <c r="AF8" i="1" s="1"/>
  <c r="AG8" i="1" s="1"/>
  <c r="F7" i="1"/>
  <c r="F6" i="1"/>
  <c r="F5" i="1"/>
  <c r="F4" i="1"/>
  <c r="R4" i="1" s="1"/>
  <c r="AE11" i="1" l="1"/>
  <c r="AG19" i="1"/>
  <c r="AF35" i="1"/>
  <c r="AG35" i="1" s="1"/>
  <c r="AF11" i="1"/>
  <c r="AG11" i="1" s="1"/>
  <c r="AF27" i="1"/>
  <c r="AG27" i="1" s="1"/>
  <c r="AF28" i="1"/>
  <c r="AG28" i="1" s="1"/>
  <c r="AF32" i="1"/>
  <c r="AG32" i="1" s="1"/>
  <c r="AF40" i="1"/>
  <c r="AG40" i="1" s="1"/>
  <c r="S4" i="1"/>
  <c r="AG21" i="1"/>
  <c r="AF33" i="1"/>
  <c r="AG33" i="1" s="1"/>
  <c r="AF23" i="1"/>
  <c r="AG23" i="1" s="1"/>
  <c r="AF39" i="1"/>
  <c r="AG39" i="1" s="1"/>
  <c r="AF12" i="1"/>
  <c r="AG12" i="1" s="1"/>
  <c r="AG20" i="1"/>
  <c r="AF22" i="1"/>
  <c r="AG22" i="1" s="1"/>
  <c r="AF34" i="1"/>
  <c r="AG34" i="1" s="1"/>
  <c r="M45" i="1"/>
  <c r="R15" i="1"/>
  <c r="S15" i="1" s="1"/>
  <c r="AE15" i="1" s="1"/>
  <c r="AG15" i="1" s="1"/>
  <c r="R43" i="1"/>
  <c r="S43" i="1" s="1"/>
  <c r="AE43" i="1" s="1"/>
  <c r="K45" i="1"/>
  <c r="Q31" i="1"/>
  <c r="Q45" i="1" s="1"/>
  <c r="J45" i="1"/>
  <c r="R29" i="1"/>
  <c r="S29" i="1" s="1"/>
  <c r="AE29" i="1" s="1"/>
  <c r="AF29" i="1" s="1"/>
  <c r="AG29" i="1" s="1"/>
  <c r="F45" i="1"/>
  <c r="AE4" i="1" l="1"/>
  <c r="AF43" i="1"/>
  <c r="AG43" i="1" s="1"/>
  <c r="R31" i="1"/>
  <c r="S31" i="1" s="1"/>
  <c r="AE31" i="1" s="1"/>
  <c r="AE45" i="1" l="1"/>
  <c r="S45" i="1"/>
  <c r="R2" i="1"/>
  <c r="S2" i="1"/>
  <c r="AF31" i="1"/>
  <c r="AG31" i="1" s="1"/>
  <c r="AE2" i="1"/>
  <c r="AE1" i="1" s="1"/>
  <c r="AF4" i="1"/>
  <c r="AF45" i="1" s="1"/>
  <c r="AG4" i="1" l="1"/>
  <c r="AF2" i="1"/>
  <c r="AG2" i="1" l="1"/>
  <c r="F9" i="3" s="1"/>
  <c r="F10" i="3" s="1"/>
  <c r="AG45" i="1"/>
  <c r="C52" i="1" s="1"/>
  <c r="C55" i="1" s="1"/>
  <c r="C56" i="1" s="1"/>
  <c r="C58" i="1" l="1"/>
  <c r="C57" i="1"/>
</calcChain>
</file>

<file path=xl/sharedStrings.xml><?xml version="1.0" encoding="utf-8"?>
<sst xmlns="http://schemas.openxmlformats.org/spreadsheetml/2006/main" count="222" uniqueCount="105">
  <si>
    <t>Name</t>
  </si>
  <si>
    <t>Security Cabin</t>
  </si>
  <si>
    <t>Safety Building</t>
  </si>
  <si>
    <t>Admin &amp; Laboratory</t>
  </si>
  <si>
    <t>PCC Room with Canteen &amp; Change Room</t>
  </si>
  <si>
    <t>Utility Block, Engg. Store, Workshop, MCC Room</t>
  </si>
  <si>
    <t>ETP</t>
  </si>
  <si>
    <t>Tran Yard</t>
  </si>
  <si>
    <t>Toilet Block</t>
  </si>
  <si>
    <t>Gas Station</t>
  </si>
  <si>
    <t>HTLT Metyering Room</t>
  </si>
  <si>
    <t>Admin Building</t>
  </si>
  <si>
    <t>ii</t>
  </si>
  <si>
    <t>iii</t>
  </si>
  <si>
    <t>iv</t>
  </si>
  <si>
    <t>v</t>
  </si>
  <si>
    <t>vi</t>
  </si>
  <si>
    <t>vii</t>
  </si>
  <si>
    <t>Gate Cabin</t>
  </si>
  <si>
    <t>Weigh Bridge</t>
  </si>
  <si>
    <t>Explosive Tank Farm</t>
  </si>
  <si>
    <t>CCOE Tank Farm</t>
  </si>
  <si>
    <t>Warehouse</t>
  </si>
  <si>
    <t>MCC Panel Room</t>
  </si>
  <si>
    <t>OTTA</t>
  </si>
  <si>
    <t>MPP-3</t>
  </si>
  <si>
    <t>MPP-3 Stair Case Area-1</t>
  </si>
  <si>
    <t>MPP-3 Stair Case Area-2</t>
  </si>
  <si>
    <t>Tank Farm-1</t>
  </si>
  <si>
    <t>Tank Farm-2</t>
  </si>
  <si>
    <t>Covered Storage Bromin Tank Shed</t>
  </si>
  <si>
    <t>ETP Area</t>
  </si>
  <si>
    <t>Pump Room, Fire Water, RW Tank, Sprinkler Fire Water Tank</t>
  </si>
  <si>
    <t>Hydrogenation Plant</t>
  </si>
  <si>
    <t>Boiler Shed</t>
  </si>
  <si>
    <t>Shed</t>
  </si>
  <si>
    <t>Egg. Workshop</t>
  </si>
  <si>
    <t>BUA</t>
  </si>
  <si>
    <t>GF</t>
  </si>
  <si>
    <t>FF</t>
  </si>
  <si>
    <t>SF</t>
  </si>
  <si>
    <t>TF</t>
  </si>
  <si>
    <t>Stair Case</t>
  </si>
  <si>
    <t>Proposed</t>
  </si>
  <si>
    <t>FF Mezz.</t>
  </si>
  <si>
    <t>SF Mezz.</t>
  </si>
  <si>
    <t>TF Mezz.</t>
  </si>
  <si>
    <t>4 FL</t>
  </si>
  <si>
    <t>Location Change</t>
  </si>
  <si>
    <t>Demolish</t>
  </si>
  <si>
    <t>No Construction</t>
  </si>
  <si>
    <t>Approved</t>
  </si>
  <si>
    <t>Status</t>
  </si>
  <si>
    <t>Type</t>
  </si>
  <si>
    <t>Yes</t>
  </si>
  <si>
    <t>RCC</t>
  </si>
  <si>
    <t>No</t>
  </si>
  <si>
    <t>Total Area Sqm</t>
  </si>
  <si>
    <t>MPP-I-1 Process Plant</t>
  </si>
  <si>
    <t>RCC + Shed</t>
  </si>
  <si>
    <t>Tank</t>
  </si>
  <si>
    <t>Tank Farm</t>
  </si>
  <si>
    <t>S. No.</t>
  </si>
  <si>
    <t>Age</t>
  </si>
  <si>
    <t>Eco. Life</t>
  </si>
  <si>
    <t>Sal. Value</t>
  </si>
  <si>
    <t>CPWD per sqm</t>
  </si>
  <si>
    <t>CPWD per sqft</t>
  </si>
  <si>
    <t>adjustment</t>
  </si>
  <si>
    <t>RK CoC/sqft</t>
  </si>
  <si>
    <t>GCRC</t>
  </si>
  <si>
    <t>Dep.</t>
  </si>
  <si>
    <t>DRC/FMV</t>
  </si>
  <si>
    <t>Total Area Sqft</t>
  </si>
  <si>
    <t>Boundary</t>
  </si>
  <si>
    <t>Mtr</t>
  </si>
  <si>
    <t>Rate</t>
  </si>
  <si>
    <t>Road</t>
  </si>
  <si>
    <t>Drain</t>
  </si>
  <si>
    <t>Leveling Etc.</t>
  </si>
  <si>
    <t>Land Area</t>
  </si>
  <si>
    <t>Alotment rate</t>
  </si>
  <si>
    <t>Land GB</t>
  </si>
  <si>
    <t>Land NB</t>
  </si>
  <si>
    <t>Rate per sqm</t>
  </si>
  <si>
    <t>Annual Rent</t>
  </si>
  <si>
    <t>PCPIR </t>
  </si>
  <si>
    <t>Other</t>
  </si>
  <si>
    <t>per sqm</t>
  </si>
  <si>
    <t>Total</t>
  </si>
  <si>
    <t xml:space="preserve">Land </t>
  </si>
  <si>
    <t>Building</t>
  </si>
  <si>
    <t>Other Civil Work</t>
  </si>
  <si>
    <t>P&amp;M</t>
  </si>
  <si>
    <t xml:space="preserve">Round off </t>
  </si>
  <si>
    <t>Length (sq. ft.)</t>
  </si>
  <si>
    <t>Width (sq. ft.)</t>
  </si>
  <si>
    <t>Height (sq.ft.)</t>
  </si>
  <si>
    <t>Constrcution year</t>
  </si>
  <si>
    <t>Note:</t>
  </si>
  <si>
    <t>1. The valuation of builidng &amp; strcuture is done for the assests owned by M/s. Neogen Chemicals Limited situated at Dahej, SEZ-II</t>
  </si>
  <si>
    <t>2. Area and measurements are according to the approved site plan provided to us by the client.</t>
  </si>
  <si>
    <t xml:space="preserve">3. As per the site survey structures like ETP, admin building, safety office, PCC Room with Canteen &amp; Change Room is currently under construction so we have not included these in our assignment. </t>
  </si>
  <si>
    <t>RV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</si>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</sst>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[$₹-4009]\ * #,##0_ ;_ [$₹-4009]\ * \-#,##0_ ;_ [$₹-4009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02124"/>
      <name val="Arial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/>
    <xf numFmtId="43" fontId="3" fillId="2" borderId="0" xfId="1" applyFont="1" applyFill="1" applyAlignment="1">
      <alignment horizontal="center" vertical="center"/>
    </xf>
    <xf numFmtId="43" fontId="3" fillId="3" borderId="0" xfId="1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/>
    </xf>
    <xf numFmtId="43" fontId="3" fillId="3" borderId="0" xfId="1" applyFont="1" applyFill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9" fontId="2" fillId="4" borderId="0" xfId="2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43" fontId="2" fillId="4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topLeftCell="A41" workbookViewId="0">
      <selection activeCell="C51" sqref="C51"/>
    </sheetView>
  </sheetViews>
  <sheetFormatPr defaultRowHeight="15" x14ac:dyDescent="0.25"/>
  <cols>
    <col min="1" max="1" width="7" style="1" bestFit="1" customWidth="1"/>
    <col min="2" max="2" width="31.42578125" style="14" customWidth="1"/>
    <col min="3" max="3" width="17" style="15" customWidth="1"/>
    <col min="4" max="4" width="7.42578125" style="15" customWidth="1"/>
    <col min="5" max="5" width="9.140625" style="15"/>
    <col min="6" max="9" width="0" style="15" hidden="1" customWidth="1"/>
    <col min="10" max="10" width="10" style="15" hidden="1" customWidth="1"/>
    <col min="11" max="17" width="0" style="1" hidden="1" customWidth="1"/>
    <col min="18" max="18" width="5.85546875" style="1" hidden="1" customWidth="1"/>
    <col min="19" max="19" width="13.28515625" style="12" customWidth="1"/>
    <col min="20" max="20" width="0" style="1" hidden="1" customWidth="1"/>
    <col min="21" max="21" width="11.7109375" style="1" customWidth="1"/>
    <col min="22" max="22" width="10.7109375" style="1" bestFit="1" customWidth="1"/>
    <col min="23" max="23" width="12.85546875" style="1" customWidth="1"/>
    <col min="24" max="24" width="0" style="1" hidden="1" customWidth="1"/>
    <col min="25" max="25" width="9.140625" style="1"/>
    <col min="26" max="26" width="0" style="1" hidden="1" customWidth="1"/>
    <col min="27" max="27" width="9.140625" style="1"/>
    <col min="28" max="28" width="9" style="12" bestFit="1" customWidth="1"/>
    <col min="29" max="29" width="13.140625" style="1" customWidth="1"/>
    <col min="30" max="30" width="10.5703125" style="18" bestFit="1" customWidth="1"/>
    <col min="31" max="31" width="14.28515625" style="20" customWidth="1"/>
    <col min="32" max="32" width="10.5703125" style="20" customWidth="1"/>
    <col min="33" max="33" width="14.28515625" style="20" bestFit="1" customWidth="1"/>
    <col min="34" max="34" width="9.140625" style="1"/>
    <col min="35" max="35" width="16.85546875" style="1" bestFit="1" customWidth="1"/>
    <col min="36" max="16384" width="9.140625" style="1"/>
  </cols>
  <sheetData>
    <row r="1" spans="1:35" x14ac:dyDescent="0.25">
      <c r="AE1" s="20">
        <f>AE2/10^7</f>
        <v>42.088922897879989</v>
      </c>
    </row>
    <row r="2" spans="1:35" ht="15" customHeight="1" x14ac:dyDescent="0.25">
      <c r="F2" s="23" t="s">
        <v>37</v>
      </c>
      <c r="G2" s="23"/>
      <c r="H2" s="23"/>
      <c r="I2" s="23"/>
      <c r="J2" s="24" t="s">
        <v>43</v>
      </c>
      <c r="K2" s="24"/>
      <c r="L2" s="24"/>
      <c r="M2" s="24"/>
      <c r="N2" s="24"/>
      <c r="O2" s="24"/>
      <c r="P2" s="24"/>
      <c r="Q2" s="24"/>
      <c r="R2" s="16">
        <f>SUM(R4:R44)</f>
        <v>28857.048199999997</v>
      </c>
      <c r="S2" s="16">
        <f>SUM(S4:S44)</f>
        <v>310617.2668248</v>
      </c>
      <c r="X2" s="1">
        <v>2023</v>
      </c>
      <c r="AE2" s="20">
        <f t="shared" ref="AE2:AG2" si="0">SUM(AE4:AE44)</f>
        <v>420889228.97879988</v>
      </c>
      <c r="AF2" s="20">
        <f t="shared" si="0"/>
        <v>841399.61812188895</v>
      </c>
      <c r="AG2" s="20">
        <f t="shared" si="0"/>
        <v>420047829.36067814</v>
      </c>
      <c r="AI2" s="18">
        <f>AE2*0.8</f>
        <v>336711383.1830399</v>
      </c>
    </row>
    <row r="3" spans="1:35" ht="45" x14ac:dyDescent="0.25">
      <c r="A3" s="5" t="s">
        <v>62</v>
      </c>
      <c r="B3" s="13" t="s">
        <v>0</v>
      </c>
      <c r="C3" s="13" t="s">
        <v>95</v>
      </c>
      <c r="D3" s="13" t="s">
        <v>96</v>
      </c>
      <c r="E3" s="13" t="s">
        <v>97</v>
      </c>
      <c r="F3" s="3" t="s">
        <v>38</v>
      </c>
      <c r="G3" s="3" t="s">
        <v>39</v>
      </c>
      <c r="H3" s="3" t="s">
        <v>40</v>
      </c>
      <c r="I3" s="3" t="s">
        <v>41</v>
      </c>
      <c r="J3" s="4" t="s">
        <v>38</v>
      </c>
      <c r="K3" s="4" t="s">
        <v>39</v>
      </c>
      <c r="L3" s="4" t="s">
        <v>44</v>
      </c>
      <c r="M3" s="4" t="s">
        <v>40</v>
      </c>
      <c r="N3" s="4" t="s">
        <v>45</v>
      </c>
      <c r="O3" s="4" t="s">
        <v>41</v>
      </c>
      <c r="P3" s="4" t="s">
        <v>46</v>
      </c>
      <c r="Q3" s="4" t="s">
        <v>47</v>
      </c>
      <c r="R3" s="6" t="s">
        <v>57</v>
      </c>
      <c r="S3" s="13" t="s">
        <v>73</v>
      </c>
      <c r="U3" s="5" t="s">
        <v>52</v>
      </c>
      <c r="V3" s="5" t="s">
        <v>53</v>
      </c>
      <c r="W3" s="13" t="s">
        <v>98</v>
      </c>
      <c r="X3" s="7" t="s">
        <v>63</v>
      </c>
      <c r="Y3" s="7" t="s">
        <v>64</v>
      </c>
      <c r="Z3" s="7" t="s">
        <v>65</v>
      </c>
      <c r="AA3" s="8" t="s">
        <v>66</v>
      </c>
      <c r="AB3" s="8" t="s">
        <v>67</v>
      </c>
      <c r="AC3" s="9" t="s">
        <v>68</v>
      </c>
      <c r="AD3" s="19" t="s">
        <v>69</v>
      </c>
      <c r="AE3" s="21" t="s">
        <v>70</v>
      </c>
      <c r="AF3" s="21" t="s">
        <v>71</v>
      </c>
      <c r="AG3" s="21" t="s">
        <v>72</v>
      </c>
    </row>
    <row r="4" spans="1:35" x14ac:dyDescent="0.25">
      <c r="A4" s="27">
        <v>1</v>
      </c>
      <c r="B4" s="17" t="s">
        <v>1</v>
      </c>
      <c r="C4" s="28">
        <v>2</v>
      </c>
      <c r="D4" s="28">
        <v>2</v>
      </c>
      <c r="E4" s="28">
        <v>3</v>
      </c>
      <c r="F4" s="28">
        <f>D4*C4</f>
        <v>4</v>
      </c>
      <c r="G4" s="28"/>
      <c r="H4" s="28"/>
      <c r="I4" s="28"/>
      <c r="J4" s="28">
        <v>4</v>
      </c>
      <c r="K4" s="27"/>
      <c r="L4" s="27"/>
      <c r="M4" s="27"/>
      <c r="N4" s="27"/>
      <c r="O4" s="27"/>
      <c r="P4" s="27"/>
      <c r="Q4" s="27"/>
      <c r="R4" s="29">
        <f>SUM(F4:Q4)</f>
        <v>8</v>
      </c>
      <c r="S4" s="30">
        <f>R4*10.764</f>
        <v>86.111999999999995</v>
      </c>
      <c r="T4" s="27" t="s">
        <v>48</v>
      </c>
      <c r="U4" s="27" t="s">
        <v>54</v>
      </c>
      <c r="V4" s="27" t="s">
        <v>55</v>
      </c>
      <c r="W4" s="27">
        <v>2020</v>
      </c>
      <c r="X4" s="27">
        <f>$X$2-W4</f>
        <v>3</v>
      </c>
      <c r="Y4" s="27">
        <v>60</v>
      </c>
      <c r="Z4" s="31">
        <v>0.05</v>
      </c>
      <c r="AA4" s="30">
        <v>24730</v>
      </c>
      <c r="AB4" s="30">
        <f>AA4/10.764</f>
        <v>2297.4730583426235</v>
      </c>
      <c r="AC4" s="32">
        <v>0.5</v>
      </c>
      <c r="AD4" s="33">
        <f>AC4*AB4</f>
        <v>1148.7365291713118</v>
      </c>
      <c r="AE4" s="34">
        <f>AD4*S4</f>
        <v>98919.999999999985</v>
      </c>
      <c r="AF4" s="34">
        <f>AE4*(Z4/Y4)*X4</f>
        <v>247.29999999999995</v>
      </c>
      <c r="AG4" s="34">
        <f>AE4-AF4</f>
        <v>98672.699999999983</v>
      </c>
    </row>
    <row r="5" spans="1:35" x14ac:dyDescent="0.25">
      <c r="A5" s="27">
        <f>A4+1</f>
        <v>2</v>
      </c>
      <c r="B5" s="27" t="s">
        <v>2</v>
      </c>
      <c r="C5" s="28">
        <v>17.25</v>
      </c>
      <c r="D5" s="28">
        <v>10.75</v>
      </c>
      <c r="E5" s="28">
        <v>12</v>
      </c>
      <c r="F5" s="28">
        <f t="shared" ref="F5:F11" si="1">D5*C5</f>
        <v>185.4375</v>
      </c>
      <c r="G5" s="28">
        <v>185.44</v>
      </c>
      <c r="H5" s="28">
        <v>185.44</v>
      </c>
      <c r="I5" s="28"/>
      <c r="J5" s="28"/>
      <c r="K5" s="27"/>
      <c r="L5" s="27"/>
      <c r="M5" s="27"/>
      <c r="N5" s="27"/>
      <c r="O5" s="27"/>
      <c r="P5" s="27"/>
      <c r="Q5" s="27"/>
      <c r="R5" s="29">
        <v>0</v>
      </c>
      <c r="S5" s="29"/>
      <c r="T5" s="27" t="s">
        <v>49</v>
      </c>
      <c r="U5" s="27" t="s">
        <v>56</v>
      </c>
      <c r="V5" s="27"/>
      <c r="W5" s="27"/>
      <c r="X5" s="27"/>
      <c r="Y5" s="27"/>
      <c r="Z5" s="27"/>
      <c r="AA5" s="27"/>
      <c r="AB5" s="27"/>
      <c r="AC5" s="27"/>
      <c r="AD5" s="33"/>
      <c r="AE5" s="33"/>
      <c r="AF5" s="33"/>
      <c r="AG5" s="33"/>
    </row>
    <row r="6" spans="1:35" x14ac:dyDescent="0.25">
      <c r="A6" s="27">
        <f t="shared" ref="A6:A44" si="2">A5+1</f>
        <v>3</v>
      </c>
      <c r="B6" s="27" t="s">
        <v>3</v>
      </c>
      <c r="C6" s="28">
        <v>19.75</v>
      </c>
      <c r="D6" s="28">
        <v>17.25</v>
      </c>
      <c r="E6" s="28">
        <v>12</v>
      </c>
      <c r="F6" s="28">
        <f t="shared" si="1"/>
        <v>340.6875</v>
      </c>
      <c r="G6" s="28">
        <v>340.69</v>
      </c>
      <c r="H6" s="28">
        <v>340.69</v>
      </c>
      <c r="I6" s="28"/>
      <c r="J6" s="28"/>
      <c r="K6" s="27"/>
      <c r="L6" s="27"/>
      <c r="M6" s="27"/>
      <c r="N6" s="27"/>
      <c r="O6" s="27"/>
      <c r="P6" s="27"/>
      <c r="Q6" s="27"/>
      <c r="R6" s="29">
        <v>0</v>
      </c>
      <c r="S6" s="29"/>
      <c r="T6" s="27" t="s">
        <v>49</v>
      </c>
      <c r="U6" s="27" t="s">
        <v>56</v>
      </c>
      <c r="V6" s="27"/>
      <c r="W6" s="27"/>
      <c r="X6" s="27"/>
      <c r="Y6" s="27"/>
      <c r="Z6" s="27"/>
      <c r="AA6" s="27"/>
      <c r="AB6" s="27"/>
      <c r="AC6" s="27"/>
      <c r="AD6" s="33"/>
      <c r="AE6" s="33"/>
      <c r="AF6" s="33"/>
      <c r="AG6" s="33"/>
    </row>
    <row r="7" spans="1:35" ht="28.5" customHeight="1" x14ac:dyDescent="0.25">
      <c r="A7" s="27">
        <f t="shared" si="2"/>
        <v>4</v>
      </c>
      <c r="B7" s="17" t="s">
        <v>4</v>
      </c>
      <c r="C7" s="28">
        <v>52.05</v>
      </c>
      <c r="D7" s="28">
        <v>30.5</v>
      </c>
      <c r="E7" s="28">
        <v>7.5</v>
      </c>
      <c r="F7" s="28">
        <f t="shared" si="1"/>
        <v>1587.5249999999999</v>
      </c>
      <c r="G7" s="28"/>
      <c r="H7" s="28"/>
      <c r="I7" s="28"/>
      <c r="J7" s="28"/>
      <c r="K7" s="27"/>
      <c r="L7" s="27"/>
      <c r="M7" s="27"/>
      <c r="N7" s="27"/>
      <c r="O7" s="27"/>
      <c r="P7" s="27"/>
      <c r="Q7" s="27"/>
      <c r="R7" s="29">
        <v>0</v>
      </c>
      <c r="S7" s="29"/>
      <c r="T7" s="27" t="s">
        <v>50</v>
      </c>
      <c r="U7" s="27" t="s">
        <v>56</v>
      </c>
      <c r="V7" s="27"/>
      <c r="W7" s="27"/>
      <c r="X7" s="27"/>
      <c r="Y7" s="27"/>
      <c r="Z7" s="27"/>
      <c r="AA7" s="27"/>
      <c r="AB7" s="27"/>
      <c r="AC7" s="27"/>
      <c r="AD7" s="33"/>
      <c r="AE7" s="33"/>
      <c r="AF7" s="33"/>
      <c r="AG7" s="33"/>
    </row>
    <row r="8" spans="1:35" x14ac:dyDescent="0.25">
      <c r="A8" s="27">
        <f t="shared" si="2"/>
        <v>5</v>
      </c>
      <c r="B8" s="17" t="s">
        <v>58</v>
      </c>
      <c r="C8" s="28">
        <v>38</v>
      </c>
      <c r="D8" s="28">
        <v>16</v>
      </c>
      <c r="E8" s="28">
        <v>22</v>
      </c>
      <c r="F8" s="28">
        <f t="shared" si="1"/>
        <v>608</v>
      </c>
      <c r="G8" s="28">
        <v>608</v>
      </c>
      <c r="H8" s="28">
        <v>608</v>
      </c>
      <c r="I8" s="28">
        <v>608</v>
      </c>
      <c r="J8" s="28"/>
      <c r="K8" s="27"/>
      <c r="L8" s="27"/>
      <c r="M8" s="27"/>
      <c r="N8" s="27"/>
      <c r="O8" s="27"/>
      <c r="P8" s="27"/>
      <c r="Q8" s="27"/>
      <c r="R8" s="29">
        <f t="shared" ref="R8:R44" si="3">SUM(F8:Q8)</f>
        <v>2432</v>
      </c>
      <c r="S8" s="30">
        <f t="shared" ref="S8:S9" si="4">R8*10.764</f>
        <v>26178.047999999999</v>
      </c>
      <c r="T8" s="27" t="s">
        <v>51</v>
      </c>
      <c r="U8" s="27" t="s">
        <v>54</v>
      </c>
      <c r="V8" s="27" t="s">
        <v>59</v>
      </c>
      <c r="W8" s="27">
        <v>2020</v>
      </c>
      <c r="X8" s="27">
        <f t="shared" ref="X8:X9" si="5">$X$2-W8</f>
        <v>3</v>
      </c>
      <c r="Y8" s="27">
        <v>45</v>
      </c>
      <c r="Z8" s="31">
        <v>0.05</v>
      </c>
      <c r="AA8" s="30">
        <v>21260</v>
      </c>
      <c r="AB8" s="30">
        <f t="shared" ref="AB8:AB9" si="6">AA8/10.764</f>
        <v>1975.1021924934969</v>
      </c>
      <c r="AC8" s="32">
        <v>0.65</v>
      </c>
      <c r="AD8" s="33">
        <f t="shared" ref="AD8:AD9" si="7">AC8*AB8</f>
        <v>1283.8164251207729</v>
      </c>
      <c r="AE8" s="34">
        <f t="shared" ref="AE8:AE9" si="8">AD8*S8</f>
        <v>33607808</v>
      </c>
      <c r="AF8" s="34">
        <f t="shared" ref="AF8:AF9" si="9">AE8*(Z8/Y8)*X8</f>
        <v>112026.02666666666</v>
      </c>
      <c r="AG8" s="34">
        <f t="shared" ref="AG8:AG9" si="10">AE8-AF8</f>
        <v>33495781.973333333</v>
      </c>
    </row>
    <row r="9" spans="1:35" ht="30" x14ac:dyDescent="0.25">
      <c r="A9" s="27">
        <f t="shared" si="2"/>
        <v>6</v>
      </c>
      <c r="B9" s="17" t="s">
        <v>5</v>
      </c>
      <c r="C9" s="28">
        <v>16</v>
      </c>
      <c r="D9" s="28">
        <v>13</v>
      </c>
      <c r="E9" s="28">
        <v>7.5</v>
      </c>
      <c r="F9" s="28">
        <f t="shared" si="1"/>
        <v>208</v>
      </c>
      <c r="G9" s="28"/>
      <c r="H9" s="28"/>
      <c r="I9" s="28"/>
      <c r="J9" s="28"/>
      <c r="K9" s="27"/>
      <c r="L9" s="27"/>
      <c r="M9" s="27"/>
      <c r="N9" s="27"/>
      <c r="O9" s="27"/>
      <c r="P9" s="27"/>
      <c r="Q9" s="27"/>
      <c r="R9" s="29">
        <f t="shared" si="3"/>
        <v>208</v>
      </c>
      <c r="S9" s="30">
        <f t="shared" si="4"/>
        <v>2238.9119999999998</v>
      </c>
      <c r="T9" s="27" t="s">
        <v>51</v>
      </c>
      <c r="U9" s="27" t="s">
        <v>54</v>
      </c>
      <c r="V9" s="27" t="s">
        <v>55</v>
      </c>
      <c r="W9" s="27">
        <v>2021</v>
      </c>
      <c r="X9" s="27">
        <f t="shared" si="5"/>
        <v>2</v>
      </c>
      <c r="Y9" s="27">
        <v>60</v>
      </c>
      <c r="Z9" s="31">
        <v>0.05</v>
      </c>
      <c r="AA9" s="30">
        <v>24730</v>
      </c>
      <c r="AB9" s="30">
        <f t="shared" si="6"/>
        <v>2297.4730583426235</v>
      </c>
      <c r="AC9" s="32">
        <v>0.6</v>
      </c>
      <c r="AD9" s="33">
        <f t="shared" si="7"/>
        <v>1378.4838350055741</v>
      </c>
      <c r="AE9" s="34">
        <f t="shared" si="8"/>
        <v>3086303.9999999995</v>
      </c>
      <c r="AF9" s="34">
        <f t="shared" si="9"/>
        <v>5143.8399999999992</v>
      </c>
      <c r="AG9" s="34">
        <f t="shared" si="10"/>
        <v>3081160.1599999997</v>
      </c>
    </row>
    <row r="10" spans="1:35" x14ac:dyDescent="0.25">
      <c r="A10" s="27">
        <f t="shared" si="2"/>
        <v>7</v>
      </c>
      <c r="B10" s="27" t="s">
        <v>6</v>
      </c>
      <c r="C10" s="28">
        <v>13.09</v>
      </c>
      <c r="D10" s="28">
        <v>12</v>
      </c>
      <c r="E10" s="28">
        <v>1.5</v>
      </c>
      <c r="F10" s="28">
        <f t="shared" si="1"/>
        <v>157.07999999999998</v>
      </c>
      <c r="G10" s="28"/>
      <c r="H10" s="28"/>
      <c r="I10" s="28"/>
      <c r="J10" s="28"/>
      <c r="K10" s="27"/>
      <c r="L10" s="27"/>
      <c r="M10" s="27"/>
      <c r="N10" s="27"/>
      <c r="O10" s="27"/>
      <c r="P10" s="27"/>
      <c r="Q10" s="27"/>
      <c r="R10" s="29">
        <v>0</v>
      </c>
      <c r="S10" s="29"/>
      <c r="T10" s="27" t="s">
        <v>50</v>
      </c>
      <c r="U10" s="27" t="s">
        <v>56</v>
      </c>
      <c r="V10" s="27"/>
      <c r="W10" s="27"/>
      <c r="X10" s="27"/>
      <c r="Y10" s="27"/>
      <c r="Z10" s="27"/>
      <c r="AA10" s="27"/>
      <c r="AB10" s="27"/>
      <c r="AC10" s="27"/>
      <c r="AD10" s="33"/>
      <c r="AE10" s="33"/>
      <c r="AF10" s="33"/>
      <c r="AG10" s="33"/>
    </row>
    <row r="11" spans="1:35" x14ac:dyDescent="0.25">
      <c r="A11" s="27">
        <f t="shared" si="2"/>
        <v>8</v>
      </c>
      <c r="B11" s="17" t="s">
        <v>7</v>
      </c>
      <c r="C11" s="28">
        <v>2</v>
      </c>
      <c r="D11" s="28">
        <v>2</v>
      </c>
      <c r="E11" s="28">
        <v>2.5</v>
      </c>
      <c r="F11" s="28">
        <f t="shared" si="1"/>
        <v>4</v>
      </c>
      <c r="G11" s="28"/>
      <c r="H11" s="28"/>
      <c r="I11" s="28"/>
      <c r="J11" s="28"/>
      <c r="K11" s="27"/>
      <c r="L11" s="27"/>
      <c r="M11" s="27"/>
      <c r="N11" s="27"/>
      <c r="O11" s="27"/>
      <c r="P11" s="27"/>
      <c r="Q11" s="27"/>
      <c r="R11" s="29">
        <f t="shared" si="3"/>
        <v>4</v>
      </c>
      <c r="S11" s="30">
        <f t="shared" ref="S11:S44" si="11">R11*10.764</f>
        <v>43.055999999999997</v>
      </c>
      <c r="T11" s="27" t="s">
        <v>51</v>
      </c>
      <c r="U11" s="27" t="s">
        <v>54</v>
      </c>
      <c r="V11" s="27" t="s">
        <v>55</v>
      </c>
      <c r="W11" s="27">
        <v>2021</v>
      </c>
      <c r="X11" s="27">
        <f t="shared" ref="X11:X44" si="12">$X$2-W11</f>
        <v>2</v>
      </c>
      <c r="Y11" s="27">
        <v>60</v>
      </c>
      <c r="Z11" s="31">
        <v>0.05</v>
      </c>
      <c r="AA11" s="30">
        <v>24730</v>
      </c>
      <c r="AB11" s="30">
        <f t="shared" ref="AB11:AB44" si="13">AA11/10.764</f>
        <v>2297.4730583426235</v>
      </c>
      <c r="AC11" s="32">
        <v>0.55000000000000004</v>
      </c>
      <c r="AD11" s="33">
        <f t="shared" ref="AD11:AD44" si="14">AC11*AB11</f>
        <v>1263.610182088443</v>
      </c>
      <c r="AE11" s="34">
        <f t="shared" ref="AE11:AE44" si="15">AD11*S11</f>
        <v>54406</v>
      </c>
      <c r="AF11" s="34">
        <f t="shared" ref="AF11:AF44" si="16">AE11*(Z11/Y11)*X11</f>
        <v>90.676666666666677</v>
      </c>
      <c r="AG11" s="34">
        <f t="shared" ref="AG11:AG44" si="17">AE11-AF11</f>
        <v>54315.323333333334</v>
      </c>
    </row>
    <row r="12" spans="1:35" x14ac:dyDescent="0.25">
      <c r="A12" s="27">
        <f t="shared" si="2"/>
        <v>9</v>
      </c>
      <c r="B12" s="17" t="s">
        <v>8</v>
      </c>
      <c r="C12" s="28">
        <v>6.5</v>
      </c>
      <c r="D12" s="28">
        <v>6</v>
      </c>
      <c r="E12" s="28">
        <v>3</v>
      </c>
      <c r="F12" s="28"/>
      <c r="G12" s="28"/>
      <c r="H12" s="28"/>
      <c r="I12" s="28"/>
      <c r="J12" s="28">
        <f>D12*C12</f>
        <v>39</v>
      </c>
      <c r="K12" s="27"/>
      <c r="L12" s="27"/>
      <c r="M12" s="27"/>
      <c r="N12" s="27"/>
      <c r="O12" s="27"/>
      <c r="P12" s="27"/>
      <c r="Q12" s="27"/>
      <c r="R12" s="29">
        <f t="shared" si="3"/>
        <v>39</v>
      </c>
      <c r="S12" s="30">
        <f t="shared" si="11"/>
        <v>419.79599999999999</v>
      </c>
      <c r="T12" s="27" t="s">
        <v>43</v>
      </c>
      <c r="U12" s="27" t="s">
        <v>54</v>
      </c>
      <c r="V12" s="27" t="s">
        <v>55</v>
      </c>
      <c r="W12" s="27">
        <v>2021</v>
      </c>
      <c r="X12" s="27">
        <f t="shared" si="12"/>
        <v>2</v>
      </c>
      <c r="Y12" s="27">
        <v>60</v>
      </c>
      <c r="Z12" s="31">
        <v>0.05</v>
      </c>
      <c r="AA12" s="30">
        <v>24730</v>
      </c>
      <c r="AB12" s="30">
        <f t="shared" si="13"/>
        <v>2297.4730583426235</v>
      </c>
      <c r="AC12" s="32">
        <v>0.55000000000000004</v>
      </c>
      <c r="AD12" s="33">
        <f t="shared" si="14"/>
        <v>1263.610182088443</v>
      </c>
      <c r="AE12" s="34">
        <f t="shared" si="15"/>
        <v>530458.5</v>
      </c>
      <c r="AF12" s="34">
        <f t="shared" si="16"/>
        <v>884.09750000000008</v>
      </c>
      <c r="AG12" s="34">
        <f t="shared" si="17"/>
        <v>529574.40249999997</v>
      </c>
    </row>
    <row r="13" spans="1:35" x14ac:dyDescent="0.25">
      <c r="A13" s="27">
        <f t="shared" si="2"/>
        <v>10</v>
      </c>
      <c r="B13" s="17" t="s">
        <v>9</v>
      </c>
      <c r="C13" s="28">
        <v>10</v>
      </c>
      <c r="D13" s="28">
        <v>15</v>
      </c>
      <c r="E13" s="28">
        <v>0.9</v>
      </c>
      <c r="F13" s="28"/>
      <c r="G13" s="28"/>
      <c r="H13" s="28"/>
      <c r="I13" s="28"/>
      <c r="J13" s="28">
        <f t="shared" ref="J13:J44" si="18">D13*C13</f>
        <v>150</v>
      </c>
      <c r="K13" s="27"/>
      <c r="L13" s="27"/>
      <c r="M13" s="27"/>
      <c r="N13" s="27"/>
      <c r="O13" s="27"/>
      <c r="P13" s="27"/>
      <c r="Q13" s="27"/>
      <c r="R13" s="29">
        <f t="shared" si="3"/>
        <v>150</v>
      </c>
      <c r="S13" s="30">
        <f t="shared" si="11"/>
        <v>1614.6</v>
      </c>
      <c r="T13" s="27" t="s">
        <v>43</v>
      </c>
      <c r="U13" s="27" t="s">
        <v>54</v>
      </c>
      <c r="V13" s="27" t="s">
        <v>60</v>
      </c>
      <c r="W13" s="27">
        <v>2021</v>
      </c>
      <c r="X13" s="27">
        <f t="shared" si="12"/>
        <v>2</v>
      </c>
      <c r="Y13" s="27">
        <v>60</v>
      </c>
      <c r="Z13" s="31">
        <v>0.05</v>
      </c>
      <c r="AA13" s="30">
        <v>24730</v>
      </c>
      <c r="AB13" s="30">
        <f t="shared" si="13"/>
        <v>2297.4730583426235</v>
      </c>
      <c r="AC13" s="32">
        <v>0.3</v>
      </c>
      <c r="AD13" s="33">
        <f t="shared" si="14"/>
        <v>689.24191750278703</v>
      </c>
      <c r="AE13" s="34">
        <f t="shared" si="15"/>
        <v>1112849.9999999998</v>
      </c>
      <c r="AF13" s="34">
        <f t="shared" si="16"/>
        <v>1854.7499999999998</v>
      </c>
      <c r="AG13" s="34">
        <f t="shared" si="17"/>
        <v>1110995.2499999998</v>
      </c>
    </row>
    <row r="14" spans="1:35" x14ac:dyDescent="0.25">
      <c r="A14" s="27">
        <f t="shared" si="2"/>
        <v>11</v>
      </c>
      <c r="B14" s="17" t="s">
        <v>10</v>
      </c>
      <c r="C14" s="28">
        <v>17.5</v>
      </c>
      <c r="D14" s="28">
        <v>5</v>
      </c>
      <c r="E14" s="28">
        <v>4</v>
      </c>
      <c r="F14" s="28"/>
      <c r="G14" s="28"/>
      <c r="H14" s="28"/>
      <c r="I14" s="28"/>
      <c r="J14" s="28">
        <f t="shared" si="18"/>
        <v>87.5</v>
      </c>
      <c r="K14" s="27"/>
      <c r="L14" s="27"/>
      <c r="M14" s="27"/>
      <c r="N14" s="27"/>
      <c r="O14" s="27"/>
      <c r="P14" s="27"/>
      <c r="Q14" s="27"/>
      <c r="R14" s="29">
        <f t="shared" si="3"/>
        <v>87.5</v>
      </c>
      <c r="S14" s="30">
        <f t="shared" si="11"/>
        <v>941.84999999999991</v>
      </c>
      <c r="T14" s="27" t="s">
        <v>43</v>
      </c>
      <c r="U14" s="27" t="s">
        <v>54</v>
      </c>
      <c r="V14" s="27" t="s">
        <v>55</v>
      </c>
      <c r="W14" s="27">
        <v>2021</v>
      </c>
      <c r="X14" s="27">
        <f t="shared" si="12"/>
        <v>2</v>
      </c>
      <c r="Y14" s="27">
        <v>60</v>
      </c>
      <c r="Z14" s="31">
        <v>0.05</v>
      </c>
      <c r="AA14" s="30">
        <v>24730</v>
      </c>
      <c r="AB14" s="30">
        <f t="shared" si="13"/>
        <v>2297.4730583426235</v>
      </c>
      <c r="AC14" s="32">
        <v>0.55000000000000004</v>
      </c>
      <c r="AD14" s="33">
        <f t="shared" si="14"/>
        <v>1263.610182088443</v>
      </c>
      <c r="AE14" s="34">
        <f t="shared" si="15"/>
        <v>1190131.25</v>
      </c>
      <c r="AF14" s="34">
        <f t="shared" si="16"/>
        <v>1983.5520833333335</v>
      </c>
      <c r="AG14" s="34">
        <f t="shared" si="17"/>
        <v>1188147.6979166667</v>
      </c>
    </row>
    <row r="15" spans="1:35" x14ac:dyDescent="0.25">
      <c r="A15" s="27">
        <f t="shared" si="2"/>
        <v>12</v>
      </c>
      <c r="B15" s="17" t="s">
        <v>11</v>
      </c>
      <c r="C15" s="28">
        <v>17.61</v>
      </c>
      <c r="D15" s="28">
        <v>17.66</v>
      </c>
      <c r="E15" s="28">
        <v>11.4</v>
      </c>
      <c r="F15" s="28"/>
      <c r="G15" s="28"/>
      <c r="H15" s="28"/>
      <c r="I15" s="28"/>
      <c r="J15" s="28">
        <f t="shared" si="18"/>
        <v>310.99259999999998</v>
      </c>
      <c r="K15" s="27">
        <v>743.71</v>
      </c>
      <c r="L15" s="27"/>
      <c r="M15" s="27">
        <f>K15</f>
        <v>743.71</v>
      </c>
      <c r="N15" s="27"/>
      <c r="O15" s="27"/>
      <c r="P15" s="27"/>
      <c r="Q15" s="27"/>
      <c r="R15" s="29">
        <f t="shared" si="3"/>
        <v>1798.4126000000001</v>
      </c>
      <c r="S15" s="30">
        <f t="shared" si="11"/>
        <v>19358.113226400001</v>
      </c>
      <c r="T15" s="27" t="s">
        <v>43</v>
      </c>
      <c r="U15" s="27" t="s">
        <v>54</v>
      </c>
      <c r="V15" s="27" t="s">
        <v>55</v>
      </c>
      <c r="W15" s="27">
        <v>2021</v>
      </c>
      <c r="X15" s="27">
        <f t="shared" si="12"/>
        <v>2</v>
      </c>
      <c r="Y15" s="27">
        <v>60</v>
      </c>
      <c r="Z15" s="31">
        <v>0.05</v>
      </c>
      <c r="AA15" s="30">
        <v>24730</v>
      </c>
      <c r="AB15" s="30">
        <f t="shared" si="13"/>
        <v>2297.4730583426235</v>
      </c>
      <c r="AC15" s="32">
        <v>0.6</v>
      </c>
      <c r="AD15" s="33">
        <f t="shared" si="14"/>
        <v>1378.4838350055741</v>
      </c>
      <c r="AE15" s="34">
        <f t="shared" si="15"/>
        <v>26684846.158799998</v>
      </c>
      <c r="AF15" s="34">
        <v>0</v>
      </c>
      <c r="AG15" s="34">
        <f t="shared" si="17"/>
        <v>26684846.158799998</v>
      </c>
    </row>
    <row r="16" spans="1:35" x14ac:dyDescent="0.25">
      <c r="A16" s="27">
        <f t="shared" si="2"/>
        <v>13</v>
      </c>
      <c r="B16" s="17" t="s">
        <v>12</v>
      </c>
      <c r="C16" s="28">
        <v>15.28</v>
      </c>
      <c r="D16" s="28">
        <v>2.62</v>
      </c>
      <c r="E16" s="28">
        <v>3.8</v>
      </c>
      <c r="F16" s="28"/>
      <c r="G16" s="28"/>
      <c r="H16" s="28"/>
      <c r="I16" s="28"/>
      <c r="J16" s="28">
        <f t="shared" si="18"/>
        <v>40.0336</v>
      </c>
      <c r="K16" s="27"/>
      <c r="L16" s="27"/>
      <c r="M16" s="27"/>
      <c r="N16" s="27"/>
      <c r="O16" s="27"/>
      <c r="P16" s="27"/>
      <c r="Q16" s="27"/>
      <c r="R16" s="29">
        <f t="shared" si="3"/>
        <v>40.0336</v>
      </c>
      <c r="S16" s="30">
        <f t="shared" si="11"/>
        <v>430.92167039999998</v>
      </c>
      <c r="T16" s="27" t="s">
        <v>43</v>
      </c>
      <c r="U16" s="27" t="s">
        <v>54</v>
      </c>
      <c r="V16" s="27" t="s">
        <v>55</v>
      </c>
      <c r="W16" s="27">
        <v>2021</v>
      </c>
      <c r="X16" s="27">
        <f t="shared" si="12"/>
        <v>2</v>
      </c>
      <c r="Y16" s="27">
        <v>60</v>
      </c>
      <c r="Z16" s="31">
        <v>0.05</v>
      </c>
      <c r="AA16" s="30">
        <v>24730</v>
      </c>
      <c r="AB16" s="30">
        <f t="shared" si="13"/>
        <v>2297.4730583426235</v>
      </c>
      <c r="AC16" s="32">
        <v>0.6</v>
      </c>
      <c r="AD16" s="33">
        <f t="shared" si="14"/>
        <v>1378.4838350055741</v>
      </c>
      <c r="AE16" s="34">
        <f t="shared" si="15"/>
        <v>594018.5567999999</v>
      </c>
      <c r="AF16" s="34">
        <v>0</v>
      </c>
      <c r="AG16" s="34">
        <f t="shared" si="17"/>
        <v>594018.5567999999</v>
      </c>
    </row>
    <row r="17" spans="1:33" x14ac:dyDescent="0.25">
      <c r="A17" s="27">
        <f t="shared" si="2"/>
        <v>14</v>
      </c>
      <c r="B17" s="17" t="s">
        <v>13</v>
      </c>
      <c r="C17" s="28">
        <v>3.66</v>
      </c>
      <c r="D17" s="28">
        <v>0.875</v>
      </c>
      <c r="E17" s="28">
        <v>3.8</v>
      </c>
      <c r="F17" s="28"/>
      <c r="G17" s="28"/>
      <c r="H17" s="28"/>
      <c r="I17" s="28"/>
      <c r="J17" s="28">
        <f t="shared" si="18"/>
        <v>3.2025000000000001</v>
      </c>
      <c r="K17" s="27"/>
      <c r="L17" s="27"/>
      <c r="M17" s="27"/>
      <c r="N17" s="27"/>
      <c r="O17" s="27"/>
      <c r="P17" s="27"/>
      <c r="Q17" s="27"/>
      <c r="R17" s="29">
        <f t="shared" si="3"/>
        <v>3.2025000000000001</v>
      </c>
      <c r="S17" s="30">
        <f t="shared" si="11"/>
        <v>34.471710000000002</v>
      </c>
      <c r="T17" s="27" t="s">
        <v>43</v>
      </c>
      <c r="U17" s="27" t="s">
        <v>54</v>
      </c>
      <c r="V17" s="27" t="s">
        <v>55</v>
      </c>
      <c r="W17" s="27">
        <v>2021</v>
      </c>
      <c r="X17" s="27">
        <f t="shared" si="12"/>
        <v>2</v>
      </c>
      <c r="Y17" s="27">
        <v>60</v>
      </c>
      <c r="Z17" s="31">
        <v>0.05</v>
      </c>
      <c r="AA17" s="30">
        <v>24730</v>
      </c>
      <c r="AB17" s="30">
        <f t="shared" si="13"/>
        <v>2297.4730583426235</v>
      </c>
      <c r="AC17" s="32">
        <v>0.6</v>
      </c>
      <c r="AD17" s="33">
        <f t="shared" si="14"/>
        <v>1378.4838350055741</v>
      </c>
      <c r="AE17" s="34">
        <f t="shared" si="15"/>
        <v>47518.695</v>
      </c>
      <c r="AF17" s="34">
        <v>0</v>
      </c>
      <c r="AG17" s="34">
        <f t="shared" si="17"/>
        <v>47518.695</v>
      </c>
    </row>
    <row r="18" spans="1:33" x14ac:dyDescent="0.25">
      <c r="A18" s="27">
        <f t="shared" si="2"/>
        <v>15</v>
      </c>
      <c r="B18" s="17" t="s">
        <v>14</v>
      </c>
      <c r="C18" s="28">
        <v>9.11</v>
      </c>
      <c r="D18" s="28">
        <v>7.96</v>
      </c>
      <c r="E18" s="28">
        <v>3.8</v>
      </c>
      <c r="F18" s="28"/>
      <c r="G18" s="28"/>
      <c r="H18" s="28"/>
      <c r="I18" s="28"/>
      <c r="J18" s="28">
        <f t="shared" si="18"/>
        <v>72.515599999999992</v>
      </c>
      <c r="K18" s="27"/>
      <c r="L18" s="27"/>
      <c r="M18" s="27"/>
      <c r="N18" s="27"/>
      <c r="O18" s="27"/>
      <c r="P18" s="27"/>
      <c r="Q18" s="27"/>
      <c r="R18" s="29">
        <f t="shared" si="3"/>
        <v>72.515599999999992</v>
      </c>
      <c r="S18" s="30">
        <f t="shared" si="11"/>
        <v>780.55791839999983</v>
      </c>
      <c r="T18" s="27" t="s">
        <v>43</v>
      </c>
      <c r="U18" s="27" t="s">
        <v>54</v>
      </c>
      <c r="V18" s="27" t="s">
        <v>55</v>
      </c>
      <c r="W18" s="27">
        <v>2021</v>
      </c>
      <c r="X18" s="27">
        <f t="shared" si="12"/>
        <v>2</v>
      </c>
      <c r="Y18" s="27">
        <v>60</v>
      </c>
      <c r="Z18" s="31">
        <v>0.05</v>
      </c>
      <c r="AA18" s="30">
        <v>24730</v>
      </c>
      <c r="AB18" s="30">
        <f t="shared" si="13"/>
        <v>2297.4730583426235</v>
      </c>
      <c r="AC18" s="32">
        <v>0.6</v>
      </c>
      <c r="AD18" s="33">
        <f t="shared" si="14"/>
        <v>1378.4838350055741</v>
      </c>
      <c r="AE18" s="34">
        <f t="shared" si="15"/>
        <v>1075986.4727999996</v>
      </c>
      <c r="AF18" s="34">
        <v>0</v>
      </c>
      <c r="AG18" s="34">
        <f t="shared" si="17"/>
        <v>1075986.4727999996</v>
      </c>
    </row>
    <row r="19" spans="1:33" x14ac:dyDescent="0.25">
      <c r="A19" s="27">
        <f t="shared" si="2"/>
        <v>16</v>
      </c>
      <c r="B19" s="17" t="s">
        <v>15</v>
      </c>
      <c r="C19" s="28">
        <v>17.61</v>
      </c>
      <c r="D19" s="28">
        <v>15.51</v>
      </c>
      <c r="E19" s="28">
        <v>3.8</v>
      </c>
      <c r="F19" s="28"/>
      <c r="G19" s="28"/>
      <c r="H19" s="28"/>
      <c r="I19" s="28"/>
      <c r="J19" s="28">
        <f t="shared" si="18"/>
        <v>273.1311</v>
      </c>
      <c r="K19" s="27"/>
      <c r="L19" s="27"/>
      <c r="M19" s="27"/>
      <c r="N19" s="27"/>
      <c r="O19" s="27"/>
      <c r="P19" s="27"/>
      <c r="Q19" s="27"/>
      <c r="R19" s="29">
        <f t="shared" si="3"/>
        <v>273.1311</v>
      </c>
      <c r="S19" s="30">
        <f t="shared" si="11"/>
        <v>2939.9831603999996</v>
      </c>
      <c r="T19" s="27" t="s">
        <v>43</v>
      </c>
      <c r="U19" s="27" t="s">
        <v>54</v>
      </c>
      <c r="V19" s="27" t="s">
        <v>55</v>
      </c>
      <c r="W19" s="27">
        <v>2021</v>
      </c>
      <c r="X19" s="27">
        <f t="shared" si="12"/>
        <v>2</v>
      </c>
      <c r="Y19" s="27">
        <v>60</v>
      </c>
      <c r="Z19" s="31">
        <v>0.05</v>
      </c>
      <c r="AA19" s="30">
        <v>24730</v>
      </c>
      <c r="AB19" s="30">
        <f t="shared" si="13"/>
        <v>2297.4730583426235</v>
      </c>
      <c r="AC19" s="32">
        <v>0.6</v>
      </c>
      <c r="AD19" s="33">
        <f t="shared" si="14"/>
        <v>1378.4838350055741</v>
      </c>
      <c r="AE19" s="34">
        <f t="shared" si="15"/>
        <v>4052719.2617999995</v>
      </c>
      <c r="AF19" s="34">
        <v>0</v>
      </c>
      <c r="AG19" s="34">
        <f t="shared" si="17"/>
        <v>4052719.2617999995</v>
      </c>
    </row>
    <row r="20" spans="1:33" x14ac:dyDescent="0.25">
      <c r="A20" s="27">
        <f t="shared" si="2"/>
        <v>17</v>
      </c>
      <c r="B20" s="17" t="s">
        <v>16</v>
      </c>
      <c r="C20" s="28">
        <v>2.62</v>
      </c>
      <c r="D20" s="28">
        <v>15.51</v>
      </c>
      <c r="E20" s="28">
        <v>3.8</v>
      </c>
      <c r="F20" s="28"/>
      <c r="G20" s="28"/>
      <c r="H20" s="28"/>
      <c r="I20" s="28"/>
      <c r="J20" s="28">
        <f t="shared" si="18"/>
        <v>40.636200000000002</v>
      </c>
      <c r="K20" s="27"/>
      <c r="L20" s="27"/>
      <c r="M20" s="27"/>
      <c r="N20" s="27"/>
      <c r="O20" s="27"/>
      <c r="P20" s="27"/>
      <c r="Q20" s="27"/>
      <c r="R20" s="29">
        <f t="shared" si="3"/>
        <v>40.636200000000002</v>
      </c>
      <c r="S20" s="30">
        <f t="shared" si="11"/>
        <v>437.4080568</v>
      </c>
      <c r="T20" s="27" t="s">
        <v>43</v>
      </c>
      <c r="U20" s="27" t="s">
        <v>54</v>
      </c>
      <c r="V20" s="27" t="s">
        <v>55</v>
      </c>
      <c r="W20" s="27">
        <v>2021</v>
      </c>
      <c r="X20" s="27">
        <f t="shared" si="12"/>
        <v>2</v>
      </c>
      <c r="Y20" s="27">
        <v>60</v>
      </c>
      <c r="Z20" s="31">
        <v>0.05</v>
      </c>
      <c r="AA20" s="30">
        <v>24730</v>
      </c>
      <c r="AB20" s="30">
        <f t="shared" si="13"/>
        <v>2297.4730583426235</v>
      </c>
      <c r="AC20" s="32">
        <v>0.6</v>
      </c>
      <c r="AD20" s="33">
        <f t="shared" si="14"/>
        <v>1378.4838350055741</v>
      </c>
      <c r="AE20" s="34">
        <f t="shared" si="15"/>
        <v>602959.93559999997</v>
      </c>
      <c r="AF20" s="34">
        <v>0</v>
      </c>
      <c r="AG20" s="34">
        <f t="shared" si="17"/>
        <v>602959.93559999997</v>
      </c>
    </row>
    <row r="21" spans="1:33" x14ac:dyDescent="0.25">
      <c r="A21" s="27">
        <f t="shared" si="2"/>
        <v>18</v>
      </c>
      <c r="B21" s="17" t="s">
        <v>17</v>
      </c>
      <c r="C21" s="28">
        <v>3.66</v>
      </c>
      <c r="D21" s="28">
        <v>0.875</v>
      </c>
      <c r="E21" s="28">
        <v>3.8</v>
      </c>
      <c r="F21" s="28"/>
      <c r="G21" s="28"/>
      <c r="H21" s="28"/>
      <c r="I21" s="28"/>
      <c r="J21" s="28">
        <f t="shared" si="18"/>
        <v>3.2025000000000001</v>
      </c>
      <c r="K21" s="27"/>
      <c r="L21" s="27"/>
      <c r="M21" s="27"/>
      <c r="N21" s="27"/>
      <c r="O21" s="27"/>
      <c r="P21" s="27"/>
      <c r="Q21" s="27"/>
      <c r="R21" s="29">
        <f t="shared" si="3"/>
        <v>3.2025000000000001</v>
      </c>
      <c r="S21" s="30">
        <f t="shared" si="11"/>
        <v>34.471710000000002</v>
      </c>
      <c r="T21" s="27" t="s">
        <v>43</v>
      </c>
      <c r="U21" s="27" t="s">
        <v>54</v>
      </c>
      <c r="V21" s="27" t="s">
        <v>55</v>
      </c>
      <c r="W21" s="27">
        <v>2021</v>
      </c>
      <c r="X21" s="27">
        <f t="shared" si="12"/>
        <v>2</v>
      </c>
      <c r="Y21" s="27">
        <v>60</v>
      </c>
      <c r="Z21" s="31">
        <v>0.05</v>
      </c>
      <c r="AA21" s="30">
        <v>24730</v>
      </c>
      <c r="AB21" s="30">
        <f t="shared" si="13"/>
        <v>2297.4730583426235</v>
      </c>
      <c r="AC21" s="32">
        <v>0.6</v>
      </c>
      <c r="AD21" s="33">
        <f t="shared" si="14"/>
        <v>1378.4838350055741</v>
      </c>
      <c r="AE21" s="34">
        <f t="shared" si="15"/>
        <v>47518.695</v>
      </c>
      <c r="AF21" s="34">
        <v>0</v>
      </c>
      <c r="AG21" s="34">
        <f t="shared" si="17"/>
        <v>47518.695</v>
      </c>
    </row>
    <row r="22" spans="1:33" x14ac:dyDescent="0.25">
      <c r="A22" s="27">
        <f t="shared" si="2"/>
        <v>19</v>
      </c>
      <c r="B22" s="17" t="s">
        <v>18</v>
      </c>
      <c r="C22" s="28">
        <v>20.23</v>
      </c>
      <c r="D22" s="28">
        <v>5</v>
      </c>
      <c r="E22" s="28">
        <v>3.8</v>
      </c>
      <c r="F22" s="28"/>
      <c r="G22" s="28"/>
      <c r="H22" s="28"/>
      <c r="I22" s="28"/>
      <c r="J22" s="28">
        <f t="shared" si="18"/>
        <v>101.15</v>
      </c>
      <c r="K22" s="27"/>
      <c r="L22" s="27"/>
      <c r="M22" s="27"/>
      <c r="N22" s="27"/>
      <c r="O22" s="27"/>
      <c r="P22" s="27"/>
      <c r="Q22" s="27"/>
      <c r="R22" s="29">
        <f t="shared" si="3"/>
        <v>101.15</v>
      </c>
      <c r="S22" s="30">
        <f t="shared" si="11"/>
        <v>1088.7786000000001</v>
      </c>
      <c r="T22" s="27" t="s">
        <v>43</v>
      </c>
      <c r="U22" s="27" t="s">
        <v>54</v>
      </c>
      <c r="V22" s="27" t="s">
        <v>55</v>
      </c>
      <c r="W22" s="27">
        <v>2021</v>
      </c>
      <c r="X22" s="27">
        <f t="shared" si="12"/>
        <v>2</v>
      </c>
      <c r="Y22" s="27">
        <v>60</v>
      </c>
      <c r="Z22" s="31">
        <v>0.05</v>
      </c>
      <c r="AA22" s="30">
        <v>24730</v>
      </c>
      <c r="AB22" s="30">
        <f t="shared" si="13"/>
        <v>2297.4730583426235</v>
      </c>
      <c r="AC22" s="32">
        <v>0.55000000000000004</v>
      </c>
      <c r="AD22" s="33">
        <f t="shared" si="14"/>
        <v>1263.610182088443</v>
      </c>
      <c r="AE22" s="34">
        <f t="shared" si="15"/>
        <v>1375791.7250000001</v>
      </c>
      <c r="AF22" s="34">
        <f t="shared" si="16"/>
        <v>2292.9862083333337</v>
      </c>
      <c r="AG22" s="34">
        <f t="shared" si="17"/>
        <v>1373498.7387916667</v>
      </c>
    </row>
    <row r="23" spans="1:33" x14ac:dyDescent="0.25">
      <c r="A23" s="27">
        <f t="shared" si="2"/>
        <v>20</v>
      </c>
      <c r="B23" s="17" t="s">
        <v>8</v>
      </c>
      <c r="C23" s="28">
        <v>5</v>
      </c>
      <c r="D23" s="28">
        <v>3.5</v>
      </c>
      <c r="E23" s="28">
        <v>3</v>
      </c>
      <c r="F23" s="28"/>
      <c r="G23" s="28"/>
      <c r="H23" s="28"/>
      <c r="I23" s="28"/>
      <c r="J23" s="28">
        <f t="shared" si="18"/>
        <v>17.5</v>
      </c>
      <c r="K23" s="27"/>
      <c r="L23" s="27"/>
      <c r="M23" s="27"/>
      <c r="N23" s="27"/>
      <c r="O23" s="27"/>
      <c r="P23" s="27"/>
      <c r="Q23" s="27"/>
      <c r="R23" s="29">
        <f t="shared" si="3"/>
        <v>17.5</v>
      </c>
      <c r="S23" s="30">
        <f t="shared" si="11"/>
        <v>188.36999999999998</v>
      </c>
      <c r="T23" s="27" t="s">
        <v>43</v>
      </c>
      <c r="U23" s="27" t="s">
        <v>54</v>
      </c>
      <c r="V23" s="27" t="s">
        <v>55</v>
      </c>
      <c r="W23" s="27">
        <v>2021</v>
      </c>
      <c r="X23" s="27">
        <f t="shared" si="12"/>
        <v>2</v>
      </c>
      <c r="Y23" s="27">
        <v>60</v>
      </c>
      <c r="Z23" s="31">
        <v>0.05</v>
      </c>
      <c r="AA23" s="30">
        <v>24730</v>
      </c>
      <c r="AB23" s="30">
        <f t="shared" si="13"/>
        <v>2297.4730583426235</v>
      </c>
      <c r="AC23" s="32">
        <v>0.55000000000000004</v>
      </c>
      <c r="AD23" s="33">
        <f t="shared" si="14"/>
        <v>1263.610182088443</v>
      </c>
      <c r="AE23" s="34">
        <f t="shared" si="15"/>
        <v>238026.24999999997</v>
      </c>
      <c r="AF23" s="34">
        <f t="shared" si="16"/>
        <v>396.71041666666662</v>
      </c>
      <c r="AG23" s="34">
        <f t="shared" si="17"/>
        <v>237629.5395833333</v>
      </c>
    </row>
    <row r="24" spans="1:33" x14ac:dyDescent="0.25">
      <c r="A24" s="27">
        <f t="shared" si="2"/>
        <v>21</v>
      </c>
      <c r="B24" s="17" t="s">
        <v>19</v>
      </c>
      <c r="C24" s="28">
        <v>28</v>
      </c>
      <c r="D24" s="28">
        <v>4</v>
      </c>
      <c r="E24" s="28">
        <v>1.5</v>
      </c>
      <c r="F24" s="28"/>
      <c r="G24" s="28"/>
      <c r="H24" s="28"/>
      <c r="I24" s="28"/>
      <c r="J24" s="28">
        <f t="shared" si="18"/>
        <v>112</v>
      </c>
      <c r="K24" s="27"/>
      <c r="L24" s="27"/>
      <c r="M24" s="27"/>
      <c r="N24" s="27"/>
      <c r="O24" s="27"/>
      <c r="P24" s="27"/>
      <c r="Q24" s="27"/>
      <c r="R24" s="29">
        <f t="shared" si="3"/>
        <v>112</v>
      </c>
      <c r="S24" s="30">
        <f t="shared" si="11"/>
        <v>1205.568</v>
      </c>
      <c r="T24" s="27" t="s">
        <v>43</v>
      </c>
      <c r="U24" s="27" t="s">
        <v>54</v>
      </c>
      <c r="V24" s="27" t="s">
        <v>55</v>
      </c>
      <c r="W24" s="27">
        <v>2021</v>
      </c>
      <c r="X24" s="27">
        <f t="shared" si="12"/>
        <v>2</v>
      </c>
      <c r="Y24" s="27">
        <v>60</v>
      </c>
      <c r="Z24" s="31">
        <v>0.05</v>
      </c>
      <c r="AA24" s="30">
        <v>24730</v>
      </c>
      <c r="AB24" s="30">
        <f t="shared" si="13"/>
        <v>2297.4730583426235</v>
      </c>
      <c r="AC24" s="32">
        <v>0.55000000000000004</v>
      </c>
      <c r="AD24" s="33">
        <f t="shared" si="14"/>
        <v>1263.610182088443</v>
      </c>
      <c r="AE24" s="34">
        <f t="shared" si="15"/>
        <v>1523368</v>
      </c>
      <c r="AF24" s="34">
        <f t="shared" si="16"/>
        <v>2538.9466666666667</v>
      </c>
      <c r="AG24" s="34">
        <f t="shared" si="17"/>
        <v>1520829.0533333332</v>
      </c>
    </row>
    <row r="25" spans="1:33" x14ac:dyDescent="0.25">
      <c r="A25" s="27">
        <f t="shared" si="2"/>
        <v>22</v>
      </c>
      <c r="B25" s="17" t="s">
        <v>20</v>
      </c>
      <c r="C25" s="28">
        <v>41</v>
      </c>
      <c r="D25" s="28">
        <v>12</v>
      </c>
      <c r="E25" s="28">
        <v>0.45</v>
      </c>
      <c r="F25" s="28"/>
      <c r="G25" s="28"/>
      <c r="H25" s="28"/>
      <c r="I25" s="28"/>
      <c r="J25" s="28">
        <f t="shared" si="18"/>
        <v>492</v>
      </c>
      <c r="K25" s="27"/>
      <c r="L25" s="27"/>
      <c r="M25" s="27"/>
      <c r="N25" s="27"/>
      <c r="O25" s="27"/>
      <c r="P25" s="27"/>
      <c r="Q25" s="27"/>
      <c r="R25" s="29">
        <f t="shared" si="3"/>
        <v>492</v>
      </c>
      <c r="S25" s="30">
        <f t="shared" si="11"/>
        <v>5295.8879999999999</v>
      </c>
      <c r="T25" s="27" t="s">
        <v>43</v>
      </c>
      <c r="U25" s="27" t="s">
        <v>54</v>
      </c>
      <c r="V25" s="27" t="s">
        <v>61</v>
      </c>
      <c r="W25" s="27">
        <v>2021</v>
      </c>
      <c r="X25" s="27">
        <f t="shared" si="12"/>
        <v>2</v>
      </c>
      <c r="Y25" s="27">
        <v>60</v>
      </c>
      <c r="Z25" s="31">
        <v>0.05</v>
      </c>
      <c r="AA25" s="30">
        <v>24730</v>
      </c>
      <c r="AB25" s="30">
        <f t="shared" si="13"/>
        <v>2297.4730583426235</v>
      </c>
      <c r="AC25" s="32">
        <v>0.2</v>
      </c>
      <c r="AD25" s="33">
        <f t="shared" si="14"/>
        <v>459.49461166852473</v>
      </c>
      <c r="AE25" s="34">
        <f t="shared" si="15"/>
        <v>2433432</v>
      </c>
      <c r="AF25" s="34">
        <f t="shared" si="16"/>
        <v>4055.7200000000003</v>
      </c>
      <c r="AG25" s="34">
        <f t="shared" si="17"/>
        <v>2429376.2799999998</v>
      </c>
    </row>
    <row r="26" spans="1:33" x14ac:dyDescent="0.25">
      <c r="A26" s="27">
        <f t="shared" si="2"/>
        <v>23</v>
      </c>
      <c r="B26" s="17" t="s">
        <v>21</v>
      </c>
      <c r="C26" s="28">
        <v>24.5</v>
      </c>
      <c r="D26" s="28">
        <v>12</v>
      </c>
      <c r="E26" s="28">
        <v>3</v>
      </c>
      <c r="F26" s="28"/>
      <c r="G26" s="28"/>
      <c r="H26" s="28"/>
      <c r="I26" s="28"/>
      <c r="J26" s="28">
        <f t="shared" si="18"/>
        <v>294</v>
      </c>
      <c r="K26" s="27"/>
      <c r="L26" s="27"/>
      <c r="M26" s="27"/>
      <c r="N26" s="27"/>
      <c r="O26" s="27"/>
      <c r="P26" s="27"/>
      <c r="Q26" s="27"/>
      <c r="R26" s="29">
        <f t="shared" si="3"/>
        <v>294</v>
      </c>
      <c r="S26" s="30">
        <f t="shared" si="11"/>
        <v>3164.616</v>
      </c>
      <c r="T26" s="27" t="s">
        <v>43</v>
      </c>
      <c r="U26" s="27" t="s">
        <v>54</v>
      </c>
      <c r="V26" s="27" t="s">
        <v>61</v>
      </c>
      <c r="W26" s="27">
        <v>2021</v>
      </c>
      <c r="X26" s="27">
        <f t="shared" si="12"/>
        <v>2</v>
      </c>
      <c r="Y26" s="27">
        <v>60</v>
      </c>
      <c r="Z26" s="31">
        <v>0.05</v>
      </c>
      <c r="AA26" s="30">
        <v>24730</v>
      </c>
      <c r="AB26" s="30">
        <f t="shared" si="13"/>
        <v>2297.4730583426235</v>
      </c>
      <c r="AC26" s="32">
        <v>0.2</v>
      </c>
      <c r="AD26" s="33">
        <f t="shared" si="14"/>
        <v>459.49461166852473</v>
      </c>
      <c r="AE26" s="34">
        <f t="shared" si="15"/>
        <v>1454124</v>
      </c>
      <c r="AF26" s="34">
        <f t="shared" si="16"/>
        <v>2423.54</v>
      </c>
      <c r="AG26" s="34">
        <f t="shared" si="17"/>
        <v>1451700.46</v>
      </c>
    </row>
    <row r="27" spans="1:33" x14ac:dyDescent="0.25">
      <c r="A27" s="27">
        <f t="shared" si="2"/>
        <v>24</v>
      </c>
      <c r="B27" s="17" t="s">
        <v>22</v>
      </c>
      <c r="C27" s="28">
        <v>56.23</v>
      </c>
      <c r="D27" s="28">
        <v>55.23</v>
      </c>
      <c r="E27" s="28">
        <v>12.5</v>
      </c>
      <c r="F27" s="28"/>
      <c r="G27" s="28"/>
      <c r="H27" s="28"/>
      <c r="I27" s="28"/>
      <c r="J27" s="28">
        <f t="shared" si="18"/>
        <v>3105.5828999999994</v>
      </c>
      <c r="K27" s="27"/>
      <c r="L27" s="27"/>
      <c r="M27" s="27"/>
      <c r="N27" s="27"/>
      <c r="O27" s="27"/>
      <c r="P27" s="27"/>
      <c r="Q27" s="27"/>
      <c r="R27" s="29">
        <f t="shared" si="3"/>
        <v>3105.5828999999994</v>
      </c>
      <c r="S27" s="30">
        <f t="shared" si="11"/>
        <v>33428.494335599993</v>
      </c>
      <c r="T27" s="27" t="s">
        <v>43</v>
      </c>
      <c r="U27" s="27" t="s">
        <v>54</v>
      </c>
      <c r="V27" s="27" t="s">
        <v>35</v>
      </c>
      <c r="W27" s="27">
        <v>2021</v>
      </c>
      <c r="X27" s="27">
        <f t="shared" si="12"/>
        <v>2</v>
      </c>
      <c r="Y27" s="27">
        <v>45</v>
      </c>
      <c r="Z27" s="31">
        <v>0.05</v>
      </c>
      <c r="AA27" s="30">
        <v>21260</v>
      </c>
      <c r="AB27" s="30">
        <f t="shared" si="13"/>
        <v>1975.1021924934969</v>
      </c>
      <c r="AC27" s="32">
        <v>0.8</v>
      </c>
      <c r="AD27" s="33">
        <f t="shared" si="14"/>
        <v>1580.0817539947975</v>
      </c>
      <c r="AE27" s="34">
        <f t="shared" si="15"/>
        <v>52819753.963199988</v>
      </c>
      <c r="AF27" s="34">
        <f t="shared" si="16"/>
        <v>117377.2310293333</v>
      </c>
      <c r="AG27" s="34">
        <f t="shared" si="17"/>
        <v>52702376.732170656</v>
      </c>
    </row>
    <row r="28" spans="1:33" x14ac:dyDescent="0.25">
      <c r="A28" s="27">
        <f t="shared" si="2"/>
        <v>25</v>
      </c>
      <c r="B28" s="17" t="s">
        <v>23</v>
      </c>
      <c r="C28" s="28">
        <v>42.96</v>
      </c>
      <c r="D28" s="28">
        <v>8.08</v>
      </c>
      <c r="E28" s="28">
        <v>7.5</v>
      </c>
      <c r="F28" s="28"/>
      <c r="G28" s="28"/>
      <c r="H28" s="28"/>
      <c r="I28" s="28"/>
      <c r="J28" s="28">
        <f t="shared" si="18"/>
        <v>347.11680000000001</v>
      </c>
      <c r="K28" s="27"/>
      <c r="L28" s="27"/>
      <c r="M28" s="27"/>
      <c r="N28" s="27"/>
      <c r="O28" s="27"/>
      <c r="P28" s="27"/>
      <c r="Q28" s="27"/>
      <c r="R28" s="29">
        <f t="shared" si="3"/>
        <v>347.11680000000001</v>
      </c>
      <c r="S28" s="30">
        <f t="shared" si="11"/>
        <v>3736.3652351999999</v>
      </c>
      <c r="T28" s="27" t="s">
        <v>43</v>
      </c>
      <c r="U28" s="27" t="s">
        <v>54</v>
      </c>
      <c r="V28" s="27" t="s">
        <v>55</v>
      </c>
      <c r="W28" s="27">
        <v>2021</v>
      </c>
      <c r="X28" s="27">
        <f t="shared" si="12"/>
        <v>2</v>
      </c>
      <c r="Y28" s="27">
        <v>60</v>
      </c>
      <c r="Z28" s="31">
        <v>0.05</v>
      </c>
      <c r="AA28" s="30">
        <v>24730</v>
      </c>
      <c r="AB28" s="30">
        <f t="shared" si="13"/>
        <v>2297.4730583426235</v>
      </c>
      <c r="AC28" s="32">
        <v>0.5</v>
      </c>
      <c r="AD28" s="33">
        <f t="shared" si="14"/>
        <v>1148.7365291713118</v>
      </c>
      <c r="AE28" s="34">
        <f t="shared" si="15"/>
        <v>4292099.2319999998</v>
      </c>
      <c r="AF28" s="34">
        <f t="shared" si="16"/>
        <v>7153.4987200000005</v>
      </c>
      <c r="AG28" s="34">
        <f t="shared" si="17"/>
        <v>4284945.7332800003</v>
      </c>
    </row>
    <row r="29" spans="1:33" x14ac:dyDescent="0.25">
      <c r="A29" s="27">
        <f t="shared" si="2"/>
        <v>26</v>
      </c>
      <c r="B29" s="17" t="s">
        <v>24</v>
      </c>
      <c r="C29" s="28">
        <v>12.26</v>
      </c>
      <c r="D29" s="28">
        <v>5</v>
      </c>
      <c r="E29" s="28">
        <v>4</v>
      </c>
      <c r="F29" s="28"/>
      <c r="G29" s="28"/>
      <c r="H29" s="28"/>
      <c r="I29" s="28"/>
      <c r="J29" s="28">
        <f t="shared" si="18"/>
        <v>61.3</v>
      </c>
      <c r="K29" s="27"/>
      <c r="L29" s="27"/>
      <c r="M29" s="27"/>
      <c r="N29" s="27"/>
      <c r="O29" s="27"/>
      <c r="P29" s="27"/>
      <c r="Q29" s="27"/>
      <c r="R29" s="29">
        <f t="shared" si="3"/>
        <v>61.3</v>
      </c>
      <c r="S29" s="30">
        <f t="shared" si="11"/>
        <v>659.83319999999992</v>
      </c>
      <c r="T29" s="27" t="s">
        <v>43</v>
      </c>
      <c r="U29" s="27" t="s">
        <v>54</v>
      </c>
      <c r="V29" s="27" t="s">
        <v>60</v>
      </c>
      <c r="W29" s="27">
        <v>2021</v>
      </c>
      <c r="X29" s="27">
        <f t="shared" si="12"/>
        <v>2</v>
      </c>
      <c r="Y29" s="27">
        <v>60</v>
      </c>
      <c r="Z29" s="31">
        <v>0.05</v>
      </c>
      <c r="AA29" s="30">
        <v>24730</v>
      </c>
      <c r="AB29" s="30">
        <f t="shared" si="13"/>
        <v>2297.4730583426235</v>
      </c>
      <c r="AC29" s="32">
        <v>0.3</v>
      </c>
      <c r="AD29" s="33">
        <f t="shared" si="14"/>
        <v>689.24191750278703</v>
      </c>
      <c r="AE29" s="34">
        <f t="shared" si="15"/>
        <v>454784.6999999999</v>
      </c>
      <c r="AF29" s="34">
        <f t="shared" si="16"/>
        <v>757.97449999999992</v>
      </c>
      <c r="AG29" s="34">
        <f t="shared" si="17"/>
        <v>454026.72549999988</v>
      </c>
    </row>
    <row r="30" spans="1:33" x14ac:dyDescent="0.25">
      <c r="A30" s="27">
        <f t="shared" si="2"/>
        <v>27</v>
      </c>
      <c r="B30" s="17" t="s">
        <v>8</v>
      </c>
      <c r="C30" s="28">
        <v>6.5</v>
      </c>
      <c r="D30" s="28">
        <v>6</v>
      </c>
      <c r="E30" s="28">
        <v>3</v>
      </c>
      <c r="F30" s="28"/>
      <c r="G30" s="28"/>
      <c r="H30" s="28"/>
      <c r="I30" s="28"/>
      <c r="J30" s="28">
        <f t="shared" si="18"/>
        <v>39</v>
      </c>
      <c r="K30" s="27"/>
      <c r="L30" s="27"/>
      <c r="M30" s="27"/>
      <c r="N30" s="27"/>
      <c r="O30" s="27"/>
      <c r="P30" s="27"/>
      <c r="Q30" s="27"/>
      <c r="R30" s="29">
        <f t="shared" si="3"/>
        <v>39</v>
      </c>
      <c r="S30" s="30">
        <f t="shared" si="11"/>
        <v>419.79599999999999</v>
      </c>
      <c r="T30" s="27" t="s">
        <v>43</v>
      </c>
      <c r="U30" s="27" t="s">
        <v>54</v>
      </c>
      <c r="V30" s="27" t="s">
        <v>55</v>
      </c>
      <c r="W30" s="27">
        <v>2021</v>
      </c>
      <c r="X30" s="27">
        <f t="shared" si="12"/>
        <v>2</v>
      </c>
      <c r="Y30" s="27">
        <v>60</v>
      </c>
      <c r="Z30" s="31">
        <v>0.05</v>
      </c>
      <c r="AA30" s="30">
        <v>24730</v>
      </c>
      <c r="AB30" s="30">
        <f t="shared" si="13"/>
        <v>2297.4730583426235</v>
      </c>
      <c r="AC30" s="32">
        <v>0.55000000000000004</v>
      </c>
      <c r="AD30" s="33">
        <f t="shared" si="14"/>
        <v>1263.610182088443</v>
      </c>
      <c r="AE30" s="34">
        <f t="shared" si="15"/>
        <v>530458.5</v>
      </c>
      <c r="AF30" s="34">
        <f t="shared" si="16"/>
        <v>884.09750000000008</v>
      </c>
      <c r="AG30" s="34">
        <f t="shared" si="17"/>
        <v>529574.40249999997</v>
      </c>
    </row>
    <row r="31" spans="1:33" x14ac:dyDescent="0.25">
      <c r="A31" s="27">
        <f t="shared" si="2"/>
        <v>28</v>
      </c>
      <c r="B31" s="17" t="s">
        <v>25</v>
      </c>
      <c r="C31" s="28">
        <v>66.23</v>
      </c>
      <c r="D31" s="28">
        <v>17.7</v>
      </c>
      <c r="E31" s="28">
        <v>30.8</v>
      </c>
      <c r="F31" s="28"/>
      <c r="G31" s="28"/>
      <c r="H31" s="28"/>
      <c r="I31" s="28"/>
      <c r="J31" s="28">
        <f t="shared" si="18"/>
        <v>1172.271</v>
      </c>
      <c r="K31" s="27">
        <v>1630.31</v>
      </c>
      <c r="L31" s="27">
        <v>601.37</v>
      </c>
      <c r="M31" s="27">
        <f>K31</f>
        <v>1630.31</v>
      </c>
      <c r="N31" s="27">
        <f>L31</f>
        <v>601.37</v>
      </c>
      <c r="O31" s="27">
        <f>M31</f>
        <v>1630.31</v>
      </c>
      <c r="P31" s="27">
        <v>801.38</v>
      </c>
      <c r="Q31" s="27">
        <f>O31</f>
        <v>1630.31</v>
      </c>
      <c r="R31" s="29">
        <f t="shared" si="3"/>
        <v>9697.6310000000012</v>
      </c>
      <c r="S31" s="30">
        <f t="shared" si="11"/>
        <v>104385.300084</v>
      </c>
      <c r="T31" s="27" t="s">
        <v>43</v>
      </c>
      <c r="U31" s="27" t="s">
        <v>54</v>
      </c>
      <c r="V31" s="27" t="s">
        <v>59</v>
      </c>
      <c r="W31" s="27">
        <v>2021</v>
      </c>
      <c r="X31" s="27">
        <f t="shared" si="12"/>
        <v>2</v>
      </c>
      <c r="Y31" s="27">
        <v>45</v>
      </c>
      <c r="Z31" s="31">
        <v>0.05</v>
      </c>
      <c r="AA31" s="30">
        <v>21260</v>
      </c>
      <c r="AB31" s="30">
        <f t="shared" si="13"/>
        <v>1975.1021924934969</v>
      </c>
      <c r="AC31" s="32">
        <v>0.7</v>
      </c>
      <c r="AD31" s="33">
        <f t="shared" si="14"/>
        <v>1382.5715347454477</v>
      </c>
      <c r="AE31" s="34">
        <f t="shared" si="15"/>
        <v>144320144.542</v>
      </c>
      <c r="AF31" s="34">
        <f t="shared" si="16"/>
        <v>320711.43231555552</v>
      </c>
      <c r="AG31" s="34">
        <f t="shared" si="17"/>
        <v>143999433.10968444</v>
      </c>
    </row>
    <row r="32" spans="1:33" x14ac:dyDescent="0.25">
      <c r="A32" s="27">
        <f t="shared" si="2"/>
        <v>29</v>
      </c>
      <c r="B32" s="17" t="s">
        <v>26</v>
      </c>
      <c r="C32" s="28">
        <v>6.4</v>
      </c>
      <c r="D32" s="28">
        <v>7.15</v>
      </c>
      <c r="E32" s="28">
        <v>25.3</v>
      </c>
      <c r="F32" s="28"/>
      <c r="G32" s="28"/>
      <c r="H32" s="28"/>
      <c r="I32" s="28"/>
      <c r="J32" s="28">
        <f t="shared" si="18"/>
        <v>45.760000000000005</v>
      </c>
      <c r="K32" s="27"/>
      <c r="L32" s="27"/>
      <c r="M32" s="27"/>
      <c r="N32" s="27"/>
      <c r="O32" s="27"/>
      <c r="P32" s="27"/>
      <c r="Q32" s="27"/>
      <c r="R32" s="29">
        <f t="shared" si="3"/>
        <v>45.760000000000005</v>
      </c>
      <c r="S32" s="30">
        <f t="shared" si="11"/>
        <v>492.56064000000003</v>
      </c>
      <c r="T32" s="27" t="s">
        <v>43</v>
      </c>
      <c r="U32" s="27" t="s">
        <v>54</v>
      </c>
      <c r="V32" s="27" t="s">
        <v>55</v>
      </c>
      <c r="W32" s="27">
        <v>2021</v>
      </c>
      <c r="X32" s="27">
        <f t="shared" si="12"/>
        <v>2</v>
      </c>
      <c r="Y32" s="27">
        <v>60</v>
      </c>
      <c r="Z32" s="31">
        <v>0.05</v>
      </c>
      <c r="AA32" s="30">
        <v>24730</v>
      </c>
      <c r="AB32" s="30">
        <f t="shared" si="13"/>
        <v>2297.4730583426235</v>
      </c>
      <c r="AC32" s="32">
        <v>0.9</v>
      </c>
      <c r="AD32" s="33">
        <f t="shared" si="14"/>
        <v>2067.7257525083614</v>
      </c>
      <c r="AE32" s="34">
        <f t="shared" si="15"/>
        <v>1018480.3200000002</v>
      </c>
      <c r="AF32" s="34">
        <f t="shared" si="16"/>
        <v>1697.4672000000005</v>
      </c>
      <c r="AG32" s="34">
        <f t="shared" si="17"/>
        <v>1016782.8528000002</v>
      </c>
    </row>
    <row r="33" spans="1:33" x14ac:dyDescent="0.25">
      <c r="A33" s="27">
        <f t="shared" si="2"/>
        <v>30</v>
      </c>
      <c r="B33" s="17" t="s">
        <v>27</v>
      </c>
      <c r="C33" s="28">
        <v>17.7</v>
      </c>
      <c r="D33" s="28">
        <v>3.47</v>
      </c>
      <c r="E33" s="28">
        <v>25.3</v>
      </c>
      <c r="F33" s="28"/>
      <c r="G33" s="28"/>
      <c r="H33" s="28"/>
      <c r="I33" s="28"/>
      <c r="J33" s="28">
        <f t="shared" si="18"/>
        <v>61.419000000000004</v>
      </c>
      <c r="K33" s="27"/>
      <c r="L33" s="27"/>
      <c r="M33" s="27"/>
      <c r="N33" s="27"/>
      <c r="O33" s="27"/>
      <c r="P33" s="27"/>
      <c r="Q33" s="27"/>
      <c r="R33" s="29">
        <f t="shared" si="3"/>
        <v>61.419000000000004</v>
      </c>
      <c r="S33" s="30">
        <f t="shared" si="11"/>
        <v>661.11411599999997</v>
      </c>
      <c r="T33" s="27" t="s">
        <v>43</v>
      </c>
      <c r="U33" s="27" t="s">
        <v>54</v>
      </c>
      <c r="V33" s="27" t="s">
        <v>55</v>
      </c>
      <c r="W33" s="27">
        <v>2021</v>
      </c>
      <c r="X33" s="27">
        <f t="shared" si="12"/>
        <v>2</v>
      </c>
      <c r="Y33" s="27">
        <v>60</v>
      </c>
      <c r="Z33" s="31">
        <v>0.05</v>
      </c>
      <c r="AA33" s="30">
        <v>24730</v>
      </c>
      <c r="AB33" s="30">
        <f t="shared" si="13"/>
        <v>2297.4730583426235</v>
      </c>
      <c r="AC33" s="32">
        <v>0.9</v>
      </c>
      <c r="AD33" s="33">
        <f t="shared" si="14"/>
        <v>2067.7257525083614</v>
      </c>
      <c r="AE33" s="34">
        <f t="shared" si="15"/>
        <v>1367002.6830000002</v>
      </c>
      <c r="AF33" s="34">
        <f t="shared" si="16"/>
        <v>2278.3378050000006</v>
      </c>
      <c r="AG33" s="34">
        <f t="shared" si="17"/>
        <v>1364724.3451950003</v>
      </c>
    </row>
    <row r="34" spans="1:33" x14ac:dyDescent="0.25">
      <c r="A34" s="27">
        <f t="shared" si="2"/>
        <v>31</v>
      </c>
      <c r="B34" s="17" t="s">
        <v>28</v>
      </c>
      <c r="C34" s="28">
        <v>26</v>
      </c>
      <c r="D34" s="28">
        <v>6.4</v>
      </c>
      <c r="E34" s="28">
        <v>0.45</v>
      </c>
      <c r="F34" s="28"/>
      <c r="G34" s="28"/>
      <c r="H34" s="28"/>
      <c r="I34" s="28"/>
      <c r="J34" s="28">
        <f t="shared" si="18"/>
        <v>166.4</v>
      </c>
      <c r="K34" s="27"/>
      <c r="L34" s="27"/>
      <c r="M34" s="27"/>
      <c r="N34" s="27"/>
      <c r="O34" s="27"/>
      <c r="P34" s="27"/>
      <c r="Q34" s="27"/>
      <c r="R34" s="29">
        <f t="shared" si="3"/>
        <v>166.4</v>
      </c>
      <c r="S34" s="30">
        <f t="shared" si="11"/>
        <v>1791.1296</v>
      </c>
      <c r="T34" s="27" t="s">
        <v>43</v>
      </c>
      <c r="U34" s="27" t="s">
        <v>54</v>
      </c>
      <c r="V34" s="27" t="s">
        <v>61</v>
      </c>
      <c r="W34" s="27">
        <v>2021</v>
      </c>
      <c r="X34" s="27">
        <f t="shared" si="12"/>
        <v>2</v>
      </c>
      <c r="Y34" s="27">
        <v>60</v>
      </c>
      <c r="Z34" s="31">
        <v>0.05</v>
      </c>
      <c r="AA34" s="30">
        <v>24730</v>
      </c>
      <c r="AB34" s="30">
        <f t="shared" si="13"/>
        <v>2297.4730583426235</v>
      </c>
      <c r="AC34" s="32">
        <v>0.2</v>
      </c>
      <c r="AD34" s="33">
        <f t="shared" si="14"/>
        <v>459.49461166852473</v>
      </c>
      <c r="AE34" s="34">
        <f t="shared" si="15"/>
        <v>823014.40000000002</v>
      </c>
      <c r="AF34" s="34">
        <f t="shared" si="16"/>
        <v>1371.6906666666669</v>
      </c>
      <c r="AG34" s="34">
        <f t="shared" si="17"/>
        <v>821642.7093333333</v>
      </c>
    </row>
    <row r="35" spans="1:33" x14ac:dyDescent="0.25">
      <c r="A35" s="27">
        <f t="shared" si="2"/>
        <v>32</v>
      </c>
      <c r="B35" s="17" t="s">
        <v>29</v>
      </c>
      <c r="C35" s="28">
        <v>33.08</v>
      </c>
      <c r="D35" s="28">
        <v>6.4</v>
      </c>
      <c r="E35" s="28">
        <v>0.45</v>
      </c>
      <c r="F35" s="28"/>
      <c r="G35" s="28"/>
      <c r="H35" s="28"/>
      <c r="I35" s="28"/>
      <c r="J35" s="28">
        <f t="shared" si="18"/>
        <v>211.71199999999999</v>
      </c>
      <c r="K35" s="27"/>
      <c r="L35" s="27"/>
      <c r="M35" s="27"/>
      <c r="N35" s="27"/>
      <c r="O35" s="27"/>
      <c r="P35" s="27"/>
      <c r="Q35" s="27"/>
      <c r="R35" s="29">
        <f t="shared" si="3"/>
        <v>211.71199999999999</v>
      </c>
      <c r="S35" s="30">
        <f t="shared" si="11"/>
        <v>2278.8679679999996</v>
      </c>
      <c r="T35" s="27" t="s">
        <v>43</v>
      </c>
      <c r="U35" s="27" t="s">
        <v>54</v>
      </c>
      <c r="V35" s="27" t="s">
        <v>61</v>
      </c>
      <c r="W35" s="27">
        <v>2021</v>
      </c>
      <c r="X35" s="27">
        <f t="shared" si="12"/>
        <v>2</v>
      </c>
      <c r="Y35" s="27">
        <v>60</v>
      </c>
      <c r="Z35" s="31">
        <v>0.05</v>
      </c>
      <c r="AA35" s="30">
        <v>24730</v>
      </c>
      <c r="AB35" s="30">
        <f t="shared" si="13"/>
        <v>2297.4730583426235</v>
      </c>
      <c r="AC35" s="32">
        <v>0.2</v>
      </c>
      <c r="AD35" s="33">
        <f t="shared" si="14"/>
        <v>459.49461166852473</v>
      </c>
      <c r="AE35" s="34">
        <f t="shared" si="15"/>
        <v>1047127.5519999998</v>
      </c>
      <c r="AF35" s="34">
        <f t="shared" si="16"/>
        <v>1745.2125866666665</v>
      </c>
      <c r="AG35" s="34">
        <f t="shared" si="17"/>
        <v>1045382.3394133331</v>
      </c>
    </row>
    <row r="36" spans="1:33" ht="30" x14ac:dyDescent="0.25">
      <c r="A36" s="27">
        <f t="shared" si="2"/>
        <v>33</v>
      </c>
      <c r="B36" s="17" t="s">
        <v>30</v>
      </c>
      <c r="C36" s="28">
        <v>66.23</v>
      </c>
      <c r="D36" s="28">
        <v>7.76</v>
      </c>
      <c r="E36" s="28">
        <v>6.5</v>
      </c>
      <c r="F36" s="28"/>
      <c r="G36" s="28"/>
      <c r="H36" s="28"/>
      <c r="I36" s="28"/>
      <c r="J36" s="28">
        <f t="shared" si="18"/>
        <v>513.94479999999999</v>
      </c>
      <c r="K36" s="27"/>
      <c r="L36" s="27"/>
      <c r="M36" s="27"/>
      <c r="N36" s="27"/>
      <c r="O36" s="27"/>
      <c r="P36" s="27"/>
      <c r="Q36" s="27"/>
      <c r="R36" s="29">
        <f t="shared" si="3"/>
        <v>513.94479999999999</v>
      </c>
      <c r="S36" s="30">
        <f t="shared" si="11"/>
        <v>5532.1018271999992</v>
      </c>
      <c r="T36" s="27" t="s">
        <v>43</v>
      </c>
      <c r="U36" s="27" t="s">
        <v>54</v>
      </c>
      <c r="V36" s="27" t="s">
        <v>35</v>
      </c>
      <c r="W36" s="27">
        <v>2021</v>
      </c>
      <c r="X36" s="27">
        <f t="shared" si="12"/>
        <v>2</v>
      </c>
      <c r="Y36" s="27">
        <v>45</v>
      </c>
      <c r="Z36" s="31">
        <v>0.05</v>
      </c>
      <c r="AA36" s="30">
        <v>21260</v>
      </c>
      <c r="AB36" s="30">
        <f t="shared" si="13"/>
        <v>1975.1021924934969</v>
      </c>
      <c r="AC36" s="32">
        <v>0.4</v>
      </c>
      <c r="AD36" s="33">
        <f t="shared" si="14"/>
        <v>790.04087699739875</v>
      </c>
      <c r="AE36" s="34">
        <f t="shared" si="15"/>
        <v>4370586.5791999996</v>
      </c>
      <c r="AF36" s="34">
        <f t="shared" si="16"/>
        <v>9712.4146204444442</v>
      </c>
      <c r="AG36" s="34">
        <f t="shared" si="17"/>
        <v>4360874.1645795554</v>
      </c>
    </row>
    <row r="37" spans="1:33" x14ac:dyDescent="0.25">
      <c r="A37" s="27">
        <f t="shared" si="2"/>
        <v>34</v>
      </c>
      <c r="B37" s="17" t="s">
        <v>31</v>
      </c>
      <c r="C37" s="28">
        <v>40.44</v>
      </c>
      <c r="D37" s="28">
        <v>71.760000000000005</v>
      </c>
      <c r="E37" s="28">
        <v>1</v>
      </c>
      <c r="F37" s="28"/>
      <c r="G37" s="28"/>
      <c r="H37" s="28"/>
      <c r="I37" s="28"/>
      <c r="J37" s="28">
        <f t="shared" si="18"/>
        <v>2901.9744000000001</v>
      </c>
      <c r="K37" s="27"/>
      <c r="L37" s="27"/>
      <c r="M37" s="27"/>
      <c r="N37" s="27"/>
      <c r="O37" s="27"/>
      <c r="P37" s="27"/>
      <c r="Q37" s="27"/>
      <c r="R37" s="29">
        <f t="shared" si="3"/>
        <v>2901.9744000000001</v>
      </c>
      <c r="S37" s="30">
        <f t="shared" si="11"/>
        <v>31236.8524416</v>
      </c>
      <c r="T37" s="27" t="s">
        <v>43</v>
      </c>
      <c r="U37" s="27" t="s">
        <v>54</v>
      </c>
      <c r="V37" s="27" t="s">
        <v>55</v>
      </c>
      <c r="W37" s="27">
        <v>2021</v>
      </c>
      <c r="X37" s="27">
        <f t="shared" si="12"/>
        <v>2</v>
      </c>
      <c r="Y37" s="27">
        <v>60</v>
      </c>
      <c r="Z37" s="31">
        <v>0.05</v>
      </c>
      <c r="AA37" s="30">
        <v>24730</v>
      </c>
      <c r="AB37" s="30">
        <f t="shared" si="13"/>
        <v>2297.4730583426235</v>
      </c>
      <c r="AC37" s="32">
        <v>0.55000000000000004</v>
      </c>
      <c r="AD37" s="33">
        <f t="shared" si="14"/>
        <v>1263.610182088443</v>
      </c>
      <c r="AE37" s="34">
        <f t="shared" si="15"/>
        <v>39471204.801600002</v>
      </c>
      <c r="AF37" s="34">
        <f t="shared" si="16"/>
        <v>65785.341336000012</v>
      </c>
      <c r="AG37" s="34">
        <f t="shared" si="17"/>
        <v>39405419.460264005</v>
      </c>
    </row>
    <row r="38" spans="1:33" ht="45" x14ac:dyDescent="0.25">
      <c r="A38" s="27">
        <f t="shared" si="2"/>
        <v>35</v>
      </c>
      <c r="B38" s="17" t="s">
        <v>32</v>
      </c>
      <c r="C38" s="28">
        <v>26.3</v>
      </c>
      <c r="D38" s="28">
        <v>41.45</v>
      </c>
      <c r="E38" s="28">
        <v>3</v>
      </c>
      <c r="F38" s="28"/>
      <c r="G38" s="28"/>
      <c r="H38" s="28"/>
      <c r="I38" s="28"/>
      <c r="J38" s="28">
        <f t="shared" si="18"/>
        <v>1090.135</v>
      </c>
      <c r="K38" s="27"/>
      <c r="L38" s="27"/>
      <c r="M38" s="27"/>
      <c r="N38" s="27"/>
      <c r="O38" s="27"/>
      <c r="P38" s="27"/>
      <c r="Q38" s="27"/>
      <c r="R38" s="29">
        <f t="shared" si="3"/>
        <v>1090.135</v>
      </c>
      <c r="S38" s="30">
        <f t="shared" si="11"/>
        <v>11734.21314</v>
      </c>
      <c r="T38" s="27" t="s">
        <v>43</v>
      </c>
      <c r="U38" s="27" t="s">
        <v>54</v>
      </c>
      <c r="V38" s="27" t="s">
        <v>55</v>
      </c>
      <c r="W38" s="27">
        <v>2021</v>
      </c>
      <c r="X38" s="27">
        <f t="shared" si="12"/>
        <v>2</v>
      </c>
      <c r="Y38" s="27">
        <v>60</v>
      </c>
      <c r="Z38" s="31">
        <v>0.05</v>
      </c>
      <c r="AA38" s="30">
        <v>24730</v>
      </c>
      <c r="AB38" s="30">
        <f t="shared" si="13"/>
        <v>2297.4730583426235</v>
      </c>
      <c r="AC38" s="32">
        <v>0.9</v>
      </c>
      <c r="AD38" s="33">
        <f t="shared" si="14"/>
        <v>2067.7257525083614</v>
      </c>
      <c r="AE38" s="34">
        <f t="shared" si="15"/>
        <v>24263134.695000004</v>
      </c>
      <c r="AF38" s="34">
        <f t="shared" si="16"/>
        <v>40438.557825000011</v>
      </c>
      <c r="AG38" s="34">
        <f t="shared" si="17"/>
        <v>24222696.137175005</v>
      </c>
    </row>
    <row r="39" spans="1:33" x14ac:dyDescent="0.25">
      <c r="A39" s="27">
        <f t="shared" si="2"/>
        <v>36</v>
      </c>
      <c r="B39" s="17" t="s">
        <v>33</v>
      </c>
      <c r="C39" s="28">
        <v>17</v>
      </c>
      <c r="D39" s="28">
        <v>25</v>
      </c>
      <c r="E39" s="28">
        <v>9</v>
      </c>
      <c r="F39" s="28"/>
      <c r="G39" s="28"/>
      <c r="H39" s="28"/>
      <c r="I39" s="28"/>
      <c r="J39" s="28">
        <f t="shared" si="18"/>
        <v>425</v>
      </c>
      <c r="K39" s="27">
        <v>425</v>
      </c>
      <c r="L39" s="27"/>
      <c r="M39" s="27"/>
      <c r="N39" s="27"/>
      <c r="O39" s="27"/>
      <c r="P39" s="27"/>
      <c r="Q39" s="27"/>
      <c r="R39" s="29">
        <f t="shared" si="3"/>
        <v>850</v>
      </c>
      <c r="S39" s="30">
        <f t="shared" si="11"/>
        <v>9149.4</v>
      </c>
      <c r="T39" s="27" t="s">
        <v>43</v>
      </c>
      <c r="U39" s="27" t="s">
        <v>54</v>
      </c>
      <c r="V39" s="27" t="s">
        <v>55</v>
      </c>
      <c r="W39" s="27">
        <v>2021</v>
      </c>
      <c r="X39" s="27">
        <f t="shared" si="12"/>
        <v>2</v>
      </c>
      <c r="Y39" s="27">
        <v>60</v>
      </c>
      <c r="Z39" s="31">
        <v>0.05</v>
      </c>
      <c r="AA39" s="30">
        <v>24730</v>
      </c>
      <c r="AB39" s="30">
        <f t="shared" si="13"/>
        <v>2297.4730583426235</v>
      </c>
      <c r="AC39" s="32">
        <v>0.8</v>
      </c>
      <c r="AD39" s="33">
        <f t="shared" si="14"/>
        <v>1837.9784466740989</v>
      </c>
      <c r="AE39" s="34">
        <f t="shared" si="15"/>
        <v>16816400</v>
      </c>
      <c r="AF39" s="34">
        <f t="shared" si="16"/>
        <v>28027.333333333336</v>
      </c>
      <c r="AG39" s="34">
        <f t="shared" si="17"/>
        <v>16788372.666666668</v>
      </c>
    </row>
    <row r="40" spans="1:33" x14ac:dyDescent="0.25">
      <c r="A40" s="27">
        <f t="shared" si="2"/>
        <v>37</v>
      </c>
      <c r="B40" s="17" t="s">
        <v>34</v>
      </c>
      <c r="C40" s="28">
        <v>35.340000000000003</v>
      </c>
      <c r="D40" s="28">
        <v>22.83</v>
      </c>
      <c r="E40" s="28">
        <v>9</v>
      </c>
      <c r="F40" s="28"/>
      <c r="G40" s="28"/>
      <c r="H40" s="28"/>
      <c r="I40" s="28"/>
      <c r="J40" s="28">
        <f t="shared" si="18"/>
        <v>806.81219999999996</v>
      </c>
      <c r="K40" s="27"/>
      <c r="L40" s="27"/>
      <c r="M40" s="27"/>
      <c r="N40" s="27"/>
      <c r="O40" s="27"/>
      <c r="P40" s="27"/>
      <c r="Q40" s="27"/>
      <c r="R40" s="29">
        <f t="shared" si="3"/>
        <v>806.81219999999996</v>
      </c>
      <c r="S40" s="30">
        <f t="shared" si="11"/>
        <v>8684.5265207999983</v>
      </c>
      <c r="T40" s="27" t="s">
        <v>43</v>
      </c>
      <c r="U40" s="27" t="s">
        <v>54</v>
      </c>
      <c r="V40" s="27" t="s">
        <v>35</v>
      </c>
      <c r="W40" s="27">
        <v>2021</v>
      </c>
      <c r="X40" s="27">
        <f t="shared" si="12"/>
        <v>2</v>
      </c>
      <c r="Y40" s="27">
        <v>45</v>
      </c>
      <c r="Z40" s="31">
        <v>0.05</v>
      </c>
      <c r="AA40" s="30">
        <v>21260</v>
      </c>
      <c r="AB40" s="30">
        <f t="shared" si="13"/>
        <v>1975.1021924934969</v>
      </c>
      <c r="AC40" s="32">
        <v>0.5</v>
      </c>
      <c r="AD40" s="33">
        <f t="shared" si="14"/>
        <v>987.55109624674844</v>
      </c>
      <c r="AE40" s="34">
        <f t="shared" si="15"/>
        <v>8576413.6859999988</v>
      </c>
      <c r="AF40" s="34">
        <f t="shared" si="16"/>
        <v>19058.697079999998</v>
      </c>
      <c r="AG40" s="34">
        <f t="shared" si="17"/>
        <v>8557354.9889199995</v>
      </c>
    </row>
    <row r="41" spans="1:33" x14ac:dyDescent="0.25">
      <c r="A41" s="27">
        <f t="shared" si="2"/>
        <v>38</v>
      </c>
      <c r="B41" s="17" t="s">
        <v>42</v>
      </c>
      <c r="C41" s="28">
        <v>7.56</v>
      </c>
      <c r="D41" s="28">
        <v>2.6</v>
      </c>
      <c r="E41" s="28">
        <v>5.75</v>
      </c>
      <c r="F41" s="28"/>
      <c r="G41" s="28"/>
      <c r="H41" s="28"/>
      <c r="I41" s="28"/>
      <c r="J41" s="28">
        <f t="shared" si="18"/>
        <v>19.655999999999999</v>
      </c>
      <c r="K41" s="27"/>
      <c r="L41" s="27"/>
      <c r="M41" s="27"/>
      <c r="N41" s="27"/>
      <c r="O41" s="27"/>
      <c r="P41" s="27"/>
      <c r="Q41" s="27"/>
      <c r="R41" s="29">
        <f t="shared" si="3"/>
        <v>19.655999999999999</v>
      </c>
      <c r="S41" s="30">
        <f t="shared" si="11"/>
        <v>211.57718399999999</v>
      </c>
      <c r="T41" s="27" t="s">
        <v>43</v>
      </c>
      <c r="U41" s="27" t="s">
        <v>54</v>
      </c>
      <c r="V41" s="27" t="s">
        <v>55</v>
      </c>
      <c r="W41" s="27">
        <v>2021</v>
      </c>
      <c r="X41" s="27">
        <f t="shared" si="12"/>
        <v>2</v>
      </c>
      <c r="Y41" s="27">
        <v>60</v>
      </c>
      <c r="Z41" s="31">
        <v>0.05</v>
      </c>
      <c r="AA41" s="30">
        <v>24730</v>
      </c>
      <c r="AB41" s="30">
        <f t="shared" si="13"/>
        <v>2297.4730583426235</v>
      </c>
      <c r="AC41" s="32">
        <v>0.55000000000000004</v>
      </c>
      <c r="AD41" s="33">
        <f t="shared" si="14"/>
        <v>1263.610182088443</v>
      </c>
      <c r="AE41" s="34">
        <f t="shared" si="15"/>
        <v>267351.08399999997</v>
      </c>
      <c r="AF41" s="34">
        <f t="shared" si="16"/>
        <v>445.58513999999997</v>
      </c>
      <c r="AG41" s="34">
        <f t="shared" si="17"/>
        <v>266905.49885999999</v>
      </c>
    </row>
    <row r="42" spans="1:33" x14ac:dyDescent="0.25">
      <c r="A42" s="27">
        <f t="shared" si="2"/>
        <v>39</v>
      </c>
      <c r="B42" s="17" t="s">
        <v>35</v>
      </c>
      <c r="C42" s="28">
        <v>39.4</v>
      </c>
      <c r="D42" s="28">
        <v>10</v>
      </c>
      <c r="E42" s="28">
        <v>5.75</v>
      </c>
      <c r="F42" s="28"/>
      <c r="G42" s="28"/>
      <c r="H42" s="28"/>
      <c r="I42" s="28"/>
      <c r="J42" s="28">
        <f t="shared" si="18"/>
        <v>394</v>
      </c>
      <c r="K42" s="27"/>
      <c r="L42" s="27"/>
      <c r="M42" s="27"/>
      <c r="N42" s="27"/>
      <c r="O42" s="27"/>
      <c r="P42" s="27"/>
      <c r="Q42" s="27"/>
      <c r="R42" s="29">
        <f t="shared" si="3"/>
        <v>394</v>
      </c>
      <c r="S42" s="30">
        <f t="shared" si="11"/>
        <v>4241.0159999999996</v>
      </c>
      <c r="T42" s="27" t="s">
        <v>43</v>
      </c>
      <c r="U42" s="27" t="s">
        <v>54</v>
      </c>
      <c r="V42" s="27" t="s">
        <v>59</v>
      </c>
      <c r="W42" s="27">
        <v>2021</v>
      </c>
      <c r="X42" s="27">
        <f t="shared" si="12"/>
        <v>2</v>
      </c>
      <c r="Y42" s="27">
        <v>45</v>
      </c>
      <c r="Z42" s="31">
        <v>0.05</v>
      </c>
      <c r="AA42" s="30">
        <v>21260</v>
      </c>
      <c r="AB42" s="30">
        <f t="shared" si="13"/>
        <v>1975.1021924934969</v>
      </c>
      <c r="AC42" s="32">
        <v>0.65</v>
      </c>
      <c r="AD42" s="33">
        <f t="shared" si="14"/>
        <v>1283.8164251207729</v>
      </c>
      <c r="AE42" s="34">
        <f t="shared" si="15"/>
        <v>5444685.9999999991</v>
      </c>
      <c r="AF42" s="34">
        <f t="shared" si="16"/>
        <v>12099.302222222221</v>
      </c>
      <c r="AG42" s="34">
        <f t="shared" si="17"/>
        <v>5432586.697777777</v>
      </c>
    </row>
    <row r="43" spans="1:33" x14ac:dyDescent="0.25">
      <c r="A43" s="27">
        <f t="shared" si="2"/>
        <v>40</v>
      </c>
      <c r="B43" s="17" t="s">
        <v>36</v>
      </c>
      <c r="C43" s="28">
        <v>42</v>
      </c>
      <c r="D43" s="28">
        <v>27.73</v>
      </c>
      <c r="E43" s="28">
        <v>5.75</v>
      </c>
      <c r="F43" s="28"/>
      <c r="G43" s="28"/>
      <c r="H43" s="28"/>
      <c r="I43" s="28"/>
      <c r="J43" s="28">
        <f t="shared" si="18"/>
        <v>1164.6600000000001</v>
      </c>
      <c r="K43" s="29">
        <f>J43</f>
        <v>1164.6600000000001</v>
      </c>
      <c r="L43" s="27"/>
      <c r="M43" s="27"/>
      <c r="N43" s="27"/>
      <c r="O43" s="27"/>
      <c r="P43" s="27"/>
      <c r="Q43" s="27"/>
      <c r="R43" s="29">
        <f t="shared" si="3"/>
        <v>2329.3200000000002</v>
      </c>
      <c r="S43" s="30">
        <f t="shared" si="11"/>
        <v>25072.800480000002</v>
      </c>
      <c r="T43" s="27" t="s">
        <v>43</v>
      </c>
      <c r="U43" s="27" t="s">
        <v>54</v>
      </c>
      <c r="V43" s="27" t="s">
        <v>59</v>
      </c>
      <c r="W43" s="27">
        <v>2021</v>
      </c>
      <c r="X43" s="27">
        <f t="shared" si="12"/>
        <v>2</v>
      </c>
      <c r="Y43" s="27">
        <v>45</v>
      </c>
      <c r="Z43" s="31">
        <v>0.05</v>
      </c>
      <c r="AA43" s="30">
        <v>21260</v>
      </c>
      <c r="AB43" s="30">
        <f t="shared" si="13"/>
        <v>1975.1021924934969</v>
      </c>
      <c r="AC43" s="32">
        <v>0.7</v>
      </c>
      <c r="AD43" s="33">
        <f t="shared" si="14"/>
        <v>1382.5715347454477</v>
      </c>
      <c r="AE43" s="34">
        <f t="shared" si="15"/>
        <v>34664940.240000002</v>
      </c>
      <c r="AF43" s="34">
        <f t="shared" si="16"/>
        <v>77033.200533333336</v>
      </c>
      <c r="AG43" s="34">
        <f t="shared" si="17"/>
        <v>34587907.039466672</v>
      </c>
    </row>
    <row r="44" spans="1:33" x14ac:dyDescent="0.25">
      <c r="A44" s="27">
        <f t="shared" si="2"/>
        <v>41</v>
      </c>
      <c r="B44" s="17" t="s">
        <v>8</v>
      </c>
      <c r="C44" s="28">
        <v>6.5</v>
      </c>
      <c r="D44" s="28">
        <v>6</v>
      </c>
      <c r="E44" s="28">
        <v>3</v>
      </c>
      <c r="F44" s="28"/>
      <c r="G44" s="28"/>
      <c r="H44" s="28"/>
      <c r="I44" s="28"/>
      <c r="J44" s="28">
        <f t="shared" si="18"/>
        <v>39</v>
      </c>
      <c r="K44" s="27"/>
      <c r="L44" s="27"/>
      <c r="M44" s="27"/>
      <c r="N44" s="27"/>
      <c r="O44" s="27"/>
      <c r="P44" s="27"/>
      <c r="Q44" s="27"/>
      <c r="R44" s="29">
        <f t="shared" si="3"/>
        <v>39</v>
      </c>
      <c r="S44" s="30">
        <f t="shared" si="11"/>
        <v>419.79599999999999</v>
      </c>
      <c r="T44" s="27" t="s">
        <v>43</v>
      </c>
      <c r="U44" s="27" t="s">
        <v>54</v>
      </c>
      <c r="V44" s="27" t="s">
        <v>55</v>
      </c>
      <c r="W44" s="27">
        <v>2021</v>
      </c>
      <c r="X44" s="27">
        <f t="shared" si="12"/>
        <v>2</v>
      </c>
      <c r="Y44" s="27">
        <v>60</v>
      </c>
      <c r="Z44" s="31">
        <v>0.05</v>
      </c>
      <c r="AA44" s="30">
        <v>24730</v>
      </c>
      <c r="AB44" s="30">
        <f t="shared" si="13"/>
        <v>2297.4730583426235</v>
      </c>
      <c r="AC44" s="32">
        <v>0.55000000000000004</v>
      </c>
      <c r="AD44" s="33">
        <f t="shared" si="14"/>
        <v>1263.610182088443</v>
      </c>
      <c r="AE44" s="34">
        <f t="shared" si="15"/>
        <v>530458.5</v>
      </c>
      <c r="AF44" s="34">
        <f t="shared" si="16"/>
        <v>884.09750000000008</v>
      </c>
      <c r="AG44" s="34">
        <f t="shared" si="17"/>
        <v>529574.40249999997</v>
      </c>
    </row>
    <row r="45" spans="1:33" ht="15.75" customHeight="1" x14ac:dyDescent="0.25">
      <c r="A45" s="35" t="s">
        <v>89</v>
      </c>
      <c r="B45" s="36"/>
      <c r="C45" s="36"/>
      <c r="D45" s="36"/>
      <c r="E45" s="37"/>
      <c r="F45" s="15">
        <f>SUM(F4:F44)</f>
        <v>3094.7299999999996</v>
      </c>
      <c r="G45" s="15">
        <f t="shared" ref="G45:M45" si="19">SUM(G4:G44)</f>
        <v>1134.1300000000001</v>
      </c>
      <c r="H45" s="15">
        <f t="shared" si="19"/>
        <v>1134.1300000000001</v>
      </c>
      <c r="I45" s="15">
        <f t="shared" si="19"/>
        <v>608</v>
      </c>
      <c r="J45" s="15">
        <f t="shared" si="19"/>
        <v>14606.608200000001</v>
      </c>
      <c r="K45" s="15">
        <f t="shared" si="19"/>
        <v>3963.6800000000003</v>
      </c>
      <c r="L45" s="15">
        <f t="shared" si="19"/>
        <v>601.37</v>
      </c>
      <c r="M45" s="15">
        <f t="shared" si="19"/>
        <v>2374.02</v>
      </c>
      <c r="N45" s="15">
        <f t="shared" ref="N45" si="20">SUM(N4:N44)</f>
        <v>601.37</v>
      </c>
      <c r="O45" s="15">
        <f t="shared" ref="O45" si="21">SUM(O4:O44)</f>
        <v>1630.31</v>
      </c>
      <c r="P45" s="15">
        <f t="shared" ref="P45" si="22">SUM(P4:P44)</f>
        <v>801.38</v>
      </c>
      <c r="Q45" s="15">
        <f t="shared" ref="Q45" si="23">SUM(Q4:Q44)</f>
        <v>1630.31</v>
      </c>
      <c r="R45" s="15">
        <v>28853.06</v>
      </c>
      <c r="S45" s="26">
        <f>SUBTOTAL(9,S11:S44)</f>
        <v>282114.19482479995</v>
      </c>
      <c r="AB45" s="1"/>
      <c r="AE45" s="22">
        <f>SUBTOTAL(9,AE4:AE44)</f>
        <v>420889228.97879988</v>
      </c>
      <c r="AF45" s="22">
        <f>SUBTOTAL(9,AF4:AF44)</f>
        <v>841399.61812188895</v>
      </c>
      <c r="AG45" s="25">
        <f>SUBTOTAL(9,AG4:AG44)</f>
        <v>420047829.36067814</v>
      </c>
    </row>
    <row r="46" spans="1:33" ht="15.75" x14ac:dyDescent="0.25">
      <c r="A46" s="38" t="s">
        <v>99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1:33" ht="15.75" x14ac:dyDescent="0.25">
      <c r="A47" s="38" t="s">
        <v>100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</row>
    <row r="48" spans="1:33" ht="15.75" x14ac:dyDescent="0.25">
      <c r="A48" s="38" t="s">
        <v>101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</row>
    <row r="49" spans="1:33" ht="15.75" x14ac:dyDescent="0.25">
      <c r="A49" s="38" t="s">
        <v>102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</row>
    <row r="51" spans="1:33" x14ac:dyDescent="0.25">
      <c r="B51" s="14" t="s">
        <v>90</v>
      </c>
      <c r="C51" s="12">
        <f>49829.04*3000</f>
        <v>149487120</v>
      </c>
    </row>
    <row r="52" spans="1:33" x14ac:dyDescent="0.25">
      <c r="B52" s="14" t="s">
        <v>91</v>
      </c>
      <c r="C52" s="12">
        <f>AG45</f>
        <v>420047829.36067814</v>
      </c>
      <c r="S52" s="12">
        <f>C52*0.8</f>
        <v>336038263.48854256</v>
      </c>
    </row>
    <row r="53" spans="1:33" x14ac:dyDescent="0.25">
      <c r="B53" s="14" t="s">
        <v>92</v>
      </c>
      <c r="C53" s="12">
        <f>Sheet3!F8</f>
        <v>77268086</v>
      </c>
    </row>
    <row r="54" spans="1:33" x14ac:dyDescent="0.25">
      <c r="B54" s="14" t="s">
        <v>93</v>
      </c>
      <c r="C54" s="12">
        <v>1518400000</v>
      </c>
    </row>
    <row r="55" spans="1:33" x14ac:dyDescent="0.25">
      <c r="B55" s="14" t="s">
        <v>89</v>
      </c>
      <c r="C55" s="12">
        <f>SUBTOTAL(9,C51:C54)</f>
        <v>2165203035.3606782</v>
      </c>
    </row>
    <row r="56" spans="1:33" x14ac:dyDescent="0.25">
      <c r="B56" s="14" t="s">
        <v>94</v>
      </c>
      <c r="C56" s="12">
        <f>ROUND(C55,-6)</f>
        <v>2165000000</v>
      </c>
    </row>
    <row r="57" spans="1:33" x14ac:dyDescent="0.25">
      <c r="B57" s="14" t="s">
        <v>103</v>
      </c>
      <c r="C57" s="12">
        <f>C56*0.85</f>
        <v>1840250000</v>
      </c>
    </row>
    <row r="58" spans="1:33" x14ac:dyDescent="0.25">
      <c r="B58" s="14" t="s">
        <v>104</v>
      </c>
      <c r="C58" s="12">
        <f>C56*0.75</f>
        <v>1623750000</v>
      </c>
    </row>
  </sheetData>
  <mergeCells count="7">
    <mergeCell ref="A49:AG49"/>
    <mergeCell ref="A46:AG46"/>
    <mergeCell ref="F2:I2"/>
    <mergeCell ref="J2:Q2"/>
    <mergeCell ref="A45:E45"/>
    <mergeCell ref="A47:AG47"/>
    <mergeCell ref="A48:AG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4"/>
  <sheetViews>
    <sheetView topLeftCell="A2" workbookViewId="0">
      <selection activeCell="G21" sqref="G21"/>
    </sheetView>
  </sheetViews>
  <sheetFormatPr defaultRowHeight="15" x14ac:dyDescent="0.25"/>
  <cols>
    <col min="2" max="2" width="10" bestFit="1" customWidth="1"/>
    <col min="3" max="3" width="12" bestFit="1" customWidth="1"/>
    <col min="4" max="4" width="11.5703125" style="10" bestFit="1" customWidth="1"/>
    <col min="5" max="5" width="10" style="10" bestFit="1" customWidth="1"/>
    <col min="6" max="6" width="12.5703125" style="10" bestFit="1" customWidth="1"/>
    <col min="8" max="9" width="14.28515625" bestFit="1" customWidth="1"/>
    <col min="10" max="10" width="12.5703125" bestFit="1" customWidth="1"/>
  </cols>
  <sheetData>
    <row r="3" spans="3:9" x14ac:dyDescent="0.25">
      <c r="D3" s="10" t="s">
        <v>75</v>
      </c>
      <c r="E3" s="10" t="s">
        <v>76</v>
      </c>
    </row>
    <row r="4" spans="3:9" x14ac:dyDescent="0.25">
      <c r="C4" t="s">
        <v>74</v>
      </c>
      <c r="D4" s="11">
        <v>905.21</v>
      </c>
      <c r="E4" s="10">
        <v>7000</v>
      </c>
      <c r="F4" s="10">
        <f>E4*D4</f>
        <v>6336470</v>
      </c>
    </row>
    <row r="5" spans="3:9" x14ac:dyDescent="0.25">
      <c r="C5" t="s">
        <v>77</v>
      </c>
      <c r="D5" s="10">
        <f>1500*8*0.3</f>
        <v>3600</v>
      </c>
      <c r="E5" s="10">
        <v>10000</v>
      </c>
      <c r="F5" s="10">
        <f>E5*D5</f>
        <v>36000000</v>
      </c>
    </row>
    <row r="6" spans="3:9" x14ac:dyDescent="0.25">
      <c r="C6" t="s">
        <v>78</v>
      </c>
      <c r="D6" s="10">
        <v>1500</v>
      </c>
      <c r="E6" s="10">
        <v>10000</v>
      </c>
      <c r="F6" s="10">
        <f>E6*D6</f>
        <v>15000000</v>
      </c>
      <c r="H6" s="39">
        <f>SUM(F5:F7)</f>
        <v>70931616</v>
      </c>
    </row>
    <row r="7" spans="3:9" x14ac:dyDescent="0.25">
      <c r="C7" t="s">
        <v>79</v>
      </c>
      <c r="D7" s="10">
        <v>49829.04</v>
      </c>
      <c r="E7" s="10">
        <v>400</v>
      </c>
      <c r="F7" s="10">
        <f>E7*D7</f>
        <v>19931616</v>
      </c>
    </row>
    <row r="8" spans="3:9" x14ac:dyDescent="0.25">
      <c r="E8" s="10">
        <f>F8/D7</f>
        <v>1550.6637494922638</v>
      </c>
      <c r="F8" s="10">
        <f>SUM(F4:F7)</f>
        <v>77268086</v>
      </c>
      <c r="G8" s="2">
        <f>F8/10^7</f>
        <v>7.7268086</v>
      </c>
    </row>
    <row r="9" spans="3:9" x14ac:dyDescent="0.25">
      <c r="F9" s="10">
        <f>Sheet1!AG2</f>
        <v>420047829.36067814</v>
      </c>
    </row>
    <row r="10" spans="3:9" x14ac:dyDescent="0.25">
      <c r="F10" s="10">
        <f>F9+F8</f>
        <v>497315915.36067814</v>
      </c>
    </row>
    <row r="15" spans="3:9" x14ac:dyDescent="0.25">
      <c r="D15" s="10" t="s">
        <v>80</v>
      </c>
      <c r="F15" s="10" t="s">
        <v>81</v>
      </c>
      <c r="H15" s="12" t="s">
        <v>82</v>
      </c>
      <c r="I15" s="12" t="s">
        <v>83</v>
      </c>
    </row>
    <row r="16" spans="3:9" x14ac:dyDescent="0.25">
      <c r="D16" s="2">
        <v>49829.04</v>
      </c>
      <c r="F16" s="10">
        <v>3500</v>
      </c>
      <c r="H16" s="10">
        <v>89347488</v>
      </c>
      <c r="I16" s="10">
        <v>80877046</v>
      </c>
    </row>
    <row r="17" spans="6:10" x14ac:dyDescent="0.25">
      <c r="F17" s="10">
        <f>F16*D16</f>
        <v>174401640</v>
      </c>
      <c r="H17" s="2">
        <f>H16/D16</f>
        <v>1793.0806613974501</v>
      </c>
      <c r="I17" s="2">
        <f>I16/D16</f>
        <v>1623.0905913499437</v>
      </c>
      <c r="J17" t="s">
        <v>84</v>
      </c>
    </row>
    <row r="20" spans="6:10" x14ac:dyDescent="0.25">
      <c r="G20" t="s">
        <v>88</v>
      </c>
    </row>
    <row r="21" spans="6:10" x14ac:dyDescent="0.25">
      <c r="F21" s="10" t="s">
        <v>85</v>
      </c>
      <c r="G21">
        <v>165</v>
      </c>
    </row>
    <row r="22" spans="6:10" x14ac:dyDescent="0.25">
      <c r="F22" s="10" t="s">
        <v>86</v>
      </c>
      <c r="G22">
        <v>15</v>
      </c>
    </row>
    <row r="23" spans="6:10" x14ac:dyDescent="0.25">
      <c r="F23" s="10" t="s">
        <v>87</v>
      </c>
      <c r="G23">
        <v>2</v>
      </c>
    </row>
    <row r="24" spans="6:10" x14ac:dyDescent="0.25">
      <c r="G24">
        <f>SUM(G21:G23)</f>
        <v>182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2023-08-26T10:58:14Z</dcterms:modified>
</cp:coreProperties>
</file>