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Draft Shared\Neo Gen\VIS(2023-24)-PL232-196-286_Karakahdi\Working &amp; Report\"/>
    </mc:Choice>
  </mc:AlternateContent>
  <bookViews>
    <workbookView xWindow="0" yWindow="0" windowWidth="24000" windowHeight="9135" activeTab="3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definedNames>
    <definedName name="_xlnm._FilterDatabase" localSheetId="1" hidden="1">Sheet2!$A$2:$T$29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0" i="4" l="1"/>
  <c r="F39" i="4"/>
  <c r="F38" i="4"/>
  <c r="F36" i="4"/>
  <c r="E36" i="4"/>
  <c r="C42" i="4"/>
  <c r="H50" i="4"/>
  <c r="G52" i="4"/>
  <c r="G50" i="4"/>
  <c r="E34" i="4" l="1"/>
  <c r="G34" i="4"/>
  <c r="F45" i="4"/>
  <c r="C33" i="4" s="1"/>
  <c r="C44" i="4" s="1"/>
  <c r="C31" i="4"/>
  <c r="D31" i="4" s="1"/>
  <c r="C32" i="4" l="1"/>
  <c r="D33" i="4"/>
  <c r="P28" i="4"/>
  <c r="P25" i="4"/>
  <c r="P26" i="4" s="1"/>
  <c r="K27" i="4"/>
  <c r="K28" i="4" s="1"/>
  <c r="D32" i="4" l="1"/>
  <c r="C43" i="4"/>
  <c r="G18" i="4"/>
  <c r="F29" i="4" l="1"/>
  <c r="F28" i="4"/>
  <c r="F25" i="4"/>
  <c r="F16" i="4" l="1"/>
  <c r="E7" i="3"/>
  <c r="H7" i="3" s="1"/>
  <c r="H5" i="3"/>
  <c r="O19" i="2"/>
  <c r="Q19" i="2" s="1"/>
  <c r="O25" i="2"/>
  <c r="Q25" i="2" s="1"/>
  <c r="O24" i="2"/>
  <c r="Q24" i="2" s="1"/>
  <c r="O14" i="2"/>
  <c r="Q14" i="2" s="1"/>
  <c r="G16" i="4" l="1"/>
  <c r="E31" i="4"/>
  <c r="C21" i="4"/>
  <c r="C20" i="4"/>
  <c r="F31" i="4" l="1"/>
  <c r="E32" i="4"/>
  <c r="G31" i="4"/>
  <c r="C22" i="4"/>
  <c r="D22" i="4" s="1"/>
  <c r="D21" i="4"/>
  <c r="D20" i="4"/>
  <c r="D18" i="4"/>
  <c r="E20" i="4"/>
  <c r="G20" i="4" s="1"/>
  <c r="F13" i="4"/>
  <c r="F14" i="4" s="1"/>
  <c r="D9" i="4"/>
  <c r="E9" i="4" s="1"/>
  <c r="E5" i="4"/>
  <c r="D5" i="4"/>
  <c r="G4" i="3"/>
  <c r="H4" i="3" s="1"/>
  <c r="H8" i="3" s="1"/>
  <c r="O29" i="2"/>
  <c r="Q29" i="2" s="1"/>
  <c r="O28" i="2"/>
  <c r="Q28" i="2" s="1"/>
  <c r="O27" i="2"/>
  <c r="Q27" i="2" s="1"/>
  <c r="O26" i="2"/>
  <c r="Q26" i="2" s="1"/>
  <c r="O23" i="2"/>
  <c r="Q23" i="2" s="1"/>
  <c r="O22" i="2"/>
  <c r="Q22" i="2" s="1"/>
  <c r="O21" i="2"/>
  <c r="Q21" i="2" s="1"/>
  <c r="O20" i="2"/>
  <c r="Q20" i="2" s="1"/>
  <c r="O18" i="2"/>
  <c r="Q18" i="2" s="1"/>
  <c r="O17" i="2"/>
  <c r="Q17" i="2" s="1"/>
  <c r="O16" i="2"/>
  <c r="Q16" i="2" s="1"/>
  <c r="O15" i="2"/>
  <c r="Q15" i="2" s="1"/>
  <c r="O13" i="2"/>
  <c r="Q13" i="2" s="1"/>
  <c r="O12" i="2"/>
  <c r="Q12" i="2" s="1"/>
  <c r="O11" i="2"/>
  <c r="Q11" i="2" s="1"/>
  <c r="O10" i="2"/>
  <c r="Q10" i="2" s="1"/>
  <c r="O9" i="2"/>
  <c r="Q9" i="2" s="1"/>
  <c r="O8" i="2"/>
  <c r="Q8" i="2" s="1"/>
  <c r="O7" i="2"/>
  <c r="Q7" i="2" s="1"/>
  <c r="O6" i="2"/>
  <c r="Q6" i="2" s="1"/>
  <c r="O5" i="2"/>
  <c r="Q5" i="2" s="1"/>
  <c r="O4" i="2"/>
  <c r="Q4" i="2" s="1"/>
  <c r="O3" i="2"/>
  <c r="Q3" i="2" s="1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G32" i="4" l="1"/>
  <c r="F32" i="4"/>
  <c r="G33" i="4"/>
  <c r="F33" i="4"/>
  <c r="I8" i="3"/>
  <c r="E22" i="4"/>
  <c r="E21" i="4"/>
  <c r="F20" i="4"/>
  <c r="C23" i="4"/>
  <c r="F42" i="4" s="1"/>
  <c r="A27" i="2"/>
  <c r="A28" i="2" s="1"/>
  <c r="A29" i="2" s="1"/>
  <c r="E29" i="2"/>
  <c r="E28" i="2"/>
  <c r="E27" i="2"/>
  <c r="E26" i="2"/>
  <c r="E25" i="2"/>
  <c r="G25" i="2" s="1"/>
  <c r="R25" i="2" s="1"/>
  <c r="S25" i="2" s="1"/>
  <c r="T25" i="2" s="1"/>
  <c r="E24" i="2"/>
  <c r="G24" i="2" s="1"/>
  <c r="R24" i="2" s="1"/>
  <c r="S24" i="2" s="1"/>
  <c r="T24" i="2" s="1"/>
  <c r="E23" i="2"/>
  <c r="E22" i="2"/>
  <c r="E21" i="2"/>
  <c r="E20" i="2"/>
  <c r="E19" i="2"/>
  <c r="G19" i="2" s="1"/>
  <c r="R19" i="2" s="1"/>
  <c r="S19" i="2" s="1"/>
  <c r="T19" i="2" s="1"/>
  <c r="E18" i="2"/>
  <c r="E17" i="2"/>
  <c r="E16" i="2"/>
  <c r="E15" i="2"/>
  <c r="E14" i="2"/>
  <c r="G14" i="2" s="1"/>
  <c r="R14" i="2" s="1"/>
  <c r="S14" i="2" s="1"/>
  <c r="T14" i="2" s="1"/>
  <c r="E13" i="2"/>
  <c r="E12" i="2"/>
  <c r="E11" i="2"/>
  <c r="E10" i="2"/>
  <c r="E9" i="2"/>
  <c r="E8" i="2"/>
  <c r="E7" i="2"/>
  <c r="E6" i="2"/>
  <c r="E5" i="2"/>
  <c r="E4" i="2"/>
  <c r="E3" i="2"/>
  <c r="F34" i="4" l="1"/>
  <c r="F37" i="4" s="1"/>
  <c r="K26" i="4"/>
  <c r="F22" i="4"/>
  <c r="G22" i="4"/>
  <c r="F21" i="4"/>
  <c r="G21" i="4"/>
  <c r="A21" i="4"/>
  <c r="A20" i="4"/>
  <c r="A22" i="4"/>
  <c r="D23" i="4"/>
  <c r="G3" i="2"/>
  <c r="R3" i="2" s="1"/>
  <c r="G7" i="2"/>
  <c r="R7" i="2" s="1"/>
  <c r="S7" i="2" s="1"/>
  <c r="T7" i="2" s="1"/>
  <c r="G15" i="2"/>
  <c r="R15" i="2" s="1"/>
  <c r="S15" i="2" s="1"/>
  <c r="T15" i="2" s="1"/>
  <c r="G23" i="2"/>
  <c r="R23" i="2" s="1"/>
  <c r="S23" i="2" s="1"/>
  <c r="T23" i="2" s="1"/>
  <c r="G4" i="2"/>
  <c r="R4" i="2" s="1"/>
  <c r="S4" i="2" s="1"/>
  <c r="T4" i="2" s="1"/>
  <c r="G12" i="2"/>
  <c r="R12" i="2" s="1"/>
  <c r="S12" i="2" s="1"/>
  <c r="T12" i="2" s="1"/>
  <c r="G16" i="2"/>
  <c r="R16" i="2" s="1"/>
  <c r="S16" i="2" s="1"/>
  <c r="T16" i="2" s="1"/>
  <c r="G5" i="2"/>
  <c r="R5" i="2" s="1"/>
  <c r="S5" i="2" s="1"/>
  <c r="T5" i="2" s="1"/>
  <c r="G13" i="2"/>
  <c r="R13" i="2" s="1"/>
  <c r="S13" i="2" s="1"/>
  <c r="T13" i="2" s="1"/>
  <c r="G17" i="2"/>
  <c r="R17" i="2" s="1"/>
  <c r="S17" i="2" s="1"/>
  <c r="T17" i="2" s="1"/>
  <c r="G21" i="2"/>
  <c r="R21" i="2" s="1"/>
  <c r="S21" i="2" s="1"/>
  <c r="T21" i="2" s="1"/>
  <c r="G29" i="2"/>
  <c r="R29" i="2" s="1"/>
  <c r="T29" i="2" s="1"/>
  <c r="G11" i="2"/>
  <c r="R11" i="2" s="1"/>
  <c r="S11" i="2" s="1"/>
  <c r="T11" i="2" s="1"/>
  <c r="G27" i="2"/>
  <c r="R27" i="2" s="1"/>
  <c r="T27" i="2" s="1"/>
  <c r="G8" i="2"/>
  <c r="R8" i="2" s="1"/>
  <c r="S8" i="2" s="1"/>
  <c r="T8" i="2" s="1"/>
  <c r="G20" i="2"/>
  <c r="R20" i="2" s="1"/>
  <c r="S20" i="2" s="1"/>
  <c r="T20" i="2" s="1"/>
  <c r="G28" i="2"/>
  <c r="R28" i="2" s="1"/>
  <c r="T28" i="2" s="1"/>
  <c r="G9" i="2"/>
  <c r="R9" i="2" s="1"/>
  <c r="S9" i="2" s="1"/>
  <c r="T9" i="2" s="1"/>
  <c r="G6" i="2"/>
  <c r="R6" i="2" s="1"/>
  <c r="S6" i="2" s="1"/>
  <c r="T6" i="2" s="1"/>
  <c r="G10" i="2"/>
  <c r="R10" i="2" s="1"/>
  <c r="S10" i="2" s="1"/>
  <c r="T10" i="2" s="1"/>
  <c r="G18" i="2"/>
  <c r="R18" i="2" s="1"/>
  <c r="S18" i="2" s="1"/>
  <c r="T18" i="2" s="1"/>
  <c r="G22" i="2"/>
  <c r="R22" i="2" s="1"/>
  <c r="S22" i="2" s="1"/>
  <c r="T22" i="2" s="1"/>
  <c r="G26" i="2"/>
  <c r="R26" i="2" s="1"/>
  <c r="S26" i="2" s="1"/>
  <c r="T26" i="2" s="1"/>
  <c r="E25" i="1"/>
  <c r="E24" i="1"/>
  <c r="E26" i="1"/>
  <c r="E23" i="1"/>
  <c r="E40" i="1"/>
  <c r="E19" i="1"/>
  <c r="E39" i="1"/>
  <c r="E41" i="1" s="1"/>
  <c r="E27" i="1"/>
  <c r="E33" i="1"/>
  <c r="E34" i="1" s="1"/>
  <c r="E4" i="1"/>
  <c r="E20" i="1"/>
  <c r="E21" i="1"/>
  <c r="E22" i="1"/>
  <c r="E15" i="1"/>
  <c r="E16" i="1"/>
  <c r="E17" i="1"/>
  <c r="E18" i="1"/>
  <c r="E5" i="1"/>
  <c r="E6" i="1"/>
  <c r="E7" i="1"/>
  <c r="E8" i="1"/>
  <c r="E9" i="1"/>
  <c r="E10" i="1"/>
  <c r="E11" i="1"/>
  <c r="E12" i="1"/>
  <c r="E13" i="1"/>
  <c r="E14" i="1"/>
  <c r="F23" i="4" l="1"/>
  <c r="E28" i="1"/>
  <c r="G1" i="2"/>
  <c r="R1" i="2"/>
  <c r="S3" i="2"/>
  <c r="S1" i="2" s="1"/>
  <c r="J8" i="3" l="1"/>
  <c r="K8" i="3" s="1"/>
  <c r="U1" i="2"/>
  <c r="T3" i="2"/>
  <c r="T1" i="2" s="1"/>
  <c r="H9" i="3" l="1"/>
  <c r="H10" i="3" s="1"/>
  <c r="F24" i="4" s="1"/>
  <c r="F35" i="4" s="1"/>
  <c r="V1" i="2"/>
  <c r="F26" i="4" l="1"/>
</calcChain>
</file>

<file path=xl/sharedStrings.xml><?xml version="1.0" encoding="utf-8"?>
<sst xmlns="http://schemas.openxmlformats.org/spreadsheetml/2006/main" count="223" uniqueCount="110">
  <si>
    <t xml:space="preserve">Neogen Chemicals ltd. </t>
  </si>
  <si>
    <t>Sr.no</t>
  </si>
  <si>
    <t>L</t>
  </si>
  <si>
    <t>B</t>
  </si>
  <si>
    <t>Area</t>
  </si>
  <si>
    <t xml:space="preserve">Unit </t>
  </si>
  <si>
    <t xml:space="preserve">WIP warehouse </t>
  </si>
  <si>
    <t>M2</t>
  </si>
  <si>
    <t xml:space="preserve">MPP-1 plant </t>
  </si>
  <si>
    <t xml:space="preserve">New drum shed </t>
  </si>
  <si>
    <t xml:space="preserve">Utility area </t>
  </si>
  <si>
    <t xml:space="preserve">Process cooling tower </t>
  </si>
  <si>
    <t xml:space="preserve">Utility cooling tower </t>
  </si>
  <si>
    <t xml:space="preserve">M.C.C building </t>
  </si>
  <si>
    <t xml:space="preserve">R&amp;D building </t>
  </si>
  <si>
    <t>F.G ware house</t>
  </si>
  <si>
    <t xml:space="preserve">R.M ware house </t>
  </si>
  <si>
    <t>Bromine storage area</t>
  </si>
  <si>
    <t>Security cabin</t>
  </si>
  <si>
    <t xml:space="preserve">New admin building </t>
  </si>
  <si>
    <t xml:space="preserve">ETP equilization tank </t>
  </si>
  <si>
    <t xml:space="preserve">Etp shed </t>
  </si>
  <si>
    <t xml:space="preserve">Etp tank farm </t>
  </si>
  <si>
    <t xml:space="preserve">OSBL area </t>
  </si>
  <si>
    <t>Tank farm Back side Engg Office</t>
  </si>
  <si>
    <t xml:space="preserve">Production &amp; Engineering office </t>
  </si>
  <si>
    <t>Existing Construction Building Area Karakhadi</t>
  </si>
  <si>
    <t>Structure</t>
  </si>
  <si>
    <t>New Construction Building Area Karakhadi</t>
  </si>
  <si>
    <t>New Proposed Construction Building Area Karakhadi</t>
  </si>
  <si>
    <t xml:space="preserve">Boiler &amp; coal Storage </t>
  </si>
  <si>
    <t>Kilo Lab &amp; Pilot Plant</t>
  </si>
  <si>
    <t>Etp Office &amp; panel area</t>
  </si>
  <si>
    <t>Drum Storage shed near Bromine tank</t>
  </si>
  <si>
    <t xml:space="preserve">Total Area </t>
  </si>
  <si>
    <t>Fire Pum[ House</t>
  </si>
  <si>
    <t>Methenol Tank Farm area</t>
  </si>
  <si>
    <t>Weingh Bridge office</t>
  </si>
  <si>
    <t>Weingh Bridge Scale</t>
  </si>
  <si>
    <t>Existing Construction</t>
  </si>
  <si>
    <t>New Construction</t>
  </si>
  <si>
    <t>New Proposed Construction</t>
  </si>
  <si>
    <t>S. No.</t>
  </si>
  <si>
    <t>Status</t>
  </si>
  <si>
    <t>Area (Sqm)</t>
  </si>
  <si>
    <t>RCC &amp; Shed</t>
  </si>
  <si>
    <t>RCC</t>
  </si>
  <si>
    <t>Shed</t>
  </si>
  <si>
    <t>Building</t>
  </si>
  <si>
    <t>Tank Area</t>
  </si>
  <si>
    <t>Fire Pump House</t>
  </si>
  <si>
    <t>Development</t>
  </si>
  <si>
    <t>YoC</t>
  </si>
  <si>
    <t>UC</t>
  </si>
  <si>
    <t>Type</t>
  </si>
  <si>
    <t>Age</t>
  </si>
  <si>
    <t>Eco. Life</t>
  </si>
  <si>
    <t>Sal. Value</t>
  </si>
  <si>
    <t>CPWD per sqm</t>
  </si>
  <si>
    <t>CPWD per sqft</t>
  </si>
  <si>
    <t>adjustment</t>
  </si>
  <si>
    <t>RK CoC/sqft</t>
  </si>
  <si>
    <t>GCRC</t>
  </si>
  <si>
    <t>Dep.</t>
  </si>
  <si>
    <t>DRC/FMV</t>
  </si>
  <si>
    <t>Area (sqft)</t>
  </si>
  <si>
    <t>Floor</t>
  </si>
  <si>
    <t>Weigh Bridge Scale</t>
  </si>
  <si>
    <t>Boundary Wall</t>
  </si>
  <si>
    <t>mtr</t>
  </si>
  <si>
    <t>FMV</t>
  </si>
  <si>
    <t>Rate/sqm</t>
  </si>
  <si>
    <t>Developed</t>
  </si>
  <si>
    <t>Area sqm</t>
  </si>
  <si>
    <t>Land Area</t>
  </si>
  <si>
    <t>Area (acre)</t>
  </si>
  <si>
    <t>Rate per acre</t>
  </si>
  <si>
    <t>http://www.69acres.in/detail-429.html</t>
  </si>
  <si>
    <t>https://gujarat.ncog.gov.in/indextb/admin/gisModulePublic</t>
  </si>
  <si>
    <t>https://gujarat.ncog.gov.in/GIDC/admin/gisModule</t>
  </si>
  <si>
    <t>https://gidc.gujarat.gov.in/allotmentprice</t>
  </si>
  <si>
    <t>Industrial</t>
  </si>
  <si>
    <t>https://www.raahiauction.com/detail/property/5229</t>
  </si>
  <si>
    <t>3935 sqm</t>
  </si>
  <si>
    <t>Per acre</t>
  </si>
  <si>
    <t>Agriland</t>
  </si>
  <si>
    <t>17 acre</t>
  </si>
  <si>
    <t>Asking Price per acre</t>
  </si>
  <si>
    <t>Auction</t>
  </si>
  <si>
    <t>sqm</t>
  </si>
  <si>
    <t>Deed</t>
  </si>
  <si>
    <t>Strip-1</t>
  </si>
  <si>
    <t>Strip-2</t>
  </si>
  <si>
    <t>Strip-3</t>
  </si>
  <si>
    <t>acre</t>
  </si>
  <si>
    <t>Asthetic</t>
  </si>
  <si>
    <t>Drain</t>
  </si>
  <si>
    <t>https://bankauctions.in/auction/land-at-karakhadi-ta-padra-district-vadodara/</t>
  </si>
  <si>
    <t>https://auctionbankindia.com/property-detail/bank-of-baroda-auction-of-factory-land-and-building-in-padra-1234574664</t>
  </si>
  <si>
    <t>https://www.bankofbaroda.in/-/media/Project/BOB/CountryWebsites/India/eauction/list-of-242-properties-for-mega-eauction-17th-february-2022.pdf</t>
  </si>
  <si>
    <t>https://findauction.in/auction/bankofbaroda/industrial-plot-in-padra-vadodara-378693</t>
  </si>
  <si>
    <t>https://bankauctions.in/wp-content/uploads/2023/03/64184276e9745306043416-2.jpg</t>
  </si>
  <si>
    <t>Belt-1</t>
  </si>
  <si>
    <t>Belt-2</t>
  </si>
  <si>
    <t>Belt-3</t>
  </si>
  <si>
    <t>Total Land Area</t>
  </si>
  <si>
    <t>Solar Area</t>
  </si>
  <si>
    <t>Mid Land Area</t>
  </si>
  <si>
    <t>Rate per sqm</t>
  </si>
  <si>
    <t>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</si>
</sst>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20212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top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top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43" fontId="0" fillId="0" borderId="0" xfId="1" applyFont="1" applyBorder="1" applyAlignment="1">
      <alignment horizontal="center" vertical="center"/>
    </xf>
    <xf numFmtId="43" fontId="0" fillId="0" borderId="0" xfId="1" applyFont="1" applyBorder="1"/>
    <xf numFmtId="164" fontId="0" fillId="0" borderId="0" xfId="1" applyNumberFormat="1" applyFont="1" applyBorder="1" applyAlignment="1">
      <alignment horizontal="center" vertical="center"/>
    </xf>
    <xf numFmtId="164" fontId="0" fillId="0" borderId="0" xfId="1" applyNumberFormat="1" applyFont="1" applyBorder="1"/>
    <xf numFmtId="9" fontId="0" fillId="0" borderId="0" xfId="2" applyFont="1" applyBorder="1"/>
    <xf numFmtId="164" fontId="0" fillId="0" borderId="0" xfId="0" applyNumberFormat="1"/>
    <xf numFmtId="9" fontId="0" fillId="0" borderId="0" xfId="0" applyNumberFormat="1"/>
    <xf numFmtId="0" fontId="5" fillId="2" borderId="0" xfId="0" applyFont="1" applyFill="1" applyAlignment="1">
      <alignment horizontal="center" vertical="center" wrapText="1"/>
    </xf>
    <xf numFmtId="43" fontId="5" fillId="2" borderId="0" xfId="1" applyFont="1" applyFill="1" applyBorder="1" applyAlignment="1">
      <alignment horizontal="center" vertical="center" wrapText="1"/>
    </xf>
    <xf numFmtId="164" fontId="5" fillId="2" borderId="0" xfId="1" applyNumberFormat="1" applyFont="1" applyFill="1" applyBorder="1" applyAlignment="1">
      <alignment horizontal="center" vertical="center" wrapText="1"/>
    </xf>
    <xf numFmtId="9" fontId="5" fillId="2" borderId="0" xfId="2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3" fontId="0" fillId="0" borderId="0" xfId="1" applyFont="1"/>
    <xf numFmtId="164" fontId="0" fillId="0" borderId="0" xfId="1" applyNumberFormat="1" applyFont="1"/>
    <xf numFmtId="0" fontId="1" fillId="0" borderId="0" xfId="0" applyFont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7" fillId="0" borderId="0" xfId="1" applyNumberFormat="1" applyFont="1"/>
    <xf numFmtId="9" fontId="0" fillId="0" borderId="0" xfId="2" applyFont="1"/>
    <xf numFmtId="164" fontId="6" fillId="0" borderId="0" xfId="1" applyNumberFormat="1" applyFont="1" applyFill="1" applyBorder="1" applyAlignment="1">
      <alignment horizontal="center" vertical="center" wrapText="1"/>
    </xf>
    <xf numFmtId="43" fontId="0" fillId="0" borderId="0" xfId="0" applyNumberFormat="1"/>
    <xf numFmtId="164" fontId="1" fillId="0" borderId="0" xfId="0" applyNumberFormat="1" applyFont="1"/>
    <xf numFmtId="4" fontId="7" fillId="0" borderId="0" xfId="0" applyNumberFormat="1" applyFont="1"/>
    <xf numFmtId="164" fontId="1" fillId="0" borderId="0" xfId="1" applyNumberFormat="1" applyFont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7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0</xdr:rowOff>
    </xdr:from>
    <xdr:to>
      <xdr:col>19</xdr:col>
      <xdr:colOff>190500</xdr:colOff>
      <xdr:row>37</xdr:row>
      <xdr:rowOff>71630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836" t="7761" r="32399" b="1927"/>
        <a:stretch/>
      </xdr:blipFill>
      <xdr:spPr>
        <a:xfrm>
          <a:off x="8486775" y="0"/>
          <a:ext cx="4171950" cy="71201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9524</xdr:colOff>
      <xdr:row>0</xdr:row>
      <xdr:rowOff>0</xdr:rowOff>
    </xdr:from>
    <xdr:to>
      <xdr:col>23</xdr:col>
      <xdr:colOff>62324</xdr:colOff>
      <xdr:row>16</xdr:row>
      <xdr:rowOff>16060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447" t="28457" r="27769" b="4985"/>
        <a:stretch/>
      </xdr:blipFill>
      <xdr:spPr>
        <a:xfrm>
          <a:off x="13573124" y="0"/>
          <a:ext cx="4320000" cy="3064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A15" workbookViewId="0">
      <selection activeCell="B42" sqref="B42"/>
    </sheetView>
  </sheetViews>
  <sheetFormatPr defaultRowHeight="15" x14ac:dyDescent="0.25"/>
  <cols>
    <col min="1" max="1" width="8.140625" customWidth="1"/>
    <col min="2" max="2" width="42.42578125" style="5" customWidth="1"/>
    <col min="3" max="3" width="10.85546875" customWidth="1"/>
    <col min="5" max="5" width="11.85546875" customWidth="1"/>
  </cols>
  <sheetData>
    <row r="1" spans="1:6" x14ac:dyDescent="0.25">
      <c r="A1" s="44" t="s">
        <v>0</v>
      </c>
      <c r="B1" s="44"/>
      <c r="C1" s="44"/>
      <c r="D1" s="44"/>
      <c r="E1" s="44"/>
      <c r="F1" s="44"/>
    </row>
    <row r="2" spans="1:6" ht="19.5" thickBot="1" x14ac:dyDescent="0.35">
      <c r="A2" s="45" t="s">
        <v>26</v>
      </c>
      <c r="B2" s="45"/>
      <c r="C2" s="45"/>
      <c r="D2" s="45"/>
      <c r="E2" s="45"/>
      <c r="F2" s="45"/>
    </row>
    <row r="3" spans="1:6" ht="19.5" thickBot="1" x14ac:dyDescent="0.3">
      <c r="A3" s="8" t="s">
        <v>1</v>
      </c>
      <c r="B3" s="9" t="s">
        <v>27</v>
      </c>
      <c r="C3" s="10" t="s">
        <v>2</v>
      </c>
      <c r="D3" s="10" t="s">
        <v>3</v>
      </c>
      <c r="E3" s="10" t="s">
        <v>4</v>
      </c>
      <c r="F3" s="11" t="s">
        <v>5</v>
      </c>
    </row>
    <row r="4" spans="1:6" x14ac:dyDescent="0.25">
      <c r="A4" s="6">
        <v>1</v>
      </c>
      <c r="B4" s="7" t="s">
        <v>6</v>
      </c>
      <c r="C4" s="6">
        <v>20.96</v>
      </c>
      <c r="D4" s="6">
        <v>20.34</v>
      </c>
      <c r="E4" s="6">
        <f>C4*D4</f>
        <v>426.32640000000004</v>
      </c>
      <c r="F4" s="6" t="s">
        <v>7</v>
      </c>
    </row>
    <row r="5" spans="1:6" x14ac:dyDescent="0.25">
      <c r="A5" s="2">
        <v>2</v>
      </c>
      <c r="B5" s="3" t="s">
        <v>8</v>
      </c>
      <c r="C5" s="2">
        <v>12</v>
      </c>
      <c r="D5" s="2">
        <v>46.6</v>
      </c>
      <c r="E5" s="2">
        <f t="shared" ref="E5:E14" si="0">C5*D5</f>
        <v>559.20000000000005</v>
      </c>
      <c r="F5" s="2" t="s">
        <v>7</v>
      </c>
    </row>
    <row r="6" spans="1:6" x14ac:dyDescent="0.25">
      <c r="A6" s="2">
        <v>3</v>
      </c>
      <c r="B6" s="3" t="s">
        <v>9</v>
      </c>
      <c r="C6" s="2">
        <v>36</v>
      </c>
      <c r="D6" s="2">
        <v>6</v>
      </c>
      <c r="E6" s="2">
        <f t="shared" si="0"/>
        <v>216</v>
      </c>
      <c r="F6" s="2" t="s">
        <v>7</v>
      </c>
    </row>
    <row r="7" spans="1:6" x14ac:dyDescent="0.25">
      <c r="A7" s="2">
        <v>4</v>
      </c>
      <c r="B7" s="3" t="s">
        <v>10</v>
      </c>
      <c r="C7" s="2">
        <v>21.58</v>
      </c>
      <c r="D7" s="2">
        <v>14</v>
      </c>
      <c r="E7" s="2">
        <f t="shared" si="0"/>
        <v>302.12</v>
      </c>
      <c r="F7" s="2" t="s">
        <v>7</v>
      </c>
    </row>
    <row r="8" spans="1:6" x14ac:dyDescent="0.25">
      <c r="A8" s="6">
        <v>5</v>
      </c>
      <c r="B8" s="3" t="s">
        <v>11</v>
      </c>
      <c r="C8" s="2">
        <v>6</v>
      </c>
      <c r="D8" s="2">
        <v>6</v>
      </c>
      <c r="E8" s="2">
        <f t="shared" si="0"/>
        <v>36</v>
      </c>
      <c r="F8" s="2" t="s">
        <v>7</v>
      </c>
    </row>
    <row r="9" spans="1:6" x14ac:dyDescent="0.25">
      <c r="A9" s="6">
        <v>6</v>
      </c>
      <c r="B9" s="3" t="s">
        <v>12</v>
      </c>
      <c r="C9" s="2">
        <v>10</v>
      </c>
      <c r="D9" s="2">
        <v>10</v>
      </c>
      <c r="E9" s="2">
        <f t="shared" si="0"/>
        <v>100</v>
      </c>
      <c r="F9" s="2" t="s">
        <v>7</v>
      </c>
    </row>
    <row r="10" spans="1:6" x14ac:dyDescent="0.25">
      <c r="A10" s="2">
        <v>7</v>
      </c>
      <c r="B10" s="3" t="s">
        <v>13</v>
      </c>
      <c r="C10" s="2">
        <v>23</v>
      </c>
      <c r="D10" s="2">
        <v>5</v>
      </c>
      <c r="E10" s="2">
        <f t="shared" si="0"/>
        <v>115</v>
      </c>
      <c r="F10" s="2" t="s">
        <v>7</v>
      </c>
    </row>
    <row r="11" spans="1:6" x14ac:dyDescent="0.25">
      <c r="A11" s="2">
        <v>8</v>
      </c>
      <c r="B11" s="3" t="s">
        <v>14</v>
      </c>
      <c r="C11" s="2">
        <v>18.5</v>
      </c>
      <c r="D11" s="2">
        <v>36.1</v>
      </c>
      <c r="E11" s="2">
        <f t="shared" si="0"/>
        <v>667.85</v>
      </c>
      <c r="F11" s="2" t="s">
        <v>7</v>
      </c>
    </row>
    <row r="12" spans="1:6" x14ac:dyDescent="0.25">
      <c r="A12" s="2">
        <v>9</v>
      </c>
      <c r="B12" s="3" t="s">
        <v>15</v>
      </c>
      <c r="C12" s="2">
        <v>23</v>
      </c>
      <c r="D12" s="2">
        <v>17</v>
      </c>
      <c r="E12" s="2">
        <f t="shared" si="0"/>
        <v>391</v>
      </c>
      <c r="F12" s="2" t="s">
        <v>7</v>
      </c>
    </row>
    <row r="13" spans="1:6" x14ac:dyDescent="0.25">
      <c r="A13" s="6">
        <v>10</v>
      </c>
      <c r="B13" s="3" t="s">
        <v>16</v>
      </c>
      <c r="C13" s="2">
        <v>35.5</v>
      </c>
      <c r="D13" s="2">
        <v>30.3</v>
      </c>
      <c r="E13" s="2">
        <f t="shared" si="0"/>
        <v>1075.6500000000001</v>
      </c>
      <c r="F13" s="2" t="s">
        <v>7</v>
      </c>
    </row>
    <row r="14" spans="1:6" x14ac:dyDescent="0.25">
      <c r="A14" s="6">
        <v>11</v>
      </c>
      <c r="B14" s="3" t="s">
        <v>17</v>
      </c>
      <c r="C14" s="2">
        <v>10</v>
      </c>
      <c r="D14" s="2">
        <v>15</v>
      </c>
      <c r="E14" s="2">
        <f t="shared" si="0"/>
        <v>150</v>
      </c>
      <c r="F14" s="2" t="s">
        <v>7</v>
      </c>
    </row>
    <row r="15" spans="1:6" x14ac:dyDescent="0.25">
      <c r="A15" s="2">
        <v>12</v>
      </c>
      <c r="B15" s="3" t="s">
        <v>24</v>
      </c>
      <c r="C15" s="2">
        <v>32</v>
      </c>
      <c r="D15" s="2">
        <v>5</v>
      </c>
      <c r="E15" s="2">
        <f t="shared" ref="E15:E27" si="1">C15*D15</f>
        <v>160</v>
      </c>
      <c r="F15" s="2" t="s">
        <v>7</v>
      </c>
    </row>
    <row r="16" spans="1:6" x14ac:dyDescent="0.25">
      <c r="A16" s="2">
        <v>13</v>
      </c>
      <c r="B16" s="3" t="s">
        <v>18</v>
      </c>
      <c r="C16" s="2">
        <v>4.5</v>
      </c>
      <c r="D16" s="2">
        <v>6.7</v>
      </c>
      <c r="E16" s="2">
        <f t="shared" si="1"/>
        <v>30.150000000000002</v>
      </c>
      <c r="F16" s="2" t="s">
        <v>7</v>
      </c>
    </row>
    <row r="17" spans="1:6" x14ac:dyDescent="0.25">
      <c r="A17" s="2">
        <v>14</v>
      </c>
      <c r="B17" s="4" t="s">
        <v>20</v>
      </c>
      <c r="C17" s="2">
        <v>10</v>
      </c>
      <c r="D17" s="2">
        <v>16</v>
      </c>
      <c r="E17" s="2">
        <f t="shared" si="1"/>
        <v>160</v>
      </c>
      <c r="F17" s="2" t="s">
        <v>7</v>
      </c>
    </row>
    <row r="18" spans="1:6" x14ac:dyDescent="0.25">
      <c r="A18" s="6">
        <v>15</v>
      </c>
      <c r="B18" s="3" t="s">
        <v>21</v>
      </c>
      <c r="C18" s="2">
        <v>10</v>
      </c>
      <c r="D18" s="2">
        <v>8</v>
      </c>
      <c r="E18" s="2">
        <f t="shared" si="1"/>
        <v>80</v>
      </c>
      <c r="F18" s="2" t="s">
        <v>7</v>
      </c>
    </row>
    <row r="19" spans="1:6" x14ac:dyDescent="0.25">
      <c r="A19" s="6">
        <v>16</v>
      </c>
      <c r="B19" s="3" t="s">
        <v>32</v>
      </c>
      <c r="C19" s="2">
        <v>7.25</v>
      </c>
      <c r="D19" s="2">
        <v>4.2</v>
      </c>
      <c r="E19" s="2">
        <f t="shared" si="1"/>
        <v>30.450000000000003</v>
      </c>
      <c r="F19" s="2" t="s">
        <v>7</v>
      </c>
    </row>
    <row r="20" spans="1:6" x14ac:dyDescent="0.25">
      <c r="A20" s="2">
        <v>17</v>
      </c>
      <c r="B20" s="3" t="s">
        <v>22</v>
      </c>
      <c r="C20" s="2">
        <v>24</v>
      </c>
      <c r="D20" s="2">
        <v>5.5</v>
      </c>
      <c r="E20" s="2">
        <f t="shared" si="1"/>
        <v>132</v>
      </c>
      <c r="F20" s="2" t="s">
        <v>7</v>
      </c>
    </row>
    <row r="21" spans="1:6" x14ac:dyDescent="0.25">
      <c r="A21" s="2">
        <v>18</v>
      </c>
      <c r="B21" s="3" t="s">
        <v>33</v>
      </c>
      <c r="C21" s="2">
        <v>20</v>
      </c>
      <c r="D21" s="2">
        <v>17</v>
      </c>
      <c r="E21" s="2">
        <f t="shared" si="1"/>
        <v>340</v>
      </c>
      <c r="F21" s="2" t="s">
        <v>7</v>
      </c>
    </row>
    <row r="22" spans="1:6" x14ac:dyDescent="0.25">
      <c r="A22" s="2">
        <v>19</v>
      </c>
      <c r="B22" s="3" t="s">
        <v>23</v>
      </c>
      <c r="C22" s="2">
        <v>40</v>
      </c>
      <c r="D22" s="2">
        <v>7</v>
      </c>
      <c r="E22" s="2">
        <f t="shared" si="1"/>
        <v>280</v>
      </c>
      <c r="F22" s="2" t="s">
        <v>7</v>
      </c>
    </row>
    <row r="23" spans="1:6" x14ac:dyDescent="0.25">
      <c r="A23" s="13">
        <v>20</v>
      </c>
      <c r="B23" s="14" t="s">
        <v>35</v>
      </c>
      <c r="C23" s="15">
        <v>20</v>
      </c>
      <c r="D23" s="15">
        <v>10</v>
      </c>
      <c r="E23" s="15">
        <f t="shared" si="1"/>
        <v>200</v>
      </c>
      <c r="F23" s="2" t="s">
        <v>7</v>
      </c>
    </row>
    <row r="24" spans="1:6" x14ac:dyDescent="0.25">
      <c r="A24" s="13">
        <v>21</v>
      </c>
      <c r="B24" s="14" t="s">
        <v>37</v>
      </c>
      <c r="C24" s="15">
        <v>3</v>
      </c>
      <c r="D24" s="15">
        <v>3</v>
      </c>
      <c r="E24" s="15">
        <f t="shared" si="1"/>
        <v>9</v>
      </c>
      <c r="F24" s="2" t="s">
        <v>7</v>
      </c>
    </row>
    <row r="25" spans="1:6" x14ac:dyDescent="0.25">
      <c r="A25" s="13">
        <v>22</v>
      </c>
      <c r="B25" s="14" t="s">
        <v>38</v>
      </c>
      <c r="C25" s="15">
        <v>12</v>
      </c>
      <c r="D25" s="15">
        <v>3</v>
      </c>
      <c r="E25" s="15">
        <f t="shared" si="1"/>
        <v>36</v>
      </c>
      <c r="F25" s="2" t="s">
        <v>7</v>
      </c>
    </row>
    <row r="26" spans="1:6" x14ac:dyDescent="0.25">
      <c r="A26" s="13">
        <v>21</v>
      </c>
      <c r="B26" s="14" t="s">
        <v>36</v>
      </c>
      <c r="C26" s="15">
        <v>6</v>
      </c>
      <c r="D26" s="15">
        <v>5</v>
      </c>
      <c r="E26" s="15">
        <f t="shared" si="1"/>
        <v>30</v>
      </c>
      <c r="F26" s="2" t="s">
        <v>7</v>
      </c>
    </row>
    <row r="27" spans="1:6" ht="15.75" thickBot="1" x14ac:dyDescent="0.3">
      <c r="A27" s="13">
        <v>22</v>
      </c>
      <c r="B27" s="14" t="s">
        <v>25</v>
      </c>
      <c r="C27" s="15">
        <v>12</v>
      </c>
      <c r="D27" s="15">
        <v>11</v>
      </c>
      <c r="E27" s="15">
        <f t="shared" si="1"/>
        <v>132</v>
      </c>
      <c r="F27" s="15" t="s">
        <v>7</v>
      </c>
    </row>
    <row r="28" spans="1:6" ht="19.5" thickBot="1" x14ac:dyDescent="0.3">
      <c r="A28" s="41" t="s">
        <v>34</v>
      </c>
      <c r="B28" s="42"/>
      <c r="C28" s="42"/>
      <c r="D28" s="43"/>
      <c r="E28" s="16">
        <f>SUM(E4:E27)</f>
        <v>5658.7463999999991</v>
      </c>
      <c r="F28" s="11" t="s">
        <v>7</v>
      </c>
    </row>
    <row r="29" spans="1:6" x14ac:dyDescent="0.25">
      <c r="A29" s="1"/>
      <c r="C29" s="1"/>
      <c r="D29" s="1"/>
      <c r="E29" s="1"/>
      <c r="F29" s="1"/>
    </row>
    <row r="30" spans="1:6" x14ac:dyDescent="0.25">
      <c r="A30" s="1"/>
      <c r="C30" s="1"/>
      <c r="D30" s="1"/>
      <c r="E30" s="1"/>
      <c r="F30" s="1"/>
    </row>
    <row r="32" spans="1:6" ht="18.75" x14ac:dyDescent="0.3">
      <c r="A32" s="45" t="s">
        <v>28</v>
      </c>
      <c r="B32" s="45"/>
      <c r="C32" s="45"/>
      <c r="D32" s="45"/>
      <c r="E32" s="45"/>
      <c r="F32" s="45"/>
    </row>
    <row r="33" spans="1:6" ht="21" customHeight="1" thickBot="1" x14ac:dyDescent="0.3">
      <c r="A33" s="2">
        <v>1</v>
      </c>
      <c r="B33" s="3" t="s">
        <v>19</v>
      </c>
      <c r="C33" s="2">
        <v>42.5</v>
      </c>
      <c r="D33" s="2">
        <v>16</v>
      </c>
      <c r="E33" s="2">
        <f t="shared" ref="E33" si="2">C33*D33</f>
        <v>680</v>
      </c>
      <c r="F33" s="2" t="s">
        <v>7</v>
      </c>
    </row>
    <row r="34" spans="1:6" ht="19.5" thickBot="1" x14ac:dyDescent="0.3">
      <c r="A34" s="41" t="s">
        <v>34</v>
      </c>
      <c r="B34" s="42"/>
      <c r="C34" s="42"/>
      <c r="D34" s="43"/>
      <c r="E34" s="16">
        <f>SUM(E33)</f>
        <v>680</v>
      </c>
      <c r="F34" s="11" t="s">
        <v>7</v>
      </c>
    </row>
    <row r="35" spans="1:6" x14ac:dyDescent="0.25">
      <c r="A35" s="1"/>
      <c r="C35" s="1"/>
      <c r="D35" s="1"/>
      <c r="E35" s="1"/>
      <c r="F35" s="1"/>
    </row>
    <row r="38" spans="1:6" ht="18.75" x14ac:dyDescent="0.3">
      <c r="A38" s="45" t="s">
        <v>29</v>
      </c>
      <c r="B38" s="45"/>
      <c r="C38" s="45"/>
      <c r="D38" s="45"/>
      <c r="E38" s="45"/>
      <c r="F38" s="45"/>
    </row>
    <row r="39" spans="1:6" x14ac:dyDescent="0.25">
      <c r="A39" s="2">
        <v>1</v>
      </c>
      <c r="B39" s="3" t="s">
        <v>30</v>
      </c>
      <c r="C39" s="2">
        <v>60</v>
      </c>
      <c r="D39" s="2">
        <v>26</v>
      </c>
      <c r="E39" s="2">
        <f t="shared" ref="E39:E40" si="3">C39*D39</f>
        <v>1560</v>
      </c>
      <c r="F39" s="2" t="s">
        <v>7</v>
      </c>
    </row>
    <row r="40" spans="1:6" ht="15.75" thickBot="1" x14ac:dyDescent="0.3">
      <c r="A40" s="12">
        <v>2</v>
      </c>
      <c r="B40" s="3" t="s">
        <v>31</v>
      </c>
      <c r="C40" s="2">
        <v>22</v>
      </c>
      <c r="D40" s="2">
        <v>18</v>
      </c>
      <c r="E40" s="2">
        <f t="shared" si="3"/>
        <v>396</v>
      </c>
      <c r="F40" s="2" t="s">
        <v>7</v>
      </c>
    </row>
    <row r="41" spans="1:6" ht="19.5" thickBot="1" x14ac:dyDescent="0.3">
      <c r="A41" s="41" t="s">
        <v>34</v>
      </c>
      <c r="B41" s="42"/>
      <c r="C41" s="42"/>
      <c r="D41" s="43"/>
      <c r="E41" s="16">
        <f>SUM(E39:E40)</f>
        <v>1956</v>
      </c>
      <c r="F41" s="11" t="s">
        <v>7</v>
      </c>
    </row>
  </sheetData>
  <mergeCells count="7">
    <mergeCell ref="A41:D41"/>
    <mergeCell ref="A1:F1"/>
    <mergeCell ref="A2:F2"/>
    <mergeCell ref="A32:F32"/>
    <mergeCell ref="A38:F38"/>
    <mergeCell ref="A28:D28"/>
    <mergeCell ref="A34:D34"/>
  </mergeCells>
  <phoneticPr fontId="2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workbookViewId="0">
      <selection activeCell="T1" sqref="T1"/>
    </sheetView>
  </sheetViews>
  <sheetFormatPr defaultRowHeight="15" x14ac:dyDescent="0.25"/>
  <cols>
    <col min="1" max="1" width="7.140625" bestFit="1" customWidth="1"/>
    <col min="2" max="2" width="35.28515625" bestFit="1" customWidth="1"/>
    <col min="3" max="4" width="6.42578125" style="19" hidden="1" customWidth="1"/>
    <col min="5" max="5" width="10.7109375" style="21" hidden="1" customWidth="1"/>
    <col min="6" max="6" width="6.85546875" style="21" customWidth="1"/>
    <col min="7" max="7" width="11.7109375" style="21" customWidth="1"/>
    <col min="8" max="8" width="26.28515625" style="5" bestFit="1" customWidth="1"/>
    <col min="14" max="14" width="13.7109375" style="21" hidden="1" customWidth="1"/>
    <col min="15" max="15" width="13.85546875" hidden="1" customWidth="1"/>
    <col min="16" max="16" width="9.140625" style="22"/>
    <col min="17" max="17" width="11.42578125" bestFit="1" customWidth="1"/>
    <col min="18" max="18" width="14.28515625" style="21" bestFit="1" customWidth="1"/>
    <col min="19" max="19" width="11.5703125" style="21" hidden="1" customWidth="1"/>
    <col min="20" max="20" width="12.5703125" style="21" customWidth="1"/>
    <col min="21" max="21" width="14.28515625" style="21" bestFit="1" customWidth="1"/>
    <col min="22" max="22" width="12.5703125" style="21" bestFit="1" customWidth="1"/>
  </cols>
  <sheetData>
    <row r="1" spans="1:22" x14ac:dyDescent="0.25">
      <c r="G1" s="21">
        <f>SUM(G3:G29)</f>
        <v>112905.1718496</v>
      </c>
      <c r="K1">
        <v>2023</v>
      </c>
      <c r="R1" s="21">
        <f>SUM(R3:R29)</f>
        <v>128418426.4716</v>
      </c>
      <c r="S1" s="21">
        <f>SUM(S3:S29)</f>
        <v>35434275.634576008</v>
      </c>
      <c r="T1" s="21">
        <f>SUM(T3:T29)</f>
        <v>92984150.837024003</v>
      </c>
      <c r="U1" s="21">
        <f>R1/G1</f>
        <v>1137.4007440745502</v>
      </c>
      <c r="V1" s="21">
        <f>T1/G1</f>
        <v>823.55971222370033</v>
      </c>
    </row>
    <row r="2" spans="1:22" s="29" customFormat="1" ht="30" x14ac:dyDescent="0.25">
      <c r="A2" s="25" t="s">
        <v>42</v>
      </c>
      <c r="B2" s="25" t="s">
        <v>27</v>
      </c>
      <c r="C2" s="26" t="s">
        <v>2</v>
      </c>
      <c r="D2" s="26" t="s">
        <v>3</v>
      </c>
      <c r="E2" s="27" t="s">
        <v>44</v>
      </c>
      <c r="F2" s="27" t="s">
        <v>66</v>
      </c>
      <c r="G2" s="27" t="s">
        <v>65</v>
      </c>
      <c r="H2" s="25" t="s">
        <v>43</v>
      </c>
      <c r="I2" s="25" t="s">
        <v>54</v>
      </c>
      <c r="J2" s="25" t="s">
        <v>52</v>
      </c>
      <c r="K2" s="25" t="s">
        <v>55</v>
      </c>
      <c r="L2" s="25" t="s">
        <v>56</v>
      </c>
      <c r="M2" s="25" t="s">
        <v>57</v>
      </c>
      <c r="N2" s="27" t="s">
        <v>58</v>
      </c>
      <c r="O2" s="25" t="s">
        <v>59</v>
      </c>
      <c r="P2" s="28" t="s">
        <v>60</v>
      </c>
      <c r="Q2" s="25" t="s">
        <v>61</v>
      </c>
      <c r="R2" s="27" t="s">
        <v>62</v>
      </c>
      <c r="S2" s="27" t="s">
        <v>63</v>
      </c>
      <c r="T2" s="27" t="s">
        <v>64</v>
      </c>
      <c r="U2" s="36"/>
      <c r="V2" s="36"/>
    </row>
    <row r="3" spans="1:22" x14ac:dyDescent="0.25">
      <c r="A3" s="1">
        <v>1</v>
      </c>
      <c r="B3" s="5" t="s">
        <v>6</v>
      </c>
      <c r="C3" s="18">
        <v>20.96</v>
      </c>
      <c r="D3" s="18">
        <v>20.34</v>
      </c>
      <c r="E3" s="20">
        <f>C3*D3</f>
        <v>426.32640000000004</v>
      </c>
      <c r="F3" s="20">
        <v>1</v>
      </c>
      <c r="G3" s="20">
        <f>E3*10.764*F3</f>
        <v>4588.9773696000002</v>
      </c>
      <c r="H3" s="5" t="s">
        <v>39</v>
      </c>
      <c r="I3" t="s">
        <v>45</v>
      </c>
      <c r="J3">
        <v>2002</v>
      </c>
      <c r="K3">
        <f>$K$1-J3</f>
        <v>21</v>
      </c>
      <c r="L3">
        <v>45</v>
      </c>
      <c r="M3" s="24">
        <v>0.95</v>
      </c>
      <c r="N3" s="21">
        <v>21260</v>
      </c>
      <c r="O3" s="21">
        <f>N3/10.764</f>
        <v>1975.1021924934969</v>
      </c>
      <c r="P3" s="22">
        <v>0.65</v>
      </c>
      <c r="Q3" s="23">
        <f>P3*O3</f>
        <v>1283.8164251207729</v>
      </c>
      <c r="R3" s="21">
        <f>Q3*G3</f>
        <v>5891404.5216000006</v>
      </c>
      <c r="S3" s="21">
        <f>R3*(M3/L3)*K3</f>
        <v>2611856.0045760004</v>
      </c>
      <c r="T3" s="21">
        <f>R3-S3</f>
        <v>3279548.5170240002</v>
      </c>
    </row>
    <row r="4" spans="1:22" x14ac:dyDescent="0.25">
      <c r="A4" s="1">
        <v>2</v>
      </c>
      <c r="B4" s="5" t="s">
        <v>8</v>
      </c>
      <c r="C4" s="18">
        <v>12</v>
      </c>
      <c r="D4" s="18">
        <v>46.6</v>
      </c>
      <c r="E4" s="20">
        <f t="shared" ref="E4:E26" si="0">C4*D4</f>
        <v>559.20000000000005</v>
      </c>
      <c r="F4" s="20">
        <v>3</v>
      </c>
      <c r="G4" s="20">
        <f t="shared" ref="G4:G29" si="1">E4*10.764*F4</f>
        <v>18057.686399999999</v>
      </c>
      <c r="H4" s="5" t="s">
        <v>39</v>
      </c>
      <c r="I4" t="s">
        <v>46</v>
      </c>
      <c r="J4">
        <v>2002</v>
      </c>
      <c r="K4">
        <f t="shared" ref="K4:K26" si="2">$K$1-J4</f>
        <v>21</v>
      </c>
      <c r="L4">
        <v>60</v>
      </c>
      <c r="M4" s="24">
        <v>0.95</v>
      </c>
      <c r="N4" s="21">
        <v>24730</v>
      </c>
      <c r="O4" s="21">
        <f t="shared" ref="O4:O29" si="3">N4/10.764</f>
        <v>2297.4730583426235</v>
      </c>
      <c r="P4" s="22">
        <v>0.75</v>
      </c>
      <c r="Q4" s="23">
        <f t="shared" ref="Q4:Q13" si="4">P4*O4</f>
        <v>1723.1047937569676</v>
      </c>
      <c r="R4" s="21">
        <f t="shared" ref="R4:R13" si="5">Q4*G4</f>
        <v>31115285.999999996</v>
      </c>
      <c r="S4" s="21">
        <f t="shared" ref="S4:S13" si="6">R4*(M4/L4)*K4</f>
        <v>10345832.594999997</v>
      </c>
      <c r="T4" s="21">
        <f t="shared" ref="T4:T13" si="7">R4-S4</f>
        <v>20769453.405000001</v>
      </c>
    </row>
    <row r="5" spans="1:22" x14ac:dyDescent="0.25">
      <c r="A5" s="1">
        <v>3</v>
      </c>
      <c r="B5" s="5" t="s">
        <v>9</v>
      </c>
      <c r="C5" s="18">
        <v>36</v>
      </c>
      <c r="D5" s="18">
        <v>6</v>
      </c>
      <c r="E5" s="20">
        <f t="shared" si="0"/>
        <v>216</v>
      </c>
      <c r="F5" s="20">
        <v>1</v>
      </c>
      <c r="G5" s="20">
        <f t="shared" si="1"/>
        <v>2325.0239999999999</v>
      </c>
      <c r="H5" s="5" t="s">
        <v>39</v>
      </c>
      <c r="I5" t="s">
        <v>47</v>
      </c>
      <c r="J5">
        <v>2002</v>
      </c>
      <c r="K5">
        <f t="shared" si="2"/>
        <v>21</v>
      </c>
      <c r="L5">
        <v>45</v>
      </c>
      <c r="M5" s="24">
        <v>0.95</v>
      </c>
      <c r="N5" s="21">
        <v>21260</v>
      </c>
      <c r="O5" s="21">
        <f t="shared" si="3"/>
        <v>1975.1021924934969</v>
      </c>
      <c r="P5" s="22">
        <v>0.5</v>
      </c>
      <c r="Q5" s="23">
        <f t="shared" si="4"/>
        <v>987.55109624674844</v>
      </c>
      <c r="R5" s="21">
        <f t="shared" si="5"/>
        <v>2296080</v>
      </c>
      <c r="S5" s="21">
        <f t="shared" si="6"/>
        <v>1017928.8</v>
      </c>
      <c r="T5" s="21">
        <f t="shared" si="7"/>
        <v>1278151.2</v>
      </c>
    </row>
    <row r="6" spans="1:22" x14ac:dyDescent="0.25">
      <c r="A6" s="1">
        <v>4</v>
      </c>
      <c r="B6" s="5" t="s">
        <v>10</v>
      </c>
      <c r="C6" s="18">
        <v>21.58</v>
      </c>
      <c r="D6" s="18">
        <v>14</v>
      </c>
      <c r="E6" s="20">
        <f t="shared" si="0"/>
        <v>302.12</v>
      </c>
      <c r="F6" s="20">
        <v>1</v>
      </c>
      <c r="G6" s="20">
        <f t="shared" si="1"/>
        <v>3252.0196799999999</v>
      </c>
      <c r="H6" s="5" t="s">
        <v>39</v>
      </c>
      <c r="I6" t="s">
        <v>47</v>
      </c>
      <c r="J6">
        <v>2002</v>
      </c>
      <c r="K6">
        <f t="shared" si="2"/>
        <v>21</v>
      </c>
      <c r="L6">
        <v>45</v>
      </c>
      <c r="M6" s="24">
        <v>0.95</v>
      </c>
      <c r="N6" s="21">
        <v>21260</v>
      </c>
      <c r="O6" s="21">
        <f t="shared" si="3"/>
        <v>1975.1021924934969</v>
      </c>
      <c r="P6" s="22">
        <v>0.5</v>
      </c>
      <c r="Q6" s="23">
        <f t="shared" si="4"/>
        <v>987.55109624674844</v>
      </c>
      <c r="R6" s="21">
        <f t="shared" si="5"/>
        <v>3211535.6</v>
      </c>
      <c r="S6" s="21">
        <f t="shared" si="6"/>
        <v>1423780.7826666667</v>
      </c>
      <c r="T6" s="21">
        <f t="shared" si="7"/>
        <v>1787754.8173333334</v>
      </c>
    </row>
    <row r="7" spans="1:22" x14ac:dyDescent="0.25">
      <c r="A7" s="1">
        <v>5</v>
      </c>
      <c r="B7" s="5" t="s">
        <v>11</v>
      </c>
      <c r="C7" s="18">
        <v>6</v>
      </c>
      <c r="D7" s="18">
        <v>6</v>
      </c>
      <c r="E7" s="20">
        <f t="shared" si="0"/>
        <v>36</v>
      </c>
      <c r="F7" s="20">
        <v>1</v>
      </c>
      <c r="G7" s="20">
        <f t="shared" si="1"/>
        <v>387.50399999999996</v>
      </c>
      <c r="H7" s="5" t="s">
        <v>39</v>
      </c>
      <c r="I7" t="s">
        <v>46</v>
      </c>
      <c r="J7">
        <v>2002</v>
      </c>
      <c r="K7">
        <f t="shared" si="2"/>
        <v>21</v>
      </c>
      <c r="L7">
        <v>60</v>
      </c>
      <c r="M7" s="24">
        <v>0.95</v>
      </c>
      <c r="N7" s="21">
        <v>24730</v>
      </c>
      <c r="O7" s="21">
        <f t="shared" si="3"/>
        <v>2297.4730583426235</v>
      </c>
      <c r="P7" s="22">
        <v>0.6</v>
      </c>
      <c r="Q7" s="23">
        <f t="shared" si="4"/>
        <v>1378.4838350055741</v>
      </c>
      <c r="R7" s="21">
        <f t="shared" si="5"/>
        <v>534167.99999999988</v>
      </c>
      <c r="S7" s="21">
        <f t="shared" si="6"/>
        <v>177610.85999999993</v>
      </c>
      <c r="T7" s="21">
        <f t="shared" si="7"/>
        <v>356557.13999999996</v>
      </c>
    </row>
    <row r="8" spans="1:22" x14ac:dyDescent="0.25">
      <c r="A8" s="1">
        <v>6</v>
      </c>
      <c r="B8" s="5" t="s">
        <v>12</v>
      </c>
      <c r="C8" s="18">
        <v>10</v>
      </c>
      <c r="D8" s="18">
        <v>10</v>
      </c>
      <c r="E8" s="20">
        <f t="shared" si="0"/>
        <v>100</v>
      </c>
      <c r="F8" s="20">
        <v>1</v>
      </c>
      <c r="G8" s="20">
        <f t="shared" si="1"/>
        <v>1076.3999999999999</v>
      </c>
      <c r="H8" s="5" t="s">
        <v>39</v>
      </c>
      <c r="I8" t="s">
        <v>47</v>
      </c>
      <c r="J8">
        <v>2002</v>
      </c>
      <c r="K8">
        <f t="shared" si="2"/>
        <v>21</v>
      </c>
      <c r="L8">
        <v>45</v>
      </c>
      <c r="M8" s="24">
        <v>0.95</v>
      </c>
      <c r="N8" s="21">
        <v>21260</v>
      </c>
      <c r="O8" s="21">
        <f t="shared" si="3"/>
        <v>1975.1021924934969</v>
      </c>
      <c r="P8" s="22">
        <v>0.5</v>
      </c>
      <c r="Q8" s="23">
        <f t="shared" si="4"/>
        <v>987.55109624674844</v>
      </c>
      <c r="R8" s="21">
        <f t="shared" si="5"/>
        <v>1063000</v>
      </c>
      <c r="S8" s="21">
        <f t="shared" si="6"/>
        <v>471263.33333333337</v>
      </c>
      <c r="T8" s="21">
        <f t="shared" si="7"/>
        <v>591736.66666666663</v>
      </c>
    </row>
    <row r="9" spans="1:22" x14ac:dyDescent="0.25">
      <c r="A9" s="1">
        <v>7</v>
      </c>
      <c r="B9" s="5" t="s">
        <v>13</v>
      </c>
      <c r="C9" s="18">
        <v>23</v>
      </c>
      <c r="D9" s="18">
        <v>5</v>
      </c>
      <c r="E9" s="20">
        <f t="shared" si="0"/>
        <v>115</v>
      </c>
      <c r="F9" s="20">
        <v>1</v>
      </c>
      <c r="G9" s="20">
        <f t="shared" si="1"/>
        <v>1237.8599999999999</v>
      </c>
      <c r="H9" s="5" t="s">
        <v>39</v>
      </c>
      <c r="I9" t="s">
        <v>46</v>
      </c>
      <c r="J9">
        <v>2002</v>
      </c>
      <c r="K9">
        <f t="shared" si="2"/>
        <v>21</v>
      </c>
      <c r="L9">
        <v>60</v>
      </c>
      <c r="M9" s="24">
        <v>0.95</v>
      </c>
      <c r="N9" s="21">
        <v>24730</v>
      </c>
      <c r="O9" s="21">
        <f t="shared" si="3"/>
        <v>2297.4730583426235</v>
      </c>
      <c r="P9" s="22">
        <v>0.55000000000000004</v>
      </c>
      <c r="Q9" s="23">
        <f t="shared" si="4"/>
        <v>1263.610182088443</v>
      </c>
      <c r="R9" s="21">
        <f t="shared" si="5"/>
        <v>1564172.5</v>
      </c>
      <c r="S9" s="21">
        <f t="shared" si="6"/>
        <v>520087.3562499999</v>
      </c>
      <c r="T9" s="21">
        <f t="shared" si="7"/>
        <v>1044085.14375</v>
      </c>
    </row>
    <row r="10" spans="1:22" x14ac:dyDescent="0.25">
      <c r="A10" s="1">
        <v>8</v>
      </c>
      <c r="B10" s="5" t="s">
        <v>14</v>
      </c>
      <c r="C10" s="18">
        <v>18.5</v>
      </c>
      <c r="D10" s="18">
        <v>36.1</v>
      </c>
      <c r="E10" s="20">
        <f t="shared" si="0"/>
        <v>667.85</v>
      </c>
      <c r="F10" s="20">
        <v>1</v>
      </c>
      <c r="G10" s="20">
        <f t="shared" si="1"/>
        <v>7188.7374</v>
      </c>
      <c r="H10" s="5" t="s">
        <v>39</v>
      </c>
      <c r="I10" t="s">
        <v>46</v>
      </c>
      <c r="J10">
        <v>2002</v>
      </c>
      <c r="K10">
        <f t="shared" si="2"/>
        <v>21</v>
      </c>
      <c r="L10">
        <v>60</v>
      </c>
      <c r="M10" s="24">
        <v>0.95</v>
      </c>
      <c r="N10" s="21">
        <v>24730</v>
      </c>
      <c r="O10" s="21">
        <f t="shared" si="3"/>
        <v>2297.4730583426235</v>
      </c>
      <c r="P10" s="22">
        <v>0.8</v>
      </c>
      <c r="Q10" s="23">
        <f t="shared" si="4"/>
        <v>1837.9784466740989</v>
      </c>
      <c r="R10" s="21">
        <f t="shared" si="5"/>
        <v>13212744.4</v>
      </c>
      <c r="S10" s="21">
        <f t="shared" si="6"/>
        <v>4393237.5129999993</v>
      </c>
      <c r="T10" s="21">
        <f t="shared" si="7"/>
        <v>8819506.887000002</v>
      </c>
    </row>
    <row r="11" spans="1:22" x14ac:dyDescent="0.25">
      <c r="A11" s="1">
        <v>9</v>
      </c>
      <c r="B11" s="5" t="s">
        <v>15</v>
      </c>
      <c r="C11" s="18">
        <v>23</v>
      </c>
      <c r="D11" s="18">
        <v>17</v>
      </c>
      <c r="E11" s="20">
        <f t="shared" si="0"/>
        <v>391</v>
      </c>
      <c r="F11" s="20">
        <v>1</v>
      </c>
      <c r="G11" s="20">
        <f t="shared" si="1"/>
        <v>4208.7240000000002</v>
      </c>
      <c r="H11" s="5" t="s">
        <v>39</v>
      </c>
      <c r="I11" t="s">
        <v>47</v>
      </c>
      <c r="J11">
        <v>2002</v>
      </c>
      <c r="K11">
        <f t="shared" si="2"/>
        <v>21</v>
      </c>
      <c r="L11">
        <v>45</v>
      </c>
      <c r="M11" s="24">
        <v>0.95</v>
      </c>
      <c r="N11" s="21">
        <v>21260</v>
      </c>
      <c r="O11" s="21">
        <f t="shared" si="3"/>
        <v>1975.1021924934969</v>
      </c>
      <c r="P11" s="22">
        <v>0.45</v>
      </c>
      <c r="Q11" s="23">
        <f t="shared" si="4"/>
        <v>888.79598662207366</v>
      </c>
      <c r="R11" s="21">
        <f t="shared" si="5"/>
        <v>3740697.0000000005</v>
      </c>
      <c r="S11" s="21">
        <f t="shared" si="6"/>
        <v>1658375.6700000004</v>
      </c>
      <c r="T11" s="21">
        <f t="shared" si="7"/>
        <v>2082321.33</v>
      </c>
    </row>
    <row r="12" spans="1:22" x14ac:dyDescent="0.25">
      <c r="A12" s="1">
        <v>10</v>
      </c>
      <c r="B12" s="5" t="s">
        <v>16</v>
      </c>
      <c r="C12" s="18">
        <v>35.5</v>
      </c>
      <c r="D12" s="18">
        <v>30.3</v>
      </c>
      <c r="E12" s="20">
        <f t="shared" si="0"/>
        <v>1075.6500000000001</v>
      </c>
      <c r="F12" s="20">
        <v>1</v>
      </c>
      <c r="G12" s="20">
        <f t="shared" si="1"/>
        <v>11578.2966</v>
      </c>
      <c r="H12" s="5" t="s">
        <v>39</v>
      </c>
      <c r="I12" t="s">
        <v>47</v>
      </c>
      <c r="J12">
        <v>2002</v>
      </c>
      <c r="K12">
        <f t="shared" si="2"/>
        <v>21</v>
      </c>
      <c r="L12">
        <v>45</v>
      </c>
      <c r="M12" s="24">
        <v>0.95</v>
      </c>
      <c r="N12" s="21">
        <v>21260</v>
      </c>
      <c r="O12" s="21">
        <f t="shared" si="3"/>
        <v>1975.1021924934969</v>
      </c>
      <c r="P12" s="22">
        <v>0.45</v>
      </c>
      <c r="Q12" s="23">
        <f t="shared" si="4"/>
        <v>888.79598662207366</v>
      </c>
      <c r="R12" s="21">
        <f t="shared" si="5"/>
        <v>10290743.550000001</v>
      </c>
      <c r="S12" s="21">
        <f t="shared" si="6"/>
        <v>4562229.6405000007</v>
      </c>
      <c r="T12" s="21">
        <f t="shared" si="7"/>
        <v>5728513.9095000001</v>
      </c>
    </row>
    <row r="13" spans="1:22" x14ac:dyDescent="0.25">
      <c r="A13" s="1">
        <v>11</v>
      </c>
      <c r="B13" s="5" t="s">
        <v>17</v>
      </c>
      <c r="C13" s="18">
        <v>10</v>
      </c>
      <c r="D13" s="18">
        <v>15</v>
      </c>
      <c r="E13" s="20">
        <f t="shared" si="0"/>
        <v>150</v>
      </c>
      <c r="F13" s="20">
        <v>1</v>
      </c>
      <c r="G13" s="20">
        <f t="shared" si="1"/>
        <v>1614.6</v>
      </c>
      <c r="H13" s="5" t="s">
        <v>39</v>
      </c>
      <c r="I13" t="s">
        <v>47</v>
      </c>
      <c r="J13">
        <v>2002</v>
      </c>
      <c r="K13">
        <f t="shared" si="2"/>
        <v>21</v>
      </c>
      <c r="L13">
        <v>45</v>
      </c>
      <c r="M13" s="24">
        <v>0.95</v>
      </c>
      <c r="N13" s="21">
        <v>21260</v>
      </c>
      <c r="O13" s="21">
        <f t="shared" si="3"/>
        <v>1975.1021924934969</v>
      </c>
      <c r="P13" s="22">
        <v>0.45</v>
      </c>
      <c r="Q13" s="23">
        <f t="shared" si="4"/>
        <v>888.79598662207366</v>
      </c>
      <c r="R13" s="21">
        <f t="shared" si="5"/>
        <v>1435050</v>
      </c>
      <c r="S13" s="21">
        <f t="shared" si="6"/>
        <v>636205.5</v>
      </c>
      <c r="T13" s="21">
        <f t="shared" si="7"/>
        <v>798844.5</v>
      </c>
    </row>
    <row r="14" spans="1:22" x14ac:dyDescent="0.25">
      <c r="A14" s="1">
        <v>12</v>
      </c>
      <c r="B14" s="5" t="s">
        <v>24</v>
      </c>
      <c r="C14" s="18">
        <v>32</v>
      </c>
      <c r="D14" s="18">
        <v>5</v>
      </c>
      <c r="E14" s="20">
        <f t="shared" si="0"/>
        <v>160</v>
      </c>
      <c r="F14" s="20">
        <v>1</v>
      </c>
      <c r="G14" s="20">
        <f t="shared" si="1"/>
        <v>1722.2399999999998</v>
      </c>
      <c r="H14" s="5" t="s">
        <v>39</v>
      </c>
      <c r="I14" t="s">
        <v>49</v>
      </c>
      <c r="J14">
        <v>2002</v>
      </c>
      <c r="K14">
        <f t="shared" si="2"/>
        <v>21</v>
      </c>
      <c r="L14">
        <v>60</v>
      </c>
      <c r="M14" s="24">
        <v>0.95</v>
      </c>
      <c r="N14" s="21">
        <v>24730</v>
      </c>
      <c r="O14" s="21">
        <f t="shared" ref="O14" si="8">N14/10.764</f>
        <v>2297.4730583426235</v>
      </c>
      <c r="P14" s="22">
        <v>0.6</v>
      </c>
      <c r="Q14" s="23">
        <f t="shared" ref="Q14" si="9">P14*O14</f>
        <v>1378.4838350055741</v>
      </c>
      <c r="R14" s="21">
        <f t="shared" ref="R14" si="10">Q14*G14</f>
        <v>2374079.9999999995</v>
      </c>
      <c r="S14" s="21">
        <f t="shared" ref="S14" si="11">R14*(M14/L14)*K14</f>
        <v>789381.59999999963</v>
      </c>
      <c r="T14" s="21">
        <f t="shared" ref="T14" si="12">R14-S14</f>
        <v>1584698.4</v>
      </c>
    </row>
    <row r="15" spans="1:22" x14ac:dyDescent="0.25">
      <c r="A15" s="1">
        <v>13</v>
      </c>
      <c r="B15" s="5" t="s">
        <v>18</v>
      </c>
      <c r="C15" s="18">
        <v>4.5</v>
      </c>
      <c r="D15" s="18">
        <v>6.7</v>
      </c>
      <c r="E15" s="20">
        <f t="shared" si="0"/>
        <v>30.150000000000002</v>
      </c>
      <c r="F15" s="20">
        <v>1</v>
      </c>
      <c r="G15" s="20">
        <f t="shared" si="1"/>
        <v>324.53460000000001</v>
      </c>
      <c r="H15" s="5" t="s">
        <v>39</v>
      </c>
      <c r="I15" t="s">
        <v>46</v>
      </c>
      <c r="J15">
        <v>2002</v>
      </c>
      <c r="K15">
        <f t="shared" si="2"/>
        <v>21</v>
      </c>
      <c r="L15">
        <v>60</v>
      </c>
      <c r="M15" s="24">
        <v>0.95</v>
      </c>
      <c r="N15" s="21">
        <v>24730</v>
      </c>
      <c r="O15" s="21">
        <f t="shared" si="3"/>
        <v>2297.4730583426235</v>
      </c>
      <c r="P15" s="22">
        <v>0.7</v>
      </c>
      <c r="Q15" s="23">
        <f t="shared" ref="Q15:Q19" si="13">P15*O15</f>
        <v>1608.2311408398364</v>
      </c>
      <c r="R15" s="21">
        <f t="shared" ref="R15:R19" si="14">Q15*G15</f>
        <v>521926.64999999997</v>
      </c>
      <c r="S15" s="21">
        <f t="shared" ref="S15:S19" si="15">R15*(M15/L15)*K15</f>
        <v>173540.61112499997</v>
      </c>
      <c r="T15" s="21">
        <f t="shared" ref="T15:T19" si="16">R15-S15</f>
        <v>348386.03887499997</v>
      </c>
    </row>
    <row r="16" spans="1:22" x14ac:dyDescent="0.25">
      <c r="A16" s="1">
        <v>14</v>
      </c>
      <c r="B16" s="17" t="s">
        <v>20</v>
      </c>
      <c r="C16" s="18">
        <v>10</v>
      </c>
      <c r="D16" s="18">
        <v>16</v>
      </c>
      <c r="E16" s="20">
        <f t="shared" si="0"/>
        <v>160</v>
      </c>
      <c r="F16" s="20">
        <v>1</v>
      </c>
      <c r="G16" s="20">
        <f t="shared" si="1"/>
        <v>1722.2399999999998</v>
      </c>
      <c r="H16" s="5" t="s">
        <v>39</v>
      </c>
      <c r="I16" t="s">
        <v>46</v>
      </c>
      <c r="J16">
        <v>2002</v>
      </c>
      <c r="K16">
        <f t="shared" si="2"/>
        <v>21</v>
      </c>
      <c r="L16">
        <v>60</v>
      </c>
      <c r="M16" s="24">
        <v>0.95</v>
      </c>
      <c r="N16" s="21">
        <v>24730</v>
      </c>
      <c r="O16" s="21">
        <f t="shared" si="3"/>
        <v>2297.4730583426235</v>
      </c>
      <c r="P16" s="22">
        <v>0.5</v>
      </c>
      <c r="Q16" s="23">
        <f t="shared" si="13"/>
        <v>1148.7365291713118</v>
      </c>
      <c r="R16" s="21">
        <f t="shared" si="14"/>
        <v>1978399.9999999998</v>
      </c>
      <c r="S16" s="21">
        <f t="shared" si="15"/>
        <v>657817.99999999977</v>
      </c>
      <c r="T16" s="21">
        <f t="shared" si="16"/>
        <v>1320582</v>
      </c>
    </row>
    <row r="17" spans="1:20" x14ac:dyDescent="0.25">
      <c r="A17" s="1">
        <v>15</v>
      </c>
      <c r="B17" s="5" t="s">
        <v>21</v>
      </c>
      <c r="C17" s="18">
        <v>10</v>
      </c>
      <c r="D17" s="18">
        <v>8</v>
      </c>
      <c r="E17" s="20">
        <f t="shared" si="0"/>
        <v>80</v>
      </c>
      <c r="F17" s="20">
        <v>1</v>
      </c>
      <c r="G17" s="20">
        <f t="shared" si="1"/>
        <v>861.11999999999989</v>
      </c>
      <c r="H17" s="5" t="s">
        <v>39</v>
      </c>
      <c r="I17" t="s">
        <v>47</v>
      </c>
      <c r="J17">
        <v>2002</v>
      </c>
      <c r="K17">
        <f t="shared" si="2"/>
        <v>21</v>
      </c>
      <c r="L17">
        <v>45</v>
      </c>
      <c r="M17" s="24">
        <v>0.95</v>
      </c>
      <c r="N17" s="21">
        <v>21260</v>
      </c>
      <c r="O17" s="21">
        <f t="shared" si="3"/>
        <v>1975.1021924934969</v>
      </c>
      <c r="P17" s="22">
        <v>0.45</v>
      </c>
      <c r="Q17" s="23">
        <f t="shared" si="13"/>
        <v>888.79598662207366</v>
      </c>
      <c r="R17" s="21">
        <f t="shared" si="14"/>
        <v>765360</v>
      </c>
      <c r="S17" s="21">
        <f t="shared" si="15"/>
        <v>339309.60000000003</v>
      </c>
      <c r="T17" s="21">
        <f t="shared" si="16"/>
        <v>426050.39999999997</v>
      </c>
    </row>
    <row r="18" spans="1:20" x14ac:dyDescent="0.25">
      <c r="A18" s="1">
        <v>16</v>
      </c>
      <c r="B18" s="5" t="s">
        <v>32</v>
      </c>
      <c r="C18" s="18">
        <v>7.25</v>
      </c>
      <c r="D18" s="18">
        <v>4.2</v>
      </c>
      <c r="E18" s="20">
        <f t="shared" si="0"/>
        <v>30.450000000000003</v>
      </c>
      <c r="F18" s="20">
        <v>1</v>
      </c>
      <c r="G18" s="20">
        <f t="shared" si="1"/>
        <v>327.7638</v>
      </c>
      <c r="H18" s="5" t="s">
        <v>39</v>
      </c>
      <c r="I18" t="s">
        <v>46</v>
      </c>
      <c r="J18">
        <v>2002</v>
      </c>
      <c r="K18">
        <f t="shared" si="2"/>
        <v>21</v>
      </c>
      <c r="L18">
        <v>60</v>
      </c>
      <c r="M18" s="24">
        <v>0.95</v>
      </c>
      <c r="N18" s="21">
        <v>24730</v>
      </c>
      <c r="O18" s="21">
        <f t="shared" si="3"/>
        <v>2297.4730583426235</v>
      </c>
      <c r="P18" s="22">
        <v>0.5</v>
      </c>
      <c r="Q18" s="23">
        <f t="shared" si="13"/>
        <v>1148.7365291713118</v>
      </c>
      <c r="R18" s="21">
        <f t="shared" si="14"/>
        <v>376514.25</v>
      </c>
      <c r="S18" s="21">
        <f t="shared" si="15"/>
        <v>125190.98812499997</v>
      </c>
      <c r="T18" s="21">
        <f t="shared" si="16"/>
        <v>251323.26187500003</v>
      </c>
    </row>
    <row r="19" spans="1:20" x14ac:dyDescent="0.25">
      <c r="A19" s="1">
        <v>17</v>
      </c>
      <c r="B19" s="5" t="s">
        <v>22</v>
      </c>
      <c r="C19" s="18">
        <v>24</v>
      </c>
      <c r="D19" s="18">
        <v>5.5</v>
      </c>
      <c r="E19" s="20">
        <f t="shared" si="0"/>
        <v>132</v>
      </c>
      <c r="F19" s="20">
        <v>1</v>
      </c>
      <c r="G19" s="20">
        <f t="shared" si="1"/>
        <v>1420.848</v>
      </c>
      <c r="H19" s="5" t="s">
        <v>39</v>
      </c>
      <c r="I19" t="s">
        <v>49</v>
      </c>
      <c r="J19">
        <v>2002</v>
      </c>
      <c r="K19">
        <f t="shared" si="2"/>
        <v>21</v>
      </c>
      <c r="L19">
        <v>60</v>
      </c>
      <c r="M19" s="24">
        <v>0.95</v>
      </c>
      <c r="N19" s="21">
        <v>24730</v>
      </c>
      <c r="O19" s="21">
        <f t="shared" ref="O19" si="17">N19/10.764</f>
        <v>2297.4730583426235</v>
      </c>
      <c r="P19" s="22">
        <v>0.8</v>
      </c>
      <c r="Q19" s="23">
        <f t="shared" si="13"/>
        <v>1837.9784466740989</v>
      </c>
      <c r="R19" s="21">
        <f t="shared" si="14"/>
        <v>2611488</v>
      </c>
      <c r="S19" s="21">
        <f t="shared" si="15"/>
        <v>868319.76</v>
      </c>
      <c r="T19" s="21">
        <f t="shared" si="16"/>
        <v>1743168.24</v>
      </c>
    </row>
    <row r="20" spans="1:20" x14ac:dyDescent="0.25">
      <c r="A20" s="1">
        <v>18</v>
      </c>
      <c r="B20" s="5" t="s">
        <v>33</v>
      </c>
      <c r="C20" s="18">
        <v>20</v>
      </c>
      <c r="D20" s="18">
        <v>17</v>
      </c>
      <c r="E20" s="20">
        <f t="shared" si="0"/>
        <v>340</v>
      </c>
      <c r="F20" s="20">
        <v>1</v>
      </c>
      <c r="G20" s="20">
        <f t="shared" si="1"/>
        <v>3659.7599999999998</v>
      </c>
      <c r="H20" s="5" t="s">
        <v>39</v>
      </c>
      <c r="I20" t="s">
        <v>47</v>
      </c>
      <c r="J20">
        <v>2002</v>
      </c>
      <c r="K20">
        <f t="shared" si="2"/>
        <v>21</v>
      </c>
      <c r="L20">
        <v>45</v>
      </c>
      <c r="M20" s="24">
        <v>0.95</v>
      </c>
      <c r="N20" s="21">
        <v>21260</v>
      </c>
      <c r="O20" s="21">
        <f t="shared" si="3"/>
        <v>1975.1021924934969</v>
      </c>
      <c r="P20" s="22">
        <v>0.45</v>
      </c>
      <c r="Q20" s="23">
        <f t="shared" ref="Q20:Q25" si="18">P20*O20</f>
        <v>888.79598662207366</v>
      </c>
      <c r="R20" s="21">
        <f t="shared" ref="R20:R25" si="19">Q20*G20</f>
        <v>3252780</v>
      </c>
      <c r="S20" s="21">
        <f t="shared" ref="S20:S25" si="20">R20*(M20/L20)*K20</f>
        <v>1442065.8</v>
      </c>
      <c r="T20" s="21">
        <f t="shared" ref="T20:T25" si="21">R20-S20</f>
        <v>1810714.2</v>
      </c>
    </row>
    <row r="21" spans="1:20" x14ac:dyDescent="0.25">
      <c r="A21" s="1">
        <v>19</v>
      </c>
      <c r="B21" s="5" t="s">
        <v>23</v>
      </c>
      <c r="C21" s="18">
        <v>40</v>
      </c>
      <c r="D21" s="18">
        <v>7</v>
      </c>
      <c r="E21" s="20">
        <f t="shared" si="0"/>
        <v>280</v>
      </c>
      <c r="F21" s="20">
        <v>1</v>
      </c>
      <c r="G21" s="20">
        <f t="shared" si="1"/>
        <v>3013.9199999999996</v>
      </c>
      <c r="H21" s="5" t="s">
        <v>39</v>
      </c>
      <c r="I21" t="s">
        <v>47</v>
      </c>
      <c r="J21">
        <v>2002</v>
      </c>
      <c r="K21">
        <f t="shared" si="2"/>
        <v>21</v>
      </c>
      <c r="L21">
        <v>45</v>
      </c>
      <c r="M21" s="24">
        <v>0.95</v>
      </c>
      <c r="N21" s="21">
        <v>21260</v>
      </c>
      <c r="O21" s="21">
        <f t="shared" si="3"/>
        <v>1975.1021924934969</v>
      </c>
      <c r="P21" s="22">
        <v>0.45</v>
      </c>
      <c r="Q21" s="23">
        <f t="shared" si="18"/>
        <v>888.79598662207366</v>
      </c>
      <c r="R21" s="21">
        <f t="shared" si="19"/>
        <v>2678760</v>
      </c>
      <c r="S21" s="21">
        <f t="shared" si="20"/>
        <v>1187583.5999999999</v>
      </c>
      <c r="T21" s="21">
        <f t="shared" si="21"/>
        <v>1491176.4000000001</v>
      </c>
    </row>
    <row r="22" spans="1:20" x14ac:dyDescent="0.25">
      <c r="A22" s="1">
        <v>20</v>
      </c>
      <c r="B22" s="5" t="s">
        <v>50</v>
      </c>
      <c r="C22" s="18">
        <v>20</v>
      </c>
      <c r="D22" s="18">
        <v>10</v>
      </c>
      <c r="E22" s="20">
        <f t="shared" si="0"/>
        <v>200</v>
      </c>
      <c r="F22" s="20">
        <v>1</v>
      </c>
      <c r="G22" s="20">
        <f t="shared" si="1"/>
        <v>2152.7999999999997</v>
      </c>
      <c r="H22" s="5" t="s">
        <v>39</v>
      </c>
      <c r="I22" t="s">
        <v>46</v>
      </c>
      <c r="J22">
        <v>2002</v>
      </c>
      <c r="K22">
        <f t="shared" si="2"/>
        <v>21</v>
      </c>
      <c r="L22">
        <v>60</v>
      </c>
      <c r="M22" s="24">
        <v>0.95</v>
      </c>
      <c r="N22" s="21">
        <v>24730</v>
      </c>
      <c r="O22" s="21">
        <f t="shared" si="3"/>
        <v>2297.4730583426235</v>
      </c>
      <c r="P22" s="22">
        <v>0.45</v>
      </c>
      <c r="Q22" s="23">
        <f t="shared" si="18"/>
        <v>1033.8628762541807</v>
      </c>
      <c r="R22" s="21">
        <f t="shared" si="19"/>
        <v>2225700</v>
      </c>
      <c r="S22" s="21">
        <f t="shared" si="20"/>
        <v>740045.24999999988</v>
      </c>
      <c r="T22" s="21">
        <f t="shared" si="21"/>
        <v>1485654.75</v>
      </c>
    </row>
    <row r="23" spans="1:20" x14ac:dyDescent="0.25">
      <c r="A23" s="1">
        <v>21</v>
      </c>
      <c r="B23" s="5" t="s">
        <v>37</v>
      </c>
      <c r="C23" s="18">
        <v>3</v>
      </c>
      <c r="D23" s="18">
        <v>3</v>
      </c>
      <c r="E23" s="20">
        <f t="shared" si="0"/>
        <v>9</v>
      </c>
      <c r="F23" s="20">
        <v>1</v>
      </c>
      <c r="G23" s="20">
        <f t="shared" si="1"/>
        <v>96.875999999999991</v>
      </c>
      <c r="H23" s="5" t="s">
        <v>39</v>
      </c>
      <c r="I23" t="s">
        <v>46</v>
      </c>
      <c r="J23">
        <v>2002</v>
      </c>
      <c r="K23">
        <f t="shared" si="2"/>
        <v>21</v>
      </c>
      <c r="L23">
        <v>60</v>
      </c>
      <c r="M23" s="24">
        <v>0.95</v>
      </c>
      <c r="N23" s="21">
        <v>24730</v>
      </c>
      <c r="O23" s="21">
        <f t="shared" si="3"/>
        <v>2297.4730583426235</v>
      </c>
      <c r="P23" s="22">
        <v>0.6</v>
      </c>
      <c r="Q23" s="23">
        <f t="shared" si="18"/>
        <v>1378.4838350055741</v>
      </c>
      <c r="R23" s="21">
        <f t="shared" si="19"/>
        <v>133541.99999999997</v>
      </c>
      <c r="S23" s="21">
        <f t="shared" si="20"/>
        <v>44402.714999999982</v>
      </c>
      <c r="T23" s="21">
        <f t="shared" si="21"/>
        <v>89139.284999999989</v>
      </c>
    </row>
    <row r="24" spans="1:20" x14ac:dyDescent="0.25">
      <c r="A24" s="1">
        <v>22</v>
      </c>
      <c r="B24" s="5" t="s">
        <v>67</v>
      </c>
      <c r="C24" s="18">
        <v>12</v>
      </c>
      <c r="D24" s="18">
        <v>3</v>
      </c>
      <c r="E24" s="20">
        <f t="shared" si="0"/>
        <v>36</v>
      </c>
      <c r="F24" s="20">
        <v>1</v>
      </c>
      <c r="G24" s="20">
        <f t="shared" si="1"/>
        <v>387.50399999999996</v>
      </c>
      <c r="H24" s="5" t="s">
        <v>39</v>
      </c>
      <c r="I24" t="s">
        <v>51</v>
      </c>
      <c r="J24">
        <v>2002</v>
      </c>
      <c r="K24">
        <f t="shared" si="2"/>
        <v>21</v>
      </c>
      <c r="L24">
        <v>60</v>
      </c>
      <c r="M24" s="24">
        <v>0.95</v>
      </c>
      <c r="N24" s="21">
        <v>24730</v>
      </c>
      <c r="O24" s="21">
        <f t="shared" ref="O24:O25" si="22">N24/10.764</f>
        <v>2297.4730583426235</v>
      </c>
      <c r="P24" s="22">
        <v>0.7</v>
      </c>
      <c r="Q24" s="23">
        <f t="shared" si="18"/>
        <v>1608.2311408398364</v>
      </c>
      <c r="R24" s="21">
        <f t="shared" si="19"/>
        <v>623195.99999999988</v>
      </c>
      <c r="S24" s="21">
        <f t="shared" si="20"/>
        <v>207212.66999999993</v>
      </c>
      <c r="T24" s="21">
        <f t="shared" si="21"/>
        <v>415983.32999999996</v>
      </c>
    </row>
    <row r="25" spans="1:20" x14ac:dyDescent="0.25">
      <c r="A25" s="1">
        <v>21</v>
      </c>
      <c r="B25" s="5" t="s">
        <v>36</v>
      </c>
      <c r="C25" s="18">
        <v>6</v>
      </c>
      <c r="D25" s="18">
        <v>5</v>
      </c>
      <c r="E25" s="20">
        <f t="shared" si="0"/>
        <v>30</v>
      </c>
      <c r="F25" s="20">
        <v>1</v>
      </c>
      <c r="G25" s="20">
        <f t="shared" si="1"/>
        <v>322.91999999999996</v>
      </c>
      <c r="H25" s="5" t="s">
        <v>39</v>
      </c>
      <c r="I25" t="s">
        <v>49</v>
      </c>
      <c r="J25">
        <v>2002</v>
      </c>
      <c r="K25">
        <f t="shared" si="2"/>
        <v>21</v>
      </c>
      <c r="L25">
        <v>60</v>
      </c>
      <c r="M25" s="24">
        <v>0.95</v>
      </c>
      <c r="N25" s="21">
        <v>24730</v>
      </c>
      <c r="O25" s="21">
        <f t="shared" si="22"/>
        <v>2297.4730583426235</v>
      </c>
      <c r="P25" s="22">
        <v>0.7</v>
      </c>
      <c r="Q25" s="23">
        <f t="shared" si="18"/>
        <v>1608.2311408398364</v>
      </c>
      <c r="R25" s="21">
        <f t="shared" si="19"/>
        <v>519329.99999999988</v>
      </c>
      <c r="S25" s="21">
        <f t="shared" si="20"/>
        <v>172677.22499999992</v>
      </c>
      <c r="T25" s="21">
        <f t="shared" si="21"/>
        <v>346652.77499999997</v>
      </c>
    </row>
    <row r="26" spans="1:20" x14ac:dyDescent="0.25">
      <c r="A26" s="1">
        <v>22</v>
      </c>
      <c r="B26" s="5" t="s">
        <v>25</v>
      </c>
      <c r="C26" s="18">
        <v>12</v>
      </c>
      <c r="D26" s="18">
        <v>11</v>
      </c>
      <c r="E26" s="20">
        <f t="shared" si="0"/>
        <v>132</v>
      </c>
      <c r="F26" s="20">
        <v>1</v>
      </c>
      <c r="G26" s="20">
        <f t="shared" si="1"/>
        <v>1420.848</v>
      </c>
      <c r="H26" s="5" t="s">
        <v>39</v>
      </c>
      <c r="I26" t="s">
        <v>46</v>
      </c>
      <c r="J26">
        <v>2002</v>
      </c>
      <c r="K26">
        <f t="shared" si="2"/>
        <v>21</v>
      </c>
      <c r="L26">
        <v>60</v>
      </c>
      <c r="M26" s="24">
        <v>0.95</v>
      </c>
      <c r="N26" s="21">
        <v>24730</v>
      </c>
      <c r="O26" s="21">
        <f t="shared" si="3"/>
        <v>2297.4730583426235</v>
      </c>
      <c r="P26" s="22">
        <v>0.8</v>
      </c>
      <c r="Q26" s="23">
        <f t="shared" ref="Q26:Q29" si="23">P26*O26</f>
        <v>1837.9784466740989</v>
      </c>
      <c r="R26" s="21">
        <f t="shared" ref="R26:R29" si="24">Q26*G26</f>
        <v>2611488</v>
      </c>
      <c r="S26" s="21">
        <f t="shared" ref="S26" si="25">R26*(M26/L26)*K26</f>
        <v>868319.76</v>
      </c>
      <c r="T26" s="21">
        <f t="shared" ref="T26:T29" si="26">R26-S26</f>
        <v>1743168.24</v>
      </c>
    </row>
    <row r="27" spans="1:20" x14ac:dyDescent="0.25">
      <c r="A27" s="1">
        <f>A26+1</f>
        <v>23</v>
      </c>
      <c r="B27" s="5" t="s">
        <v>19</v>
      </c>
      <c r="C27" s="18">
        <v>42.5</v>
      </c>
      <c r="D27" s="18">
        <v>16</v>
      </c>
      <c r="E27" s="20">
        <f t="shared" ref="E27" si="27">C27*D27</f>
        <v>680</v>
      </c>
      <c r="F27" s="20">
        <v>2</v>
      </c>
      <c r="G27" s="20">
        <f t="shared" si="1"/>
        <v>14639.039999999999</v>
      </c>
      <c r="H27" s="5" t="s">
        <v>40</v>
      </c>
      <c r="I27" t="s">
        <v>46</v>
      </c>
      <c r="J27" t="s">
        <v>53</v>
      </c>
      <c r="K27">
        <v>0</v>
      </c>
      <c r="N27" s="21">
        <v>24730</v>
      </c>
      <c r="O27" s="21">
        <f t="shared" si="3"/>
        <v>2297.4730583426235</v>
      </c>
      <c r="P27" s="22">
        <v>0.65</v>
      </c>
      <c r="Q27" s="23">
        <f t="shared" si="23"/>
        <v>1493.3574879227053</v>
      </c>
      <c r="R27" s="21">
        <f t="shared" si="24"/>
        <v>21861320</v>
      </c>
      <c r="T27" s="21">
        <f t="shared" si="26"/>
        <v>21861320</v>
      </c>
    </row>
    <row r="28" spans="1:20" x14ac:dyDescent="0.25">
      <c r="A28" s="1">
        <f>A27+1</f>
        <v>24</v>
      </c>
      <c r="B28" s="5" t="s">
        <v>30</v>
      </c>
      <c r="C28" s="18">
        <v>60</v>
      </c>
      <c r="D28" s="18">
        <v>26</v>
      </c>
      <c r="E28" s="20">
        <f t="shared" ref="E28:E29" si="28">C28*D28</f>
        <v>1560</v>
      </c>
      <c r="F28" s="20">
        <v>1</v>
      </c>
      <c r="G28" s="20">
        <f t="shared" si="1"/>
        <v>16791.84</v>
      </c>
      <c r="H28" s="5" t="s">
        <v>41</v>
      </c>
      <c r="I28" t="s">
        <v>47</v>
      </c>
      <c r="J28" t="s">
        <v>53</v>
      </c>
      <c r="K28">
        <v>0</v>
      </c>
      <c r="N28" s="21">
        <v>21260</v>
      </c>
      <c r="O28" s="21">
        <f t="shared" si="3"/>
        <v>1975.1021924934969</v>
      </c>
      <c r="P28" s="22">
        <v>0.2</v>
      </c>
      <c r="Q28" s="23">
        <f t="shared" si="23"/>
        <v>395.02043849869938</v>
      </c>
      <c r="R28" s="21">
        <f t="shared" si="24"/>
        <v>6633120</v>
      </c>
      <c r="T28" s="21">
        <f t="shared" si="26"/>
        <v>6633120</v>
      </c>
    </row>
    <row r="29" spans="1:20" x14ac:dyDescent="0.25">
      <c r="A29" s="1">
        <f>A28+1</f>
        <v>25</v>
      </c>
      <c r="B29" s="5" t="s">
        <v>31</v>
      </c>
      <c r="C29" s="18">
        <v>22</v>
      </c>
      <c r="D29" s="18">
        <v>18</v>
      </c>
      <c r="E29" s="20">
        <f t="shared" si="28"/>
        <v>396</v>
      </c>
      <c r="F29" s="20">
        <v>2</v>
      </c>
      <c r="G29" s="20">
        <f t="shared" si="1"/>
        <v>8525.0879999999997</v>
      </c>
      <c r="H29" s="5" t="s">
        <v>41</v>
      </c>
      <c r="I29" t="s">
        <v>46</v>
      </c>
      <c r="J29" t="s">
        <v>53</v>
      </c>
      <c r="K29">
        <v>0</v>
      </c>
      <c r="N29" s="21">
        <v>24730</v>
      </c>
      <c r="O29" s="21">
        <f t="shared" si="3"/>
        <v>2297.4730583426235</v>
      </c>
      <c r="P29" s="22">
        <v>0.25</v>
      </c>
      <c r="Q29" s="23">
        <f t="shared" si="23"/>
        <v>574.36826458565588</v>
      </c>
      <c r="R29" s="21">
        <f t="shared" si="24"/>
        <v>4896540</v>
      </c>
      <c r="T29" s="21">
        <f t="shared" si="26"/>
        <v>4896540</v>
      </c>
    </row>
    <row r="30" spans="1:20" x14ac:dyDescent="0.25">
      <c r="A30" s="1"/>
      <c r="B30" s="5"/>
      <c r="C30" s="18"/>
      <c r="D30" s="18"/>
      <c r="E30" s="20"/>
      <c r="F30" s="20"/>
      <c r="G30" s="20"/>
    </row>
    <row r="31" spans="1:20" x14ac:dyDescent="0.25">
      <c r="B31" s="5"/>
    </row>
  </sheetData>
  <autoFilter ref="A2:T29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K10"/>
  <sheetViews>
    <sheetView workbookViewId="0">
      <selection activeCell="H8" sqref="H8"/>
    </sheetView>
  </sheetViews>
  <sheetFormatPr defaultRowHeight="15" x14ac:dyDescent="0.25"/>
  <cols>
    <col min="4" max="4" width="14" bestFit="1" customWidth="1"/>
    <col min="5" max="6" width="10" style="31" bestFit="1" customWidth="1"/>
    <col min="7" max="7" width="12.5703125" bestFit="1" customWidth="1"/>
    <col min="8" max="8" width="14.28515625" style="31" bestFit="1" customWidth="1"/>
  </cols>
  <sheetData>
    <row r="3" spans="4:11" x14ac:dyDescent="0.25">
      <c r="E3" s="33" t="s">
        <v>69</v>
      </c>
      <c r="F3" s="33" t="s">
        <v>71</v>
      </c>
      <c r="G3" s="32" t="s">
        <v>62</v>
      </c>
      <c r="H3" s="33" t="s">
        <v>70</v>
      </c>
    </row>
    <row r="4" spans="4:11" x14ac:dyDescent="0.25">
      <c r="D4" t="s">
        <v>68</v>
      </c>
      <c r="E4" s="31">
        <v>2000</v>
      </c>
      <c r="F4" s="31">
        <v>10000</v>
      </c>
      <c r="G4" s="23">
        <f>F4*E4</f>
        <v>20000000</v>
      </c>
      <c r="H4" s="31">
        <f>G4*0.7</f>
        <v>14000000</v>
      </c>
    </row>
    <row r="5" spans="4:11" x14ac:dyDescent="0.25">
      <c r="D5" t="s">
        <v>96</v>
      </c>
      <c r="E5" s="31">
        <v>500</v>
      </c>
      <c r="F5" s="31">
        <v>10000</v>
      </c>
      <c r="H5" s="31">
        <f>F5*E5</f>
        <v>5000000</v>
      </c>
    </row>
    <row r="6" spans="4:11" x14ac:dyDescent="0.25">
      <c r="E6" s="31" t="s">
        <v>73</v>
      </c>
      <c r="F6" s="33" t="s">
        <v>71</v>
      </c>
    </row>
    <row r="7" spans="4:11" x14ac:dyDescent="0.25">
      <c r="D7" t="s">
        <v>72</v>
      </c>
      <c r="E7" s="31">
        <f>25000+5000</f>
        <v>30000</v>
      </c>
      <c r="F7" s="31">
        <v>300</v>
      </c>
      <c r="G7" s="31"/>
      <c r="H7" s="31">
        <f>F7*E7</f>
        <v>9000000</v>
      </c>
    </row>
    <row r="8" spans="4:11" x14ac:dyDescent="0.25">
      <c r="G8" t="s">
        <v>95</v>
      </c>
      <c r="H8" s="31">
        <f>H7+H5+H4</f>
        <v>28000000</v>
      </c>
      <c r="I8" s="37">
        <f>H8/10^7</f>
        <v>2.8</v>
      </c>
      <c r="J8">
        <f>Sheet2!R1/10^7</f>
        <v>12.84184264716</v>
      </c>
      <c r="K8" s="37">
        <f>J8+I8</f>
        <v>15.641842647160001</v>
      </c>
    </row>
    <row r="9" spans="4:11" x14ac:dyDescent="0.25">
      <c r="G9" t="s">
        <v>48</v>
      </c>
      <c r="H9" s="31">
        <f>Sheet2!T1</f>
        <v>92984150.837024003</v>
      </c>
    </row>
    <row r="10" spans="4:11" x14ac:dyDescent="0.25">
      <c r="H10" s="31">
        <f>H9+H8</f>
        <v>120984150.837024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2"/>
  <sheetViews>
    <sheetView tabSelected="1" topLeftCell="A15" zoomScaleNormal="100" workbookViewId="0">
      <selection activeCell="G32" sqref="G32"/>
    </sheetView>
  </sheetViews>
  <sheetFormatPr defaultRowHeight="15" x14ac:dyDescent="0.25"/>
  <cols>
    <col min="3" max="3" width="11.5703125" style="31" bestFit="1" customWidth="1"/>
    <col min="4" max="4" width="10.7109375" bestFit="1" customWidth="1"/>
    <col min="5" max="5" width="13.5703125" style="31" bestFit="1" customWidth="1"/>
    <col min="6" max="6" width="20.42578125" style="31" bestFit="1" customWidth="1"/>
    <col min="7" max="7" width="36.42578125" bestFit="1" customWidth="1"/>
    <col min="9" max="9" width="16.85546875" style="31" bestFit="1" customWidth="1"/>
    <col min="11" max="11" width="11.5703125" bestFit="1" customWidth="1"/>
  </cols>
  <sheetData>
    <row r="2" spans="3:9" x14ac:dyDescent="0.25">
      <c r="D2" t="s">
        <v>74</v>
      </c>
    </row>
    <row r="4" spans="3:9" x14ac:dyDescent="0.25">
      <c r="D4" t="s">
        <v>75</v>
      </c>
      <c r="E4" s="31" t="s">
        <v>76</v>
      </c>
    </row>
    <row r="5" spans="3:9" x14ac:dyDescent="0.25">
      <c r="D5">
        <f>7/2.5</f>
        <v>2.8</v>
      </c>
      <c r="E5" s="31">
        <f>45*10^5</f>
        <v>4500000</v>
      </c>
      <c r="F5" s="31" t="s">
        <v>81</v>
      </c>
      <c r="G5" t="s">
        <v>77</v>
      </c>
    </row>
    <row r="7" spans="3:9" x14ac:dyDescent="0.25">
      <c r="E7" s="30"/>
      <c r="F7" s="30"/>
    </row>
    <row r="8" spans="3:9" x14ac:dyDescent="0.25">
      <c r="C8" s="31" t="s">
        <v>88</v>
      </c>
      <c r="D8" t="s">
        <v>83</v>
      </c>
      <c r="E8" s="31">
        <v>5103000</v>
      </c>
      <c r="G8" t="s">
        <v>82</v>
      </c>
      <c r="I8" s="30"/>
    </row>
    <row r="9" spans="3:9" x14ac:dyDescent="0.25">
      <c r="D9" s="30">
        <f>3935/4046.84</f>
        <v>0.97236362198653759</v>
      </c>
      <c r="E9" s="31">
        <f>E8/D9</f>
        <v>5248036.7268106742</v>
      </c>
      <c r="F9" s="31" t="s">
        <v>84</v>
      </c>
    </row>
    <row r="12" spans="3:9" x14ac:dyDescent="0.25">
      <c r="D12" t="s">
        <v>85</v>
      </c>
      <c r="E12" s="31" t="s">
        <v>86</v>
      </c>
      <c r="F12" s="31" t="s">
        <v>87</v>
      </c>
    </row>
    <row r="13" spans="3:9" x14ac:dyDescent="0.25">
      <c r="F13" s="31">
        <f>80*10^5</f>
        <v>8000000</v>
      </c>
    </row>
    <row r="14" spans="3:9" x14ac:dyDescent="0.25">
      <c r="F14" s="31">
        <f>F13*0.8</f>
        <v>6400000</v>
      </c>
    </row>
    <row r="16" spans="3:9" x14ac:dyDescent="0.25">
      <c r="F16" s="31">
        <f>80*10^5</f>
        <v>8000000</v>
      </c>
      <c r="G16" s="37">
        <f>F16/4047</f>
        <v>1976.7729182110204</v>
      </c>
    </row>
    <row r="17" spans="1:16" x14ac:dyDescent="0.25">
      <c r="C17" s="31" t="s">
        <v>89</v>
      </c>
      <c r="D17" t="s">
        <v>94</v>
      </c>
      <c r="G17">
        <v>2700</v>
      </c>
    </row>
    <row r="18" spans="1:16" x14ac:dyDescent="0.25">
      <c r="B18" s="31" t="s">
        <v>90</v>
      </c>
      <c r="C18" s="31">
        <v>159841.902</v>
      </c>
      <c r="D18" s="37">
        <f>C18/4046.84</f>
        <v>39.497954453351255</v>
      </c>
      <c r="G18" s="37">
        <f>G17*C18</f>
        <v>431573135.39999998</v>
      </c>
      <c r="I18" s="31" t="s">
        <v>78</v>
      </c>
    </row>
    <row r="19" spans="1:16" x14ac:dyDescent="0.25">
      <c r="B19" s="31"/>
      <c r="I19" s="31" t="s">
        <v>79</v>
      </c>
    </row>
    <row r="20" spans="1:16" x14ac:dyDescent="0.25">
      <c r="A20" s="35">
        <f>C20/$C$23</f>
        <v>0.33333333333333331</v>
      </c>
      <c r="B20" s="31" t="s">
        <v>91</v>
      </c>
      <c r="C20" s="31">
        <f>C18/3</f>
        <v>53280.633999999998</v>
      </c>
      <c r="D20" s="37">
        <f t="shared" ref="D20:D23" si="0">C20/4046.84</f>
        <v>13.165984817783752</v>
      </c>
      <c r="E20" s="31">
        <f>F16</f>
        <v>8000000</v>
      </c>
      <c r="F20" s="31">
        <f>E20*D20</f>
        <v>105327878.54227002</v>
      </c>
      <c r="G20" s="37">
        <f>E20/4047</f>
        <v>1976.7729182110204</v>
      </c>
      <c r="I20" s="31" t="s">
        <v>80</v>
      </c>
    </row>
    <row r="21" spans="1:16" x14ac:dyDescent="0.25">
      <c r="A21" s="35">
        <f>C21/$C$23</f>
        <v>0.33333333333333331</v>
      </c>
      <c r="B21" s="31" t="s">
        <v>92</v>
      </c>
      <c r="C21" s="31">
        <f>C18/3</f>
        <v>53280.633999999998</v>
      </c>
      <c r="D21" s="37">
        <f t="shared" si="0"/>
        <v>13.165984817783752</v>
      </c>
      <c r="E21" s="31">
        <f>E20*2/3</f>
        <v>5333333.333333333</v>
      </c>
      <c r="F21" s="31">
        <f t="shared" ref="F21:F22" si="1">E21*D21</f>
        <v>70218585.694846675</v>
      </c>
      <c r="G21" s="37">
        <f t="shared" ref="G21:G22" si="2">E21/4047</f>
        <v>1317.8486121406802</v>
      </c>
    </row>
    <row r="22" spans="1:16" x14ac:dyDescent="0.25">
      <c r="A22" s="35">
        <f>C22/$C$23</f>
        <v>0.33333333333333343</v>
      </c>
      <c r="B22" s="31" t="s">
        <v>93</v>
      </c>
      <c r="C22" s="31">
        <f>C18-C20-C21</f>
        <v>53280.634000000013</v>
      </c>
      <c r="D22" s="37">
        <f t="shared" si="0"/>
        <v>13.165984817783755</v>
      </c>
      <c r="E22" s="31">
        <f>E20/2</f>
        <v>4000000</v>
      </c>
      <c r="F22" s="31">
        <f t="shared" si="1"/>
        <v>52663939.271135025</v>
      </c>
      <c r="G22" s="37">
        <f t="shared" si="2"/>
        <v>988.3864591055102</v>
      </c>
    </row>
    <row r="23" spans="1:16" x14ac:dyDescent="0.25">
      <c r="C23" s="31">
        <f>SUM(C20:C22)</f>
        <v>159841.902</v>
      </c>
      <c r="D23" s="37">
        <f t="shared" si="0"/>
        <v>39.497954453351255</v>
      </c>
      <c r="F23" s="38">
        <f>SUM(F20:F22)</f>
        <v>228210403.50825173</v>
      </c>
    </row>
    <row r="24" spans="1:16" x14ac:dyDescent="0.25">
      <c r="F24" s="31">
        <f>Sheet3!H10</f>
        <v>120984150.837024</v>
      </c>
    </row>
    <row r="25" spans="1:16" x14ac:dyDescent="0.25">
      <c r="F25" s="31">
        <f>60.6785627198343*10^7</f>
        <v>606785627.19834292</v>
      </c>
      <c r="P25">
        <f>34000/4046.86</f>
        <v>8.4015755425193852</v>
      </c>
    </row>
    <row r="26" spans="1:16" x14ac:dyDescent="0.25">
      <c r="F26" s="40">
        <f>F25+F24+F23</f>
        <v>955980181.54361868</v>
      </c>
      <c r="K26" s="23">
        <f>(E22+E21+E20)/3</f>
        <v>5777777.7777777771</v>
      </c>
      <c r="P26">
        <f>5103000/P25</f>
        <v>607386.075882353</v>
      </c>
    </row>
    <row r="27" spans="1:16" x14ac:dyDescent="0.25">
      <c r="F27" s="31">
        <v>960000000</v>
      </c>
      <c r="K27">
        <f>2350*4046.86</f>
        <v>9510121</v>
      </c>
    </row>
    <row r="28" spans="1:16" x14ac:dyDescent="0.25">
      <c r="F28" s="31">
        <f>F27*0.85</f>
        <v>816000000</v>
      </c>
      <c r="K28">
        <f>39.5*K27</f>
        <v>375649779.5</v>
      </c>
      <c r="P28">
        <f>5301000/34000</f>
        <v>155.91176470588235</v>
      </c>
    </row>
    <row r="29" spans="1:16" x14ac:dyDescent="0.25">
      <c r="F29" s="31">
        <f>F27*0.75</f>
        <v>720000000</v>
      </c>
    </row>
    <row r="30" spans="1:16" x14ac:dyDescent="0.25">
      <c r="C30" s="34" t="s">
        <v>89</v>
      </c>
      <c r="D30" t="s">
        <v>94</v>
      </c>
      <c r="E30" s="31" t="s">
        <v>76</v>
      </c>
      <c r="G30" s="31" t="s">
        <v>108</v>
      </c>
    </row>
    <row r="31" spans="1:16" x14ac:dyDescent="0.25">
      <c r="B31" t="s">
        <v>102</v>
      </c>
      <c r="C31" s="31">
        <f>C18*0.5</f>
        <v>79920.951000000001</v>
      </c>
      <c r="D31" s="37">
        <f t="shared" ref="D31:D33" si="3">C31/4046.84</f>
        <v>19.748977226675628</v>
      </c>
      <c r="E31" s="31">
        <f>F16</f>
        <v>8000000</v>
      </c>
      <c r="F31" s="31">
        <f>E31*D31</f>
        <v>157991817.81340501</v>
      </c>
      <c r="G31" s="37">
        <f>E31/4047</f>
        <v>1976.7729182110204</v>
      </c>
    </row>
    <row r="32" spans="1:16" x14ac:dyDescent="0.25">
      <c r="B32" t="s">
        <v>103</v>
      </c>
      <c r="C32" s="31">
        <f>C18-C31-C33</f>
        <v>49569.188999999998</v>
      </c>
      <c r="D32" s="37">
        <f t="shared" si="3"/>
        <v>12.248863063526109</v>
      </c>
      <c r="E32" s="31">
        <f>E31*0.85</f>
        <v>6800000</v>
      </c>
      <c r="F32" s="31">
        <f>E32*D32</f>
        <v>83292268.831977546</v>
      </c>
      <c r="G32" s="37">
        <f>E32/4047</f>
        <v>1680.2569804793675</v>
      </c>
    </row>
    <row r="33" spans="2:8" x14ac:dyDescent="0.25">
      <c r="B33" t="s">
        <v>104</v>
      </c>
      <c r="C33" s="31">
        <f>F45</f>
        <v>30351.761999999999</v>
      </c>
      <c r="D33" s="37">
        <f t="shared" si="3"/>
        <v>7.5001141631495187</v>
      </c>
      <c r="E33" s="31">
        <v>5000000</v>
      </c>
      <c r="F33" s="31">
        <f>E33*D33</f>
        <v>37500570.815747596</v>
      </c>
      <c r="G33" s="37">
        <f>E33/4047</f>
        <v>1235.4830738818878</v>
      </c>
    </row>
    <row r="34" spans="2:8" x14ac:dyDescent="0.25">
      <c r="D34" t="s">
        <v>109</v>
      </c>
      <c r="E34" s="31">
        <f>AVERAGE(E31:E33)</f>
        <v>6600000</v>
      </c>
      <c r="F34" s="31">
        <f>SUM(F31:F33)</f>
        <v>278784657.46113014</v>
      </c>
      <c r="G34" s="37">
        <f>AVERAGE(G31:G33)</f>
        <v>1630.837657524092</v>
      </c>
      <c r="H34" t="s">
        <v>109</v>
      </c>
    </row>
    <row r="35" spans="2:8" x14ac:dyDescent="0.25">
      <c r="F35" s="31">
        <f>F24</f>
        <v>120984150.837024</v>
      </c>
    </row>
    <row r="36" spans="2:8" x14ac:dyDescent="0.25">
      <c r="E36" s="30">
        <f>E33/E31</f>
        <v>0.625</v>
      </c>
      <c r="F36" s="31">
        <f>F25</f>
        <v>606785627.19834292</v>
      </c>
    </row>
    <row r="37" spans="2:8" x14ac:dyDescent="0.25">
      <c r="F37" s="31">
        <f>F36+F35+F34</f>
        <v>1006554435.496497</v>
      </c>
    </row>
    <row r="38" spans="2:8" x14ac:dyDescent="0.25">
      <c r="F38" s="31">
        <f>101*10^7</f>
        <v>1010000000</v>
      </c>
    </row>
    <row r="39" spans="2:8" x14ac:dyDescent="0.25">
      <c r="F39" s="31">
        <f>F38*0.85</f>
        <v>858500000</v>
      </c>
    </row>
    <row r="40" spans="2:8" x14ac:dyDescent="0.25">
      <c r="F40" s="31">
        <f>F38*0.75</f>
        <v>757500000</v>
      </c>
    </row>
    <row r="42" spans="2:8" x14ac:dyDescent="0.25">
      <c r="C42" s="35">
        <f>C31/C23</f>
        <v>0.5</v>
      </c>
      <c r="F42" s="31">
        <f>C23</f>
        <v>159841.902</v>
      </c>
      <c r="G42" t="s">
        <v>105</v>
      </c>
    </row>
    <row r="43" spans="2:8" x14ac:dyDescent="0.25">
      <c r="C43" s="35">
        <f>C32/C23</f>
        <v>0.31011385863013563</v>
      </c>
      <c r="F43" s="31">
        <v>27231.93</v>
      </c>
      <c r="G43" t="s">
        <v>106</v>
      </c>
    </row>
    <row r="44" spans="2:8" x14ac:dyDescent="0.25">
      <c r="C44" s="35">
        <f>C33/C23</f>
        <v>0.18988614136986431</v>
      </c>
      <c r="F44" s="31">
        <v>3119.8319999999999</v>
      </c>
      <c r="G44" t="s">
        <v>107</v>
      </c>
    </row>
    <row r="45" spans="2:8" x14ac:dyDescent="0.25">
      <c r="F45" s="31">
        <f>F44+F43</f>
        <v>30351.761999999999</v>
      </c>
    </row>
    <row r="49" spans="7:8" x14ac:dyDescent="0.25">
      <c r="G49" s="46">
        <v>1.05</v>
      </c>
    </row>
    <row r="50" spans="7:8" x14ac:dyDescent="0.25">
      <c r="G50">
        <f>G49*1000</f>
        <v>1050</v>
      </c>
      <c r="H50">
        <f>G50/G51</f>
        <v>7.5</v>
      </c>
    </row>
    <row r="51" spans="7:8" x14ac:dyDescent="0.25">
      <c r="G51">
        <v>140</v>
      </c>
    </row>
    <row r="52" spans="7:8" x14ac:dyDescent="0.25">
      <c r="G52" s="30">
        <f>G51/G50</f>
        <v>0.13333333333333333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7"/>
  <sheetViews>
    <sheetView workbookViewId="0">
      <selection activeCell="E9" sqref="E9"/>
    </sheetView>
  </sheetViews>
  <sheetFormatPr defaultRowHeight="15" x14ac:dyDescent="0.25"/>
  <cols>
    <col min="3" max="3" width="12.5703125" bestFit="1" customWidth="1"/>
  </cols>
  <sheetData>
    <row r="3" spans="3:3" x14ac:dyDescent="0.25">
      <c r="C3" t="s">
        <v>97</v>
      </c>
    </row>
    <row r="4" spans="3:3" x14ac:dyDescent="0.25">
      <c r="C4" t="s">
        <v>98</v>
      </c>
    </row>
    <row r="5" spans="3:3" x14ac:dyDescent="0.25">
      <c r="C5" s="31" t="s">
        <v>99</v>
      </c>
    </row>
    <row r="6" spans="3:3" x14ac:dyDescent="0.25">
      <c r="C6" s="39" t="s">
        <v>100</v>
      </c>
    </row>
    <row r="7" spans="3:3" x14ac:dyDescent="0.25">
      <c r="C7" s="37" t="s">
        <v>101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Civil Baroda</dc:creator>
  <cp:lastModifiedBy>Windows User</cp:lastModifiedBy>
  <dcterms:created xsi:type="dcterms:W3CDTF">2015-06-05T18:17:20Z</dcterms:created>
  <dcterms:modified xsi:type="dcterms:W3CDTF">2023-09-18T07:34:32Z</dcterms:modified>
</cp:coreProperties>
</file>