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nt.singhal\Desktop\Desktop\Tribeca (Trump)\"/>
    </mc:Choice>
  </mc:AlternateContent>
  <bookViews>
    <workbookView xWindow="0" yWindow="0" windowWidth="20490" windowHeight="7755"/>
  </bookViews>
  <sheets>
    <sheet name="TR 01 Inventory" sheetId="1" r:id="rId1"/>
    <sheet name="TR 02 Inventory" sheetId="2" r:id="rId2"/>
  </sheets>
  <externalReferences>
    <externalReference r:id="rId3"/>
  </externalReferences>
  <definedNames>
    <definedName name="_xlnm._FilterDatabase" localSheetId="0" hidden="1">'TR 01 Inventory'!$B$3:$R$131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O4" i="2" s="1"/>
  <c r="R4" i="2" s="1"/>
  <c r="S4" i="2" s="1"/>
  <c r="N4" i="2"/>
  <c r="P4" i="2" s="1"/>
  <c r="Q4" i="2"/>
  <c r="U4" i="2"/>
  <c r="V4" i="2"/>
  <c r="W4" i="2"/>
  <c r="M5" i="2"/>
  <c r="O5" i="2" s="1"/>
  <c r="N5" i="2"/>
  <c r="P5" i="2" s="1"/>
  <c r="Q5" i="2"/>
  <c r="U5" i="2"/>
  <c r="V5" i="2"/>
  <c r="W5" i="2"/>
  <c r="M6" i="2"/>
  <c r="O6" i="2" s="1"/>
  <c r="R6" i="2" s="1"/>
  <c r="S6" i="2" s="1"/>
  <c r="X6" i="2" s="1"/>
  <c r="N6" i="2"/>
  <c r="P6" i="2" s="1"/>
  <c r="Q6" i="2"/>
  <c r="U6" i="2"/>
  <c r="V6" i="2"/>
  <c r="W6" i="2"/>
  <c r="M7" i="2"/>
  <c r="O7" i="2" s="1"/>
  <c r="N7" i="2"/>
  <c r="P7" i="2" s="1"/>
  <c r="Q7" i="2"/>
  <c r="U7" i="2"/>
  <c r="V7" i="2"/>
  <c r="W7" i="2"/>
  <c r="M8" i="2"/>
  <c r="O8" i="2" s="1"/>
  <c r="R8" i="2" s="1"/>
  <c r="S8" i="2" s="1"/>
  <c r="N8" i="2"/>
  <c r="P8" i="2" s="1"/>
  <c r="Q8" i="2"/>
  <c r="U8" i="2"/>
  <c r="V8" i="2"/>
  <c r="W8" i="2"/>
  <c r="M9" i="2"/>
  <c r="N9" i="2"/>
  <c r="P9" i="2" s="1"/>
  <c r="O9" i="2"/>
  <c r="Q9" i="2"/>
  <c r="U9" i="2"/>
  <c r="V9" i="2"/>
  <c r="W9" i="2"/>
  <c r="M10" i="2"/>
  <c r="O10" i="2" s="1"/>
  <c r="N10" i="2"/>
  <c r="P10" i="2"/>
  <c r="Q10" i="2"/>
  <c r="U10" i="2"/>
  <c r="V10" i="2"/>
  <c r="W10" i="2"/>
  <c r="M11" i="2"/>
  <c r="O11" i="2" s="1"/>
  <c r="N11" i="2"/>
  <c r="P11" i="2" s="1"/>
  <c r="Q11" i="2"/>
  <c r="U11" i="2"/>
  <c r="V11" i="2"/>
  <c r="W11" i="2"/>
  <c r="M12" i="2"/>
  <c r="O12" i="2" s="1"/>
  <c r="R12" i="2" s="1"/>
  <c r="S12" i="2" s="1"/>
  <c r="N12" i="2"/>
  <c r="P12" i="2" s="1"/>
  <c r="Q12" i="2"/>
  <c r="U12" i="2"/>
  <c r="V12" i="2"/>
  <c r="W12" i="2"/>
  <c r="M13" i="2"/>
  <c r="N13" i="2"/>
  <c r="P13" i="2" s="1"/>
  <c r="O13" i="2"/>
  <c r="R13" i="2" s="1"/>
  <c r="S13" i="2" s="1"/>
  <c r="X13" i="2" s="1"/>
  <c r="Q13" i="2"/>
  <c r="U13" i="2"/>
  <c r="V13" i="2"/>
  <c r="W13" i="2"/>
  <c r="M14" i="2"/>
  <c r="O14" i="2" s="1"/>
  <c r="R14" i="2" s="1"/>
  <c r="S14" i="2" s="1"/>
  <c r="N14" i="2"/>
  <c r="P14" i="2"/>
  <c r="Q14" i="2"/>
  <c r="U14" i="2"/>
  <c r="V14" i="2"/>
  <c r="W14" i="2"/>
  <c r="M15" i="2"/>
  <c r="O15" i="2" s="1"/>
  <c r="N15" i="2"/>
  <c r="P15" i="2" s="1"/>
  <c r="Q15" i="2"/>
  <c r="U15" i="2"/>
  <c r="V15" i="2"/>
  <c r="W15" i="2"/>
  <c r="M16" i="2"/>
  <c r="O16" i="2" s="1"/>
  <c r="N16" i="2"/>
  <c r="P16" i="2" s="1"/>
  <c r="Q16" i="2"/>
  <c r="U16" i="2"/>
  <c r="V16" i="2"/>
  <c r="W16" i="2"/>
  <c r="M17" i="2"/>
  <c r="N17" i="2"/>
  <c r="P17" i="2" s="1"/>
  <c r="O17" i="2"/>
  <c r="R17" i="2" s="1"/>
  <c r="S17" i="2" s="1"/>
  <c r="X17" i="2" s="1"/>
  <c r="Q17" i="2"/>
  <c r="U17" i="2"/>
  <c r="V17" i="2"/>
  <c r="W17" i="2"/>
  <c r="M18" i="2"/>
  <c r="O18" i="2" s="1"/>
  <c r="N18" i="2"/>
  <c r="P18" i="2"/>
  <c r="Q18" i="2"/>
  <c r="U18" i="2"/>
  <c r="V18" i="2"/>
  <c r="W18" i="2"/>
  <c r="M19" i="2"/>
  <c r="O19" i="2" s="1"/>
  <c r="N19" i="2"/>
  <c r="P19" i="2" s="1"/>
  <c r="Q19" i="2"/>
  <c r="U19" i="2"/>
  <c r="V19" i="2"/>
  <c r="W19" i="2"/>
  <c r="M20" i="2"/>
  <c r="O20" i="2" s="1"/>
  <c r="R20" i="2" s="1"/>
  <c r="S20" i="2" s="1"/>
  <c r="N20" i="2"/>
  <c r="P20" i="2" s="1"/>
  <c r="Q20" i="2"/>
  <c r="U20" i="2"/>
  <c r="V20" i="2"/>
  <c r="W20" i="2"/>
  <c r="M21" i="2"/>
  <c r="N21" i="2"/>
  <c r="P21" i="2" s="1"/>
  <c r="O21" i="2"/>
  <c r="Q21" i="2"/>
  <c r="U21" i="2"/>
  <c r="V21" i="2"/>
  <c r="W21" i="2"/>
  <c r="M22" i="2"/>
  <c r="O22" i="2" s="1"/>
  <c r="N22" i="2"/>
  <c r="P22" i="2" s="1"/>
  <c r="Q22" i="2"/>
  <c r="U22" i="2"/>
  <c r="V22" i="2"/>
  <c r="W22" i="2"/>
  <c r="M23" i="2"/>
  <c r="O23" i="2" s="1"/>
  <c r="N23" i="2"/>
  <c r="P23" i="2" s="1"/>
  <c r="Q23" i="2"/>
  <c r="U23" i="2"/>
  <c r="V23" i="2"/>
  <c r="W23" i="2"/>
  <c r="M24" i="2"/>
  <c r="O24" i="2" s="1"/>
  <c r="N24" i="2"/>
  <c r="P24" i="2" s="1"/>
  <c r="Q24" i="2"/>
  <c r="U24" i="2"/>
  <c r="V24" i="2"/>
  <c r="W24" i="2"/>
  <c r="M25" i="2"/>
  <c r="O25" i="2" s="1"/>
  <c r="N25" i="2"/>
  <c r="P25" i="2" s="1"/>
  <c r="Q25" i="2"/>
  <c r="U25" i="2"/>
  <c r="V25" i="2"/>
  <c r="W25" i="2"/>
  <c r="M26" i="2"/>
  <c r="O26" i="2" s="1"/>
  <c r="N26" i="2"/>
  <c r="P26" i="2" s="1"/>
  <c r="Q26" i="2"/>
  <c r="U26" i="2"/>
  <c r="V26" i="2"/>
  <c r="W26" i="2"/>
  <c r="M27" i="2"/>
  <c r="O27" i="2" s="1"/>
  <c r="R27" i="2" s="1"/>
  <c r="S27" i="2" s="1"/>
  <c r="N27" i="2"/>
  <c r="P27" i="2" s="1"/>
  <c r="Q27" i="2"/>
  <c r="U27" i="2"/>
  <c r="V27" i="2"/>
  <c r="W27" i="2"/>
  <c r="M28" i="2"/>
  <c r="O28" i="2" s="1"/>
  <c r="N28" i="2"/>
  <c r="P28" i="2" s="1"/>
  <c r="Q28" i="2"/>
  <c r="U28" i="2"/>
  <c r="V28" i="2"/>
  <c r="W28" i="2"/>
  <c r="M29" i="2"/>
  <c r="O29" i="2" s="1"/>
  <c r="R29" i="2" s="1"/>
  <c r="S29" i="2" s="1"/>
  <c r="X29" i="2" s="1"/>
  <c r="N29" i="2"/>
  <c r="P29" i="2" s="1"/>
  <c r="Q29" i="2"/>
  <c r="U29" i="2"/>
  <c r="V29" i="2"/>
  <c r="W29" i="2"/>
  <c r="M30" i="2"/>
  <c r="O30" i="2" s="1"/>
  <c r="R30" i="2" s="1"/>
  <c r="S30" i="2" s="1"/>
  <c r="N30" i="2"/>
  <c r="P30" i="2" s="1"/>
  <c r="Q30" i="2"/>
  <c r="U30" i="2"/>
  <c r="V30" i="2"/>
  <c r="W30" i="2"/>
  <c r="M31" i="2"/>
  <c r="O31" i="2" s="1"/>
  <c r="R31" i="2" s="1"/>
  <c r="S31" i="2" s="1"/>
  <c r="N31" i="2"/>
  <c r="P31" i="2" s="1"/>
  <c r="Q31" i="2"/>
  <c r="U31" i="2"/>
  <c r="V31" i="2"/>
  <c r="W31" i="2"/>
  <c r="M32" i="2"/>
  <c r="O32" i="2" s="1"/>
  <c r="N32" i="2"/>
  <c r="P32" i="2" s="1"/>
  <c r="R32" i="2" s="1"/>
  <c r="S32" i="2" s="1"/>
  <c r="Q32" i="2"/>
  <c r="U32" i="2"/>
  <c r="V32" i="2"/>
  <c r="W32" i="2"/>
  <c r="M33" i="2"/>
  <c r="O33" i="2" s="1"/>
  <c r="R33" i="2" s="1"/>
  <c r="S33" i="2" s="1"/>
  <c r="X33" i="2" s="1"/>
  <c r="N33" i="2"/>
  <c r="P33" i="2" s="1"/>
  <c r="Q33" i="2"/>
  <c r="U33" i="2"/>
  <c r="V33" i="2"/>
  <c r="W33" i="2"/>
  <c r="M34" i="2"/>
  <c r="O34" i="2" s="1"/>
  <c r="R34" i="2" s="1"/>
  <c r="S34" i="2" s="1"/>
  <c r="N34" i="2"/>
  <c r="P34" i="2" s="1"/>
  <c r="Q34" i="2"/>
  <c r="U34" i="2"/>
  <c r="V34" i="2"/>
  <c r="W34" i="2"/>
  <c r="M35" i="2"/>
  <c r="O35" i="2" s="1"/>
  <c r="N35" i="2"/>
  <c r="P35" i="2" s="1"/>
  <c r="Q35" i="2"/>
  <c r="U35" i="2"/>
  <c r="V35" i="2"/>
  <c r="W35" i="2"/>
  <c r="M36" i="2"/>
  <c r="O36" i="2" s="1"/>
  <c r="N36" i="2"/>
  <c r="P36" i="2" s="1"/>
  <c r="R36" i="2" s="1"/>
  <c r="S36" i="2" s="1"/>
  <c r="Q36" i="2"/>
  <c r="U36" i="2"/>
  <c r="V36" i="2"/>
  <c r="W36" i="2"/>
  <c r="M37" i="2"/>
  <c r="N37" i="2"/>
  <c r="P37" i="2" s="1"/>
  <c r="O37" i="2"/>
  <c r="R37" i="2" s="1"/>
  <c r="S37" i="2" s="1"/>
  <c r="X37" i="2" s="1"/>
  <c r="Q37" i="2"/>
  <c r="U37" i="2"/>
  <c r="V37" i="2"/>
  <c r="W37" i="2"/>
  <c r="M38" i="2"/>
  <c r="N38" i="2"/>
  <c r="P38" i="2" s="1"/>
  <c r="O38" i="2"/>
  <c r="Q38" i="2"/>
  <c r="U38" i="2"/>
  <c r="V38" i="2"/>
  <c r="W38" i="2"/>
  <c r="M39" i="2"/>
  <c r="O39" i="2" s="1"/>
  <c r="N39" i="2"/>
  <c r="P39" i="2" s="1"/>
  <c r="Q39" i="2"/>
  <c r="U39" i="2"/>
  <c r="V39" i="2"/>
  <c r="W39" i="2"/>
  <c r="M40" i="2"/>
  <c r="O40" i="2" s="1"/>
  <c r="R40" i="2" s="1"/>
  <c r="S40" i="2" s="1"/>
  <c r="N40" i="2"/>
  <c r="P40" i="2" s="1"/>
  <c r="Q40" i="2"/>
  <c r="U40" i="2"/>
  <c r="V40" i="2"/>
  <c r="W40" i="2"/>
  <c r="M41" i="2"/>
  <c r="O41" i="2" s="1"/>
  <c r="N41" i="2"/>
  <c r="P41" i="2" s="1"/>
  <c r="Q41" i="2"/>
  <c r="U41" i="2"/>
  <c r="V41" i="2"/>
  <c r="W41" i="2"/>
  <c r="M42" i="2"/>
  <c r="N42" i="2"/>
  <c r="P42" i="2" s="1"/>
  <c r="O42" i="2"/>
  <c r="Q42" i="2"/>
  <c r="U42" i="2"/>
  <c r="V42" i="2"/>
  <c r="W42" i="2"/>
  <c r="M43" i="2"/>
  <c r="O43" i="2" s="1"/>
  <c r="N43" i="2"/>
  <c r="P43" i="2" s="1"/>
  <c r="Q43" i="2"/>
  <c r="U43" i="2"/>
  <c r="V43" i="2"/>
  <c r="W43" i="2"/>
  <c r="M44" i="2"/>
  <c r="O44" i="2" s="1"/>
  <c r="N44" i="2"/>
  <c r="P44" i="2" s="1"/>
  <c r="Q44" i="2"/>
  <c r="U44" i="2"/>
  <c r="V44" i="2"/>
  <c r="W44" i="2"/>
  <c r="M45" i="2"/>
  <c r="O45" i="2" s="1"/>
  <c r="R45" i="2" s="1"/>
  <c r="S45" i="2" s="1"/>
  <c r="N45" i="2"/>
  <c r="P45" i="2" s="1"/>
  <c r="Q45" i="2"/>
  <c r="U45" i="2"/>
  <c r="V45" i="2"/>
  <c r="W45" i="2"/>
  <c r="M46" i="2"/>
  <c r="N46" i="2"/>
  <c r="P46" i="2" s="1"/>
  <c r="O46" i="2"/>
  <c r="Q46" i="2"/>
  <c r="U46" i="2"/>
  <c r="V46" i="2"/>
  <c r="W46" i="2"/>
  <c r="M47" i="2"/>
  <c r="O47" i="2" s="1"/>
  <c r="N47" i="2"/>
  <c r="P47" i="2" s="1"/>
  <c r="Q47" i="2"/>
  <c r="U47" i="2"/>
  <c r="V47" i="2"/>
  <c r="W47" i="2"/>
  <c r="M48" i="2"/>
  <c r="O48" i="2" s="1"/>
  <c r="N48" i="2"/>
  <c r="P48" i="2" s="1"/>
  <c r="Q48" i="2"/>
  <c r="U48" i="2"/>
  <c r="V48" i="2"/>
  <c r="W48" i="2"/>
  <c r="M49" i="2"/>
  <c r="O49" i="2" s="1"/>
  <c r="R49" i="2" s="1"/>
  <c r="S49" i="2" s="1"/>
  <c r="N49" i="2"/>
  <c r="P49" i="2" s="1"/>
  <c r="Q49" i="2"/>
  <c r="U49" i="2"/>
  <c r="V49" i="2"/>
  <c r="W49" i="2"/>
  <c r="M50" i="2"/>
  <c r="N50" i="2"/>
  <c r="P50" i="2" s="1"/>
  <c r="O50" i="2"/>
  <c r="Q50" i="2"/>
  <c r="U50" i="2"/>
  <c r="V50" i="2"/>
  <c r="W50" i="2"/>
  <c r="M51" i="2"/>
  <c r="O51" i="2" s="1"/>
  <c r="N51" i="2"/>
  <c r="P51" i="2" s="1"/>
  <c r="Q51" i="2"/>
  <c r="U51" i="2"/>
  <c r="V51" i="2"/>
  <c r="W51" i="2"/>
  <c r="M52" i="2"/>
  <c r="O52" i="2" s="1"/>
  <c r="R52" i="2" s="1"/>
  <c r="S52" i="2" s="1"/>
  <c r="N52" i="2"/>
  <c r="P52" i="2" s="1"/>
  <c r="Q52" i="2"/>
  <c r="U52" i="2"/>
  <c r="V52" i="2"/>
  <c r="W52" i="2"/>
  <c r="M53" i="2"/>
  <c r="N53" i="2"/>
  <c r="P53" i="2" s="1"/>
  <c r="O53" i="2"/>
  <c r="Q53" i="2"/>
  <c r="U53" i="2"/>
  <c r="V53" i="2"/>
  <c r="W53" i="2"/>
  <c r="M54" i="2"/>
  <c r="N54" i="2"/>
  <c r="P54" i="2" s="1"/>
  <c r="O54" i="2"/>
  <c r="Q54" i="2"/>
  <c r="U54" i="2"/>
  <c r="V54" i="2"/>
  <c r="W54" i="2"/>
  <c r="M55" i="2"/>
  <c r="O55" i="2" s="1"/>
  <c r="N55" i="2"/>
  <c r="P55" i="2" s="1"/>
  <c r="Q55" i="2"/>
  <c r="U55" i="2"/>
  <c r="V55" i="2"/>
  <c r="W55" i="2"/>
  <c r="M56" i="2"/>
  <c r="O56" i="2" s="1"/>
  <c r="N56" i="2"/>
  <c r="P56" i="2" s="1"/>
  <c r="Q56" i="2"/>
  <c r="U56" i="2"/>
  <c r="V56" i="2"/>
  <c r="W56" i="2"/>
  <c r="M57" i="2"/>
  <c r="N57" i="2"/>
  <c r="P57" i="2" s="1"/>
  <c r="O57" i="2"/>
  <c r="R57" i="2" s="1"/>
  <c r="S57" i="2" s="1"/>
  <c r="X57" i="2" s="1"/>
  <c r="Q57" i="2"/>
  <c r="U57" i="2"/>
  <c r="V57" i="2"/>
  <c r="W57" i="2"/>
  <c r="M58" i="2"/>
  <c r="N58" i="2"/>
  <c r="O58" i="2"/>
  <c r="P58" i="2"/>
  <c r="Q58" i="2"/>
  <c r="U58" i="2"/>
  <c r="V58" i="2"/>
  <c r="W58" i="2"/>
  <c r="M59" i="2"/>
  <c r="O59" i="2" s="1"/>
  <c r="N59" i="2"/>
  <c r="P59" i="2" s="1"/>
  <c r="Q59" i="2"/>
  <c r="U59" i="2"/>
  <c r="V59" i="2"/>
  <c r="W59" i="2"/>
  <c r="M60" i="2"/>
  <c r="O60" i="2" s="1"/>
  <c r="N60" i="2"/>
  <c r="P60" i="2" s="1"/>
  <c r="Q60" i="2"/>
  <c r="U60" i="2"/>
  <c r="V60" i="2"/>
  <c r="W60" i="2"/>
  <c r="M61" i="2"/>
  <c r="N61" i="2"/>
  <c r="P61" i="2" s="1"/>
  <c r="O61" i="2"/>
  <c r="Q61" i="2"/>
  <c r="U61" i="2"/>
  <c r="V61" i="2"/>
  <c r="W61" i="2"/>
  <c r="M62" i="2"/>
  <c r="O62" i="2" s="1"/>
  <c r="N62" i="2"/>
  <c r="P62" i="2"/>
  <c r="Q62" i="2"/>
  <c r="U62" i="2"/>
  <c r="V62" i="2"/>
  <c r="W62" i="2"/>
  <c r="M63" i="2"/>
  <c r="O63" i="2" s="1"/>
  <c r="R63" i="2" s="1"/>
  <c r="S63" i="2" s="1"/>
  <c r="N63" i="2"/>
  <c r="P63" i="2" s="1"/>
  <c r="Q63" i="2"/>
  <c r="U63" i="2"/>
  <c r="V63" i="2"/>
  <c r="W63" i="2"/>
  <c r="M64" i="2"/>
  <c r="O64" i="2" s="1"/>
  <c r="N64" i="2"/>
  <c r="P64" i="2" s="1"/>
  <c r="R64" i="2" s="1"/>
  <c r="S64" i="2" s="1"/>
  <c r="Q64" i="2"/>
  <c r="U64" i="2"/>
  <c r="V64" i="2"/>
  <c r="W64" i="2"/>
  <c r="X64" i="2" s="1"/>
  <c r="M65" i="2"/>
  <c r="O65" i="2" s="1"/>
  <c r="R65" i="2" s="1"/>
  <c r="S65" i="2" s="1"/>
  <c r="N65" i="2"/>
  <c r="P65" i="2" s="1"/>
  <c r="Q65" i="2"/>
  <c r="U65" i="2"/>
  <c r="V65" i="2"/>
  <c r="W65" i="2"/>
  <c r="M66" i="2"/>
  <c r="O66" i="2" s="1"/>
  <c r="R66" i="2" s="1"/>
  <c r="S66" i="2" s="1"/>
  <c r="N66" i="2"/>
  <c r="P66" i="2" s="1"/>
  <c r="Q66" i="2"/>
  <c r="U66" i="2"/>
  <c r="V66" i="2"/>
  <c r="W66" i="2"/>
  <c r="M67" i="2"/>
  <c r="O67" i="2" s="1"/>
  <c r="N67" i="2"/>
  <c r="P67" i="2" s="1"/>
  <c r="Q67" i="2"/>
  <c r="U67" i="2"/>
  <c r="V67" i="2"/>
  <c r="W67" i="2"/>
  <c r="M68" i="2"/>
  <c r="O68" i="2" s="1"/>
  <c r="R68" i="2" s="1"/>
  <c r="S68" i="2" s="1"/>
  <c r="N68" i="2"/>
  <c r="P68" i="2" s="1"/>
  <c r="Q68" i="2"/>
  <c r="U68" i="2"/>
  <c r="V68" i="2"/>
  <c r="W68" i="2"/>
  <c r="M69" i="2"/>
  <c r="O69" i="2" s="1"/>
  <c r="N69" i="2"/>
  <c r="P69" i="2" s="1"/>
  <c r="Q69" i="2"/>
  <c r="U69" i="2"/>
  <c r="V69" i="2"/>
  <c r="W69" i="2"/>
  <c r="M70" i="2"/>
  <c r="N70" i="2"/>
  <c r="P70" i="2" s="1"/>
  <c r="O70" i="2"/>
  <c r="Q70" i="2"/>
  <c r="U70" i="2"/>
  <c r="V70" i="2"/>
  <c r="W70" i="2"/>
  <c r="M71" i="2"/>
  <c r="O71" i="2" s="1"/>
  <c r="N71" i="2"/>
  <c r="P71" i="2" s="1"/>
  <c r="Q71" i="2"/>
  <c r="U71" i="2"/>
  <c r="V71" i="2"/>
  <c r="W71" i="2"/>
  <c r="M72" i="2"/>
  <c r="O72" i="2" s="1"/>
  <c r="R72" i="2" s="1"/>
  <c r="S72" i="2" s="1"/>
  <c r="X72" i="2" s="1"/>
  <c r="N72" i="2"/>
  <c r="P72" i="2" s="1"/>
  <c r="Q72" i="2"/>
  <c r="U72" i="2"/>
  <c r="V72" i="2"/>
  <c r="W72" i="2"/>
  <c r="M73" i="2"/>
  <c r="N73" i="2"/>
  <c r="P73" i="2" s="1"/>
  <c r="O73" i="2"/>
  <c r="Q73" i="2"/>
  <c r="U73" i="2"/>
  <c r="V73" i="2"/>
  <c r="W73" i="2"/>
  <c r="M74" i="2"/>
  <c r="O74" i="2" s="1"/>
  <c r="N74" i="2"/>
  <c r="P74" i="2"/>
  <c r="Q74" i="2"/>
  <c r="U74" i="2"/>
  <c r="V74" i="2"/>
  <c r="W74" i="2"/>
  <c r="M75" i="2"/>
  <c r="O75" i="2" s="1"/>
  <c r="N75" i="2"/>
  <c r="P75" i="2" s="1"/>
  <c r="Q75" i="2"/>
  <c r="U75" i="2"/>
  <c r="V75" i="2"/>
  <c r="W75" i="2"/>
  <c r="M76" i="2"/>
  <c r="O76" i="2" s="1"/>
  <c r="N76" i="2"/>
  <c r="P76" i="2" s="1"/>
  <c r="Q76" i="2"/>
  <c r="U76" i="2"/>
  <c r="V76" i="2"/>
  <c r="W76" i="2"/>
  <c r="M77" i="2"/>
  <c r="N77" i="2"/>
  <c r="P77" i="2" s="1"/>
  <c r="O77" i="2"/>
  <c r="Q77" i="2"/>
  <c r="U77" i="2"/>
  <c r="V77" i="2"/>
  <c r="W77" i="2"/>
  <c r="M78" i="2"/>
  <c r="O78" i="2" s="1"/>
  <c r="N78" i="2"/>
  <c r="P78" i="2"/>
  <c r="Q78" i="2"/>
  <c r="U78" i="2"/>
  <c r="V78" i="2"/>
  <c r="W78" i="2"/>
  <c r="M79" i="2"/>
  <c r="O79" i="2" s="1"/>
  <c r="N79" i="2"/>
  <c r="P79" i="2" s="1"/>
  <c r="Q79" i="2"/>
  <c r="U79" i="2"/>
  <c r="V79" i="2"/>
  <c r="W79" i="2"/>
  <c r="M80" i="2"/>
  <c r="O80" i="2" s="1"/>
  <c r="R80" i="2" s="1"/>
  <c r="S80" i="2" s="1"/>
  <c r="X80" i="2" s="1"/>
  <c r="N80" i="2"/>
  <c r="P80" i="2" s="1"/>
  <c r="Q80" i="2"/>
  <c r="U80" i="2"/>
  <c r="V80" i="2"/>
  <c r="W80" i="2"/>
  <c r="M81" i="2"/>
  <c r="N81" i="2"/>
  <c r="P81" i="2" s="1"/>
  <c r="O81" i="2"/>
  <c r="Q81" i="2"/>
  <c r="U81" i="2"/>
  <c r="V81" i="2"/>
  <c r="W81" i="2"/>
  <c r="M82" i="2"/>
  <c r="O82" i="2" s="1"/>
  <c r="N82" i="2"/>
  <c r="P82" i="2"/>
  <c r="Q82" i="2"/>
  <c r="U82" i="2"/>
  <c r="V82" i="2"/>
  <c r="W82" i="2"/>
  <c r="M83" i="2"/>
  <c r="O83" i="2" s="1"/>
  <c r="N83" i="2"/>
  <c r="P83" i="2" s="1"/>
  <c r="Q83" i="2"/>
  <c r="R83" i="2"/>
  <c r="S83" i="2" s="1"/>
  <c r="U83" i="2"/>
  <c r="V83" i="2"/>
  <c r="W83" i="2"/>
  <c r="M84" i="2"/>
  <c r="O84" i="2" s="1"/>
  <c r="R84" i="2" s="1"/>
  <c r="S84" i="2" s="1"/>
  <c r="X84" i="2" s="1"/>
  <c r="N84" i="2"/>
  <c r="P84" i="2" s="1"/>
  <c r="Q84" i="2"/>
  <c r="U84" i="2"/>
  <c r="V84" i="2"/>
  <c r="W84" i="2"/>
  <c r="M85" i="2"/>
  <c r="N85" i="2"/>
  <c r="O85" i="2"/>
  <c r="P85" i="2"/>
  <c r="Q85" i="2"/>
  <c r="U85" i="2"/>
  <c r="V85" i="2"/>
  <c r="W85" i="2"/>
  <c r="M86" i="2"/>
  <c r="O86" i="2" s="1"/>
  <c r="N86" i="2"/>
  <c r="P86" i="2"/>
  <c r="Q86" i="2"/>
  <c r="U86" i="2"/>
  <c r="V86" i="2"/>
  <c r="W86" i="2"/>
  <c r="M87" i="2"/>
  <c r="O87" i="2" s="1"/>
  <c r="R87" i="2" s="1"/>
  <c r="S87" i="2" s="1"/>
  <c r="N87" i="2"/>
  <c r="P87" i="2" s="1"/>
  <c r="Q87" i="2"/>
  <c r="U87" i="2"/>
  <c r="V87" i="2"/>
  <c r="W87" i="2"/>
  <c r="M88" i="2"/>
  <c r="N88" i="2"/>
  <c r="P88" i="2" s="1"/>
  <c r="O88" i="2"/>
  <c r="Q88" i="2"/>
  <c r="U88" i="2"/>
  <c r="V88" i="2"/>
  <c r="W88" i="2"/>
  <c r="M89" i="2"/>
  <c r="N89" i="2"/>
  <c r="O89" i="2"/>
  <c r="P89" i="2"/>
  <c r="Q89" i="2"/>
  <c r="U89" i="2"/>
  <c r="V89" i="2"/>
  <c r="W89" i="2"/>
  <c r="M90" i="2"/>
  <c r="O90" i="2" s="1"/>
  <c r="N90" i="2"/>
  <c r="P90" i="2"/>
  <c r="Q90" i="2"/>
  <c r="U90" i="2"/>
  <c r="V90" i="2"/>
  <c r="W90" i="2"/>
  <c r="M91" i="2"/>
  <c r="O91" i="2" s="1"/>
  <c r="R91" i="2" s="1"/>
  <c r="S91" i="2" s="1"/>
  <c r="N91" i="2"/>
  <c r="P91" i="2" s="1"/>
  <c r="Q91" i="2"/>
  <c r="U91" i="2"/>
  <c r="V91" i="2"/>
  <c r="W91" i="2"/>
  <c r="M92" i="2"/>
  <c r="N92" i="2"/>
  <c r="P92" i="2" s="1"/>
  <c r="O92" i="2"/>
  <c r="R92" i="2" s="1"/>
  <c r="S92" i="2" s="1"/>
  <c r="X92" i="2" s="1"/>
  <c r="Q92" i="2"/>
  <c r="U92" i="2"/>
  <c r="V92" i="2"/>
  <c r="W92" i="2"/>
  <c r="M93" i="2"/>
  <c r="N93" i="2"/>
  <c r="O93" i="2"/>
  <c r="P93" i="2"/>
  <c r="Q93" i="2"/>
  <c r="U93" i="2"/>
  <c r="V93" i="2"/>
  <c r="W93" i="2"/>
  <c r="M94" i="2"/>
  <c r="O94" i="2" s="1"/>
  <c r="N94" i="2"/>
  <c r="P94" i="2"/>
  <c r="Q94" i="2"/>
  <c r="U94" i="2"/>
  <c r="V94" i="2"/>
  <c r="W94" i="2"/>
  <c r="M95" i="2"/>
  <c r="O95" i="2" s="1"/>
  <c r="R95" i="2" s="1"/>
  <c r="S95" i="2" s="1"/>
  <c r="N95" i="2"/>
  <c r="P95" i="2" s="1"/>
  <c r="Q95" i="2"/>
  <c r="U95" i="2"/>
  <c r="V95" i="2"/>
  <c r="W95" i="2"/>
  <c r="M96" i="2"/>
  <c r="N96" i="2"/>
  <c r="P96" i="2" s="1"/>
  <c r="O96" i="2"/>
  <c r="R96" i="2" s="1"/>
  <c r="S96" i="2" s="1"/>
  <c r="X96" i="2" s="1"/>
  <c r="Q96" i="2"/>
  <c r="U96" i="2"/>
  <c r="V96" i="2"/>
  <c r="W96" i="2"/>
  <c r="M97" i="2"/>
  <c r="N97" i="2"/>
  <c r="O97" i="2"/>
  <c r="P97" i="2"/>
  <c r="Q97" i="2"/>
  <c r="U97" i="2"/>
  <c r="V97" i="2"/>
  <c r="W97" i="2"/>
  <c r="M98" i="2"/>
  <c r="O98" i="2" s="1"/>
  <c r="N98" i="2"/>
  <c r="P98" i="2"/>
  <c r="Q98" i="2"/>
  <c r="U98" i="2"/>
  <c r="V98" i="2"/>
  <c r="W98" i="2"/>
  <c r="M99" i="2"/>
  <c r="O99" i="2" s="1"/>
  <c r="R99" i="2" s="1"/>
  <c r="S99" i="2" s="1"/>
  <c r="N99" i="2"/>
  <c r="P99" i="2" s="1"/>
  <c r="Q99" i="2"/>
  <c r="U99" i="2"/>
  <c r="V99" i="2"/>
  <c r="W99" i="2"/>
  <c r="M100" i="2"/>
  <c r="O100" i="2" s="1"/>
  <c r="R100" i="2" s="1"/>
  <c r="S100" i="2" s="1"/>
  <c r="N100" i="2"/>
  <c r="P100" i="2" s="1"/>
  <c r="Q100" i="2"/>
  <c r="U100" i="2"/>
  <c r="X100" i="2" s="1"/>
  <c r="V100" i="2"/>
  <c r="W100" i="2"/>
  <c r="M101" i="2"/>
  <c r="O101" i="2" s="1"/>
  <c r="N101" i="2"/>
  <c r="P101" i="2"/>
  <c r="Q101" i="2"/>
  <c r="U101" i="2"/>
  <c r="V101" i="2"/>
  <c r="W101" i="2"/>
  <c r="M102" i="2"/>
  <c r="O102" i="2" s="1"/>
  <c r="N102" i="2"/>
  <c r="P102" i="2"/>
  <c r="Q102" i="2"/>
  <c r="U102" i="2"/>
  <c r="V102" i="2"/>
  <c r="W102" i="2"/>
  <c r="M103" i="2"/>
  <c r="O103" i="2" s="1"/>
  <c r="N103" i="2"/>
  <c r="P103" i="2" s="1"/>
  <c r="Q103" i="2"/>
  <c r="U103" i="2"/>
  <c r="V103" i="2"/>
  <c r="W103" i="2"/>
  <c r="M104" i="2"/>
  <c r="N104" i="2"/>
  <c r="P104" i="2" s="1"/>
  <c r="O104" i="2"/>
  <c r="Q104" i="2"/>
  <c r="U104" i="2"/>
  <c r="V104" i="2"/>
  <c r="W104" i="2"/>
  <c r="M105" i="2"/>
  <c r="O105" i="2" s="1"/>
  <c r="N105" i="2"/>
  <c r="P105" i="2"/>
  <c r="Q105" i="2"/>
  <c r="U105" i="2"/>
  <c r="V105" i="2"/>
  <c r="W105" i="2"/>
  <c r="M106" i="2"/>
  <c r="O106" i="2" s="1"/>
  <c r="R106" i="2" s="1"/>
  <c r="S106" i="2" s="1"/>
  <c r="N106" i="2"/>
  <c r="P106" i="2"/>
  <c r="Q106" i="2"/>
  <c r="U106" i="2"/>
  <c r="V106" i="2"/>
  <c r="W106" i="2"/>
  <c r="M107" i="2"/>
  <c r="O107" i="2" s="1"/>
  <c r="N107" i="2"/>
  <c r="P107" i="2" s="1"/>
  <c r="Q107" i="2"/>
  <c r="U107" i="2"/>
  <c r="V107" i="2"/>
  <c r="W107" i="2"/>
  <c r="M108" i="2"/>
  <c r="N108" i="2"/>
  <c r="P108" i="2" s="1"/>
  <c r="O108" i="2"/>
  <c r="R108" i="2" s="1"/>
  <c r="S108" i="2" s="1"/>
  <c r="X108" i="2" s="1"/>
  <c r="Q108" i="2"/>
  <c r="U108" i="2"/>
  <c r="V108" i="2"/>
  <c r="W108" i="2"/>
  <c r="M109" i="2"/>
  <c r="O109" i="2" s="1"/>
  <c r="N109" i="2"/>
  <c r="P109" i="2"/>
  <c r="Q109" i="2"/>
  <c r="U109" i="2"/>
  <c r="V109" i="2"/>
  <c r="W109" i="2"/>
  <c r="M110" i="2"/>
  <c r="O110" i="2" s="1"/>
  <c r="N110" i="2"/>
  <c r="P110" i="2" s="1"/>
  <c r="Q110" i="2"/>
  <c r="U110" i="2"/>
  <c r="V110" i="2"/>
  <c r="W110" i="2"/>
  <c r="M111" i="2"/>
  <c r="O111" i="2" s="1"/>
  <c r="N111" i="2"/>
  <c r="P111" i="2" s="1"/>
  <c r="Q111" i="2"/>
  <c r="U111" i="2"/>
  <c r="V111" i="2"/>
  <c r="W111" i="2"/>
  <c r="M112" i="2"/>
  <c r="N112" i="2"/>
  <c r="O112" i="2"/>
  <c r="P112" i="2"/>
  <c r="Q112" i="2"/>
  <c r="U112" i="2"/>
  <c r="V112" i="2"/>
  <c r="W112" i="2"/>
  <c r="M113" i="2"/>
  <c r="O113" i="2" s="1"/>
  <c r="N113" i="2"/>
  <c r="P113" i="2"/>
  <c r="Q113" i="2"/>
  <c r="U113" i="2"/>
  <c r="V113" i="2"/>
  <c r="W113" i="2"/>
  <c r="M114" i="2"/>
  <c r="O114" i="2" s="1"/>
  <c r="R114" i="2" s="1"/>
  <c r="S114" i="2" s="1"/>
  <c r="N114" i="2"/>
  <c r="P114" i="2" s="1"/>
  <c r="Q114" i="2"/>
  <c r="U114" i="2"/>
  <c r="V114" i="2"/>
  <c r="W114" i="2"/>
  <c r="M115" i="2"/>
  <c r="N115" i="2"/>
  <c r="P115" i="2" s="1"/>
  <c r="O115" i="2"/>
  <c r="R115" i="2" s="1"/>
  <c r="S115" i="2" s="1"/>
  <c r="X115" i="2" s="1"/>
  <c r="Q115" i="2"/>
  <c r="U115" i="2"/>
  <c r="V115" i="2"/>
  <c r="W115" i="2"/>
  <c r="M116" i="2"/>
  <c r="N116" i="2"/>
  <c r="O116" i="2"/>
  <c r="P116" i="2"/>
  <c r="Q116" i="2"/>
  <c r="U116" i="2"/>
  <c r="V116" i="2"/>
  <c r="W116" i="2"/>
  <c r="M117" i="2"/>
  <c r="O117" i="2" s="1"/>
  <c r="N117" i="2"/>
  <c r="P117" i="2"/>
  <c r="Q117" i="2"/>
  <c r="U117" i="2"/>
  <c r="V117" i="2"/>
  <c r="W117" i="2"/>
  <c r="M118" i="2"/>
  <c r="O118" i="2" s="1"/>
  <c r="R118" i="2" s="1"/>
  <c r="S118" i="2" s="1"/>
  <c r="N118" i="2"/>
  <c r="P118" i="2" s="1"/>
  <c r="Q118" i="2"/>
  <c r="U118" i="2"/>
  <c r="V118" i="2"/>
  <c r="W118" i="2"/>
  <c r="M119" i="2"/>
  <c r="O119" i="2" s="1"/>
  <c r="N119" i="2"/>
  <c r="P119" i="2" s="1"/>
  <c r="Q119" i="2"/>
  <c r="U119" i="2"/>
  <c r="V119" i="2"/>
  <c r="W119" i="2"/>
  <c r="M120" i="2"/>
  <c r="O120" i="2" s="1"/>
  <c r="N120" i="2"/>
  <c r="P120" i="2"/>
  <c r="Q120" i="2"/>
  <c r="U120" i="2"/>
  <c r="V120" i="2"/>
  <c r="W120" i="2"/>
  <c r="M121" i="2"/>
  <c r="O121" i="2" s="1"/>
  <c r="N121" i="2"/>
  <c r="P121" i="2" s="1"/>
  <c r="Q121" i="2"/>
  <c r="U121" i="2"/>
  <c r="V121" i="2"/>
  <c r="W121" i="2"/>
  <c r="M122" i="2"/>
  <c r="O122" i="2" s="1"/>
  <c r="N122" i="2"/>
  <c r="P122" i="2" s="1"/>
  <c r="Q122" i="2"/>
  <c r="U122" i="2"/>
  <c r="V122" i="2"/>
  <c r="W122" i="2"/>
  <c r="M123" i="2"/>
  <c r="N123" i="2"/>
  <c r="P123" i="2" s="1"/>
  <c r="O123" i="2"/>
  <c r="Q123" i="2"/>
  <c r="U123" i="2"/>
  <c r="V123" i="2"/>
  <c r="W123" i="2"/>
  <c r="M124" i="2"/>
  <c r="O124" i="2" s="1"/>
  <c r="N124" i="2"/>
  <c r="P124" i="2"/>
  <c r="Q124" i="2"/>
  <c r="U124" i="2"/>
  <c r="V124" i="2"/>
  <c r="W124" i="2"/>
  <c r="M125" i="2"/>
  <c r="O125" i="2" s="1"/>
  <c r="R125" i="2" s="1"/>
  <c r="S125" i="2" s="1"/>
  <c r="N125" i="2"/>
  <c r="P125" i="2" s="1"/>
  <c r="Q125" i="2"/>
  <c r="U125" i="2"/>
  <c r="V125" i="2"/>
  <c r="W125" i="2"/>
  <c r="M126" i="2"/>
  <c r="O126" i="2" s="1"/>
  <c r="N126" i="2"/>
  <c r="P126" i="2" s="1"/>
  <c r="Q126" i="2"/>
  <c r="U126" i="2"/>
  <c r="V126" i="2"/>
  <c r="W126" i="2"/>
  <c r="M127" i="2"/>
  <c r="N127" i="2"/>
  <c r="P127" i="2" s="1"/>
  <c r="O127" i="2"/>
  <c r="R127" i="2" s="1"/>
  <c r="S127" i="2" s="1"/>
  <c r="X127" i="2" s="1"/>
  <c r="Q127" i="2"/>
  <c r="U127" i="2"/>
  <c r="V127" i="2"/>
  <c r="W127" i="2"/>
  <c r="M128" i="2"/>
  <c r="O128" i="2" s="1"/>
  <c r="N128" i="2"/>
  <c r="P128" i="2"/>
  <c r="Q128" i="2"/>
  <c r="U128" i="2"/>
  <c r="V128" i="2"/>
  <c r="W128" i="2"/>
  <c r="M129" i="2"/>
  <c r="O129" i="2" s="1"/>
  <c r="N129" i="2"/>
  <c r="P129" i="2" s="1"/>
  <c r="Q129" i="2"/>
  <c r="U129" i="2"/>
  <c r="V129" i="2"/>
  <c r="W129" i="2"/>
  <c r="M130" i="2"/>
  <c r="O130" i="2" s="1"/>
  <c r="N130" i="2"/>
  <c r="P130" i="2" s="1"/>
  <c r="Q130" i="2"/>
  <c r="U130" i="2"/>
  <c r="V130" i="2"/>
  <c r="W130" i="2"/>
  <c r="G131" i="2"/>
  <c r="H131" i="2"/>
  <c r="I131" i="2"/>
  <c r="J131" i="2"/>
  <c r="K131" i="2"/>
  <c r="L131" i="2"/>
  <c r="T131" i="2"/>
  <c r="F134" i="2"/>
  <c r="F135" i="2"/>
  <c r="I2" i="1"/>
  <c r="L2" i="1" s="1"/>
  <c r="M4" i="1"/>
  <c r="O4" i="1" s="1"/>
  <c r="R4" i="1" s="1"/>
  <c r="S4" i="1" s="1"/>
  <c r="X4" i="1" s="1"/>
  <c r="N4" i="1"/>
  <c r="P4" i="1" s="1"/>
  <c r="Q4" i="1"/>
  <c r="U4" i="1"/>
  <c r="V4" i="1"/>
  <c r="W4" i="1"/>
  <c r="M5" i="1"/>
  <c r="N5" i="1"/>
  <c r="P5" i="1" s="1"/>
  <c r="O5" i="1"/>
  <c r="R5" i="1" s="1"/>
  <c r="S5" i="1" s="1"/>
  <c r="Q5" i="1"/>
  <c r="U5" i="1"/>
  <c r="V5" i="1"/>
  <c r="W5" i="1"/>
  <c r="M6" i="1"/>
  <c r="O6" i="1" s="1"/>
  <c r="N6" i="1"/>
  <c r="P6" i="1"/>
  <c r="Q6" i="1"/>
  <c r="U6" i="1"/>
  <c r="V6" i="1"/>
  <c r="W6" i="1"/>
  <c r="M7" i="1"/>
  <c r="O7" i="1" s="1"/>
  <c r="N7" i="1"/>
  <c r="P7" i="1" s="1"/>
  <c r="Q7" i="1"/>
  <c r="R7" i="1"/>
  <c r="S7" i="1" s="1"/>
  <c r="U7" i="1"/>
  <c r="V7" i="1"/>
  <c r="W7" i="1"/>
  <c r="M8" i="1"/>
  <c r="O8" i="1" s="1"/>
  <c r="R8" i="1" s="1"/>
  <c r="S8" i="1" s="1"/>
  <c r="X8" i="1" s="1"/>
  <c r="N8" i="1"/>
  <c r="P8" i="1" s="1"/>
  <c r="Q8" i="1"/>
  <c r="U8" i="1"/>
  <c r="V8" i="1"/>
  <c r="W8" i="1"/>
  <c r="M9" i="1"/>
  <c r="N9" i="1"/>
  <c r="O9" i="1"/>
  <c r="P9" i="1"/>
  <c r="Q9" i="1"/>
  <c r="U9" i="1"/>
  <c r="V9" i="1"/>
  <c r="W9" i="1"/>
  <c r="M10" i="1"/>
  <c r="O10" i="1" s="1"/>
  <c r="N10" i="1"/>
  <c r="P10" i="1"/>
  <c r="Q10" i="1"/>
  <c r="U10" i="1"/>
  <c r="V10" i="1"/>
  <c r="W10" i="1"/>
  <c r="M11" i="1"/>
  <c r="O11" i="1" s="1"/>
  <c r="R11" i="1" s="1"/>
  <c r="S11" i="1" s="1"/>
  <c r="N11" i="1"/>
  <c r="P11" i="1" s="1"/>
  <c r="Q11" i="1"/>
  <c r="U11" i="1"/>
  <c r="V11" i="1"/>
  <c r="W11" i="1"/>
  <c r="M12" i="1"/>
  <c r="N12" i="1"/>
  <c r="P12" i="1" s="1"/>
  <c r="O12" i="1"/>
  <c r="Q12" i="1"/>
  <c r="U12" i="1"/>
  <c r="V12" i="1"/>
  <c r="W12" i="1"/>
  <c r="M13" i="1"/>
  <c r="N13" i="1"/>
  <c r="O13" i="1"/>
  <c r="P13" i="1"/>
  <c r="Q13" i="1"/>
  <c r="U13" i="1"/>
  <c r="V13" i="1"/>
  <c r="W13" i="1"/>
  <c r="M14" i="1"/>
  <c r="O14" i="1" s="1"/>
  <c r="N14" i="1"/>
  <c r="P14" i="1"/>
  <c r="Q14" i="1"/>
  <c r="U14" i="1"/>
  <c r="V14" i="1"/>
  <c r="W14" i="1"/>
  <c r="M15" i="1"/>
  <c r="O15" i="1" s="1"/>
  <c r="R15" i="1" s="1"/>
  <c r="S15" i="1" s="1"/>
  <c r="N15" i="1"/>
  <c r="P15" i="1" s="1"/>
  <c r="Q15" i="1"/>
  <c r="U15" i="1"/>
  <c r="V15" i="1"/>
  <c r="W15" i="1"/>
  <c r="M16" i="1"/>
  <c r="N16" i="1"/>
  <c r="P16" i="1" s="1"/>
  <c r="O16" i="1"/>
  <c r="R16" i="1" s="1"/>
  <c r="S16" i="1" s="1"/>
  <c r="X16" i="1" s="1"/>
  <c r="Q16" i="1"/>
  <c r="U16" i="1"/>
  <c r="V16" i="1"/>
  <c r="W16" i="1"/>
  <c r="M17" i="1"/>
  <c r="N17" i="1"/>
  <c r="O17" i="1"/>
  <c r="P17" i="1"/>
  <c r="Q17" i="1"/>
  <c r="U17" i="1"/>
  <c r="V17" i="1"/>
  <c r="W17" i="1"/>
  <c r="M18" i="1"/>
  <c r="O18" i="1" s="1"/>
  <c r="N18" i="1"/>
  <c r="P18" i="1"/>
  <c r="Q18" i="1"/>
  <c r="U18" i="1"/>
  <c r="V18" i="1"/>
  <c r="W18" i="1"/>
  <c r="M19" i="1"/>
  <c r="O19" i="1" s="1"/>
  <c r="R19" i="1" s="1"/>
  <c r="S19" i="1" s="1"/>
  <c r="N19" i="1"/>
  <c r="P19" i="1" s="1"/>
  <c r="Q19" i="1"/>
  <c r="U19" i="1"/>
  <c r="V19" i="1"/>
  <c r="W19" i="1"/>
  <c r="M20" i="1"/>
  <c r="N20" i="1"/>
  <c r="P20" i="1" s="1"/>
  <c r="O20" i="1"/>
  <c r="R20" i="1" s="1"/>
  <c r="S20" i="1" s="1"/>
  <c r="X20" i="1" s="1"/>
  <c r="Q20" i="1"/>
  <c r="U20" i="1"/>
  <c r="V20" i="1"/>
  <c r="W20" i="1"/>
  <c r="M21" i="1"/>
  <c r="N21" i="1"/>
  <c r="O21" i="1"/>
  <c r="P21" i="1"/>
  <c r="Q21" i="1"/>
  <c r="U21" i="1"/>
  <c r="V21" i="1"/>
  <c r="W21" i="1"/>
  <c r="M22" i="1"/>
  <c r="O22" i="1" s="1"/>
  <c r="N22" i="1"/>
  <c r="P22" i="1"/>
  <c r="Q22" i="1"/>
  <c r="U22" i="1"/>
  <c r="V22" i="1"/>
  <c r="W22" i="1"/>
  <c r="M23" i="1"/>
  <c r="O23" i="1" s="1"/>
  <c r="R23" i="1" s="1"/>
  <c r="S23" i="1" s="1"/>
  <c r="N23" i="1"/>
  <c r="P23" i="1" s="1"/>
  <c r="Q23" i="1"/>
  <c r="U23" i="1"/>
  <c r="V23" i="1"/>
  <c r="W23" i="1"/>
  <c r="M24" i="1"/>
  <c r="O24" i="1" s="1"/>
  <c r="R24" i="1" s="1"/>
  <c r="S24" i="1" s="1"/>
  <c r="N24" i="1"/>
  <c r="P24" i="1" s="1"/>
  <c r="Q24" i="1"/>
  <c r="U24" i="1"/>
  <c r="V24" i="1"/>
  <c r="W24" i="1"/>
  <c r="M25" i="1"/>
  <c r="O25" i="1" s="1"/>
  <c r="N25" i="1"/>
  <c r="P25" i="1"/>
  <c r="Q25" i="1"/>
  <c r="U25" i="1"/>
  <c r="V25" i="1"/>
  <c r="W25" i="1"/>
  <c r="M26" i="1"/>
  <c r="O26" i="1" s="1"/>
  <c r="N26" i="1"/>
  <c r="P26" i="1"/>
  <c r="Q26" i="1"/>
  <c r="U26" i="1"/>
  <c r="V26" i="1"/>
  <c r="W26" i="1"/>
  <c r="M27" i="1"/>
  <c r="O27" i="1" s="1"/>
  <c r="N27" i="1"/>
  <c r="P27" i="1" s="1"/>
  <c r="Q27" i="1"/>
  <c r="U27" i="1"/>
  <c r="V27" i="1"/>
  <c r="W27" i="1"/>
  <c r="M28" i="1"/>
  <c r="N28" i="1"/>
  <c r="P28" i="1" s="1"/>
  <c r="O28" i="1"/>
  <c r="Q28" i="1"/>
  <c r="U28" i="1"/>
  <c r="V28" i="1"/>
  <c r="W28" i="1"/>
  <c r="M29" i="1"/>
  <c r="N29" i="1"/>
  <c r="P29" i="1" s="1"/>
  <c r="O29" i="1"/>
  <c r="Q29" i="1"/>
  <c r="U29" i="1"/>
  <c r="V29" i="1"/>
  <c r="W29" i="1"/>
  <c r="M30" i="1"/>
  <c r="O30" i="1" s="1"/>
  <c r="N30" i="1"/>
  <c r="P30" i="1"/>
  <c r="Q30" i="1"/>
  <c r="U30" i="1"/>
  <c r="V30" i="1"/>
  <c r="W30" i="1"/>
  <c r="M31" i="1"/>
  <c r="O31" i="1" s="1"/>
  <c r="N31" i="1"/>
  <c r="P31" i="1" s="1"/>
  <c r="Q31" i="1"/>
  <c r="U31" i="1"/>
  <c r="V31" i="1"/>
  <c r="W31" i="1"/>
  <c r="M32" i="1"/>
  <c r="O32" i="1" s="1"/>
  <c r="N32" i="1"/>
  <c r="P32" i="1" s="1"/>
  <c r="Q32" i="1"/>
  <c r="U32" i="1"/>
  <c r="V32" i="1"/>
  <c r="W32" i="1"/>
  <c r="M33" i="1"/>
  <c r="N33" i="1"/>
  <c r="P33" i="1" s="1"/>
  <c r="O33" i="1"/>
  <c r="Q33" i="1"/>
  <c r="U33" i="1"/>
  <c r="V33" i="1"/>
  <c r="W33" i="1"/>
  <c r="M34" i="1"/>
  <c r="O34" i="1" s="1"/>
  <c r="N34" i="1"/>
  <c r="P34" i="1"/>
  <c r="Q34" i="1"/>
  <c r="U34" i="1"/>
  <c r="V34" i="1"/>
  <c r="W34" i="1"/>
  <c r="M35" i="1"/>
  <c r="N35" i="1"/>
  <c r="O35" i="1"/>
  <c r="P35" i="1"/>
  <c r="Q35" i="1"/>
  <c r="U35" i="1"/>
  <c r="V35" i="1"/>
  <c r="W35" i="1"/>
  <c r="M36" i="1"/>
  <c r="O36" i="1" s="1"/>
  <c r="N36" i="1"/>
  <c r="P36" i="1"/>
  <c r="Q36" i="1"/>
  <c r="U36" i="1"/>
  <c r="V36" i="1"/>
  <c r="W36" i="1"/>
  <c r="M37" i="1"/>
  <c r="O37" i="1" s="1"/>
  <c r="N37" i="1"/>
  <c r="P37" i="1" s="1"/>
  <c r="Q37" i="1"/>
  <c r="U37" i="1"/>
  <c r="V37" i="1"/>
  <c r="W37" i="1"/>
  <c r="W131" i="1" s="1"/>
  <c r="M38" i="1"/>
  <c r="N38" i="1"/>
  <c r="P38" i="1" s="1"/>
  <c r="O38" i="1"/>
  <c r="R38" i="1" s="1"/>
  <c r="S38" i="1" s="1"/>
  <c r="X38" i="1" s="1"/>
  <c r="Q38" i="1"/>
  <c r="U38" i="1"/>
  <c r="V38" i="1"/>
  <c r="W38" i="1"/>
  <c r="M39" i="1"/>
  <c r="N39" i="1"/>
  <c r="O39" i="1"/>
  <c r="P39" i="1"/>
  <c r="Q39" i="1"/>
  <c r="U39" i="1"/>
  <c r="V39" i="1"/>
  <c r="W39" i="1"/>
  <c r="M40" i="1"/>
  <c r="O40" i="1" s="1"/>
  <c r="N40" i="1"/>
  <c r="P40" i="1"/>
  <c r="Q40" i="1"/>
  <c r="U40" i="1"/>
  <c r="V40" i="1"/>
  <c r="W40" i="1"/>
  <c r="M41" i="1"/>
  <c r="O41" i="1" s="1"/>
  <c r="R41" i="1" s="1"/>
  <c r="S41" i="1" s="1"/>
  <c r="N41" i="1"/>
  <c r="P41" i="1" s="1"/>
  <c r="Q41" i="1"/>
  <c r="U41" i="1"/>
  <c r="V41" i="1"/>
  <c r="W41" i="1"/>
  <c r="M42" i="1"/>
  <c r="O42" i="1" s="1"/>
  <c r="R42" i="1" s="1"/>
  <c r="S42" i="1" s="1"/>
  <c r="N42" i="1"/>
  <c r="P42" i="1" s="1"/>
  <c r="Q42" i="1"/>
  <c r="U42" i="1"/>
  <c r="V42" i="1"/>
  <c r="W42" i="1"/>
  <c r="M43" i="1"/>
  <c r="O43" i="1" s="1"/>
  <c r="N43" i="1"/>
  <c r="P43" i="1"/>
  <c r="Q43" i="1"/>
  <c r="U43" i="1"/>
  <c r="V43" i="1"/>
  <c r="W43" i="1"/>
  <c r="M44" i="1"/>
  <c r="O44" i="1" s="1"/>
  <c r="N44" i="1"/>
  <c r="P44" i="1"/>
  <c r="Q44" i="1"/>
  <c r="U44" i="1"/>
  <c r="V44" i="1"/>
  <c r="W44" i="1"/>
  <c r="M45" i="1"/>
  <c r="O45" i="1" s="1"/>
  <c r="N45" i="1"/>
  <c r="P45" i="1" s="1"/>
  <c r="Q45" i="1"/>
  <c r="U45" i="1"/>
  <c r="V45" i="1"/>
  <c r="W45" i="1"/>
  <c r="M46" i="1"/>
  <c r="N46" i="1"/>
  <c r="P46" i="1" s="1"/>
  <c r="O46" i="1"/>
  <c r="Q46" i="1"/>
  <c r="U46" i="1"/>
  <c r="V46" i="1"/>
  <c r="W46" i="1"/>
  <c r="M47" i="1"/>
  <c r="O47" i="1" s="1"/>
  <c r="N47" i="1"/>
  <c r="P47" i="1"/>
  <c r="Q47" i="1"/>
  <c r="U47" i="1"/>
  <c r="V47" i="1"/>
  <c r="W47" i="1"/>
  <c r="M48" i="1"/>
  <c r="O48" i="1" s="1"/>
  <c r="R48" i="1" s="1"/>
  <c r="S48" i="1" s="1"/>
  <c r="N48" i="1"/>
  <c r="P48" i="1"/>
  <c r="Q48" i="1"/>
  <c r="U48" i="1"/>
  <c r="V48" i="1"/>
  <c r="W48" i="1"/>
  <c r="M49" i="1"/>
  <c r="O49" i="1" s="1"/>
  <c r="N49" i="1"/>
  <c r="P49" i="1" s="1"/>
  <c r="Q49" i="1"/>
  <c r="U49" i="1"/>
  <c r="V49" i="1"/>
  <c r="W49" i="1"/>
  <c r="M50" i="1"/>
  <c r="N50" i="1"/>
  <c r="P50" i="1" s="1"/>
  <c r="O50" i="1"/>
  <c r="R50" i="1" s="1"/>
  <c r="S50" i="1" s="1"/>
  <c r="X50" i="1" s="1"/>
  <c r="Q50" i="1"/>
  <c r="U50" i="1"/>
  <c r="V50" i="1"/>
  <c r="W50" i="1"/>
  <c r="M51" i="1"/>
  <c r="O51" i="1" s="1"/>
  <c r="R51" i="1" s="1"/>
  <c r="S51" i="1" s="1"/>
  <c r="N51" i="1"/>
  <c r="P51" i="1"/>
  <c r="Q51" i="1"/>
  <c r="U51" i="1"/>
  <c r="V51" i="1"/>
  <c r="W51" i="1"/>
  <c r="M52" i="1"/>
  <c r="O52" i="1" s="1"/>
  <c r="R52" i="1" s="1"/>
  <c r="S52" i="1" s="1"/>
  <c r="N52" i="1"/>
  <c r="P52" i="1"/>
  <c r="Q52" i="1"/>
  <c r="U52" i="1"/>
  <c r="V52" i="1"/>
  <c r="W52" i="1"/>
  <c r="M53" i="1"/>
  <c r="O53" i="1" s="1"/>
  <c r="N53" i="1"/>
  <c r="P53" i="1" s="1"/>
  <c r="R53" i="1" s="1"/>
  <c r="S53" i="1" s="1"/>
  <c r="Q53" i="1"/>
  <c r="U53" i="1"/>
  <c r="V53" i="1"/>
  <c r="W53" i="1"/>
  <c r="M54" i="1"/>
  <c r="N54" i="1"/>
  <c r="P54" i="1" s="1"/>
  <c r="O54" i="1"/>
  <c r="R54" i="1" s="1"/>
  <c r="S54" i="1" s="1"/>
  <c r="X54" i="1" s="1"/>
  <c r="Q54" i="1"/>
  <c r="U54" i="1"/>
  <c r="V54" i="1"/>
  <c r="W54" i="1"/>
  <c r="M55" i="1"/>
  <c r="O55" i="1" s="1"/>
  <c r="R55" i="1" s="1"/>
  <c r="S55" i="1" s="1"/>
  <c r="N55" i="1"/>
  <c r="P55" i="1"/>
  <c r="Q55" i="1"/>
  <c r="U55" i="1"/>
  <c r="V55" i="1"/>
  <c r="W55" i="1"/>
  <c r="M56" i="1"/>
  <c r="O56" i="1" s="1"/>
  <c r="N56" i="1"/>
  <c r="P56" i="1"/>
  <c r="Q56" i="1"/>
  <c r="U56" i="1"/>
  <c r="V56" i="1"/>
  <c r="W56" i="1"/>
  <c r="M57" i="1"/>
  <c r="O57" i="1" s="1"/>
  <c r="N57" i="1"/>
  <c r="P57" i="1" s="1"/>
  <c r="Q57" i="1"/>
  <c r="U57" i="1"/>
  <c r="V57" i="1"/>
  <c r="W57" i="1"/>
  <c r="M58" i="1"/>
  <c r="N58" i="1"/>
  <c r="P58" i="1" s="1"/>
  <c r="O58" i="1"/>
  <c r="R58" i="1" s="1"/>
  <c r="S58" i="1" s="1"/>
  <c r="X58" i="1" s="1"/>
  <c r="Q58" i="1"/>
  <c r="U58" i="1"/>
  <c r="V58" i="1"/>
  <c r="W58" i="1"/>
  <c r="M59" i="1"/>
  <c r="N59" i="1"/>
  <c r="P59" i="1" s="1"/>
  <c r="O59" i="1"/>
  <c r="Q59" i="1"/>
  <c r="U59" i="1"/>
  <c r="V59" i="1"/>
  <c r="W59" i="1"/>
  <c r="M60" i="1"/>
  <c r="O60" i="1" s="1"/>
  <c r="N60" i="1"/>
  <c r="P60" i="1"/>
  <c r="Q60" i="1"/>
  <c r="U60" i="1"/>
  <c r="V60" i="1"/>
  <c r="W60" i="1"/>
  <c r="M61" i="1"/>
  <c r="O61" i="1" s="1"/>
  <c r="N61" i="1"/>
  <c r="P61" i="1" s="1"/>
  <c r="Q61" i="1"/>
  <c r="U61" i="1"/>
  <c r="V61" i="1"/>
  <c r="W61" i="1"/>
  <c r="M62" i="1"/>
  <c r="O62" i="1" s="1"/>
  <c r="N62" i="1"/>
  <c r="P62" i="1" s="1"/>
  <c r="Q62" i="1"/>
  <c r="U62" i="1"/>
  <c r="V62" i="1"/>
  <c r="W62" i="1"/>
  <c r="M63" i="1"/>
  <c r="N63" i="1"/>
  <c r="P63" i="1" s="1"/>
  <c r="O63" i="1"/>
  <c r="Q63" i="1"/>
  <c r="U63" i="1"/>
  <c r="V63" i="1"/>
  <c r="W63" i="1"/>
  <c r="M64" i="1"/>
  <c r="O64" i="1" s="1"/>
  <c r="N64" i="1"/>
  <c r="P64" i="1"/>
  <c r="Q64" i="1"/>
  <c r="U64" i="1"/>
  <c r="V64" i="1"/>
  <c r="W64" i="1"/>
  <c r="M65" i="1"/>
  <c r="O65" i="1" s="1"/>
  <c r="N65" i="1"/>
  <c r="P65" i="1" s="1"/>
  <c r="Q65" i="1"/>
  <c r="U65" i="1"/>
  <c r="V65" i="1"/>
  <c r="W65" i="1"/>
  <c r="M66" i="1"/>
  <c r="O66" i="1" s="1"/>
  <c r="R66" i="1" s="1"/>
  <c r="S66" i="1" s="1"/>
  <c r="X66" i="1" s="1"/>
  <c r="N66" i="1"/>
  <c r="P66" i="1" s="1"/>
  <c r="Q66" i="1"/>
  <c r="U66" i="1"/>
  <c r="V66" i="1"/>
  <c r="W66" i="1"/>
  <c r="M67" i="1"/>
  <c r="N67" i="1"/>
  <c r="P67" i="1" s="1"/>
  <c r="O67" i="1"/>
  <c r="R67" i="1" s="1"/>
  <c r="S67" i="1" s="1"/>
  <c r="Q67" i="1"/>
  <c r="U67" i="1"/>
  <c r="V67" i="1"/>
  <c r="W67" i="1"/>
  <c r="M68" i="1"/>
  <c r="O68" i="1" s="1"/>
  <c r="N68" i="1"/>
  <c r="P68" i="1"/>
  <c r="Q68" i="1"/>
  <c r="U68" i="1"/>
  <c r="V68" i="1"/>
  <c r="W68" i="1"/>
  <c r="M69" i="1"/>
  <c r="O69" i="1" s="1"/>
  <c r="N69" i="1"/>
  <c r="P69" i="1" s="1"/>
  <c r="R69" i="1" s="1"/>
  <c r="S69" i="1" s="1"/>
  <c r="Q69" i="1"/>
  <c r="U69" i="1"/>
  <c r="V69" i="1"/>
  <c r="W69" i="1"/>
  <c r="M70" i="1"/>
  <c r="O70" i="1" s="1"/>
  <c r="R70" i="1" s="1"/>
  <c r="S70" i="1" s="1"/>
  <c r="X70" i="1" s="1"/>
  <c r="N70" i="1"/>
  <c r="P70" i="1" s="1"/>
  <c r="Q70" i="1"/>
  <c r="U70" i="1"/>
  <c r="V70" i="1"/>
  <c r="W70" i="1"/>
  <c r="M71" i="1"/>
  <c r="N71" i="1"/>
  <c r="P71" i="1" s="1"/>
  <c r="O71" i="1"/>
  <c r="R71" i="1" s="1"/>
  <c r="S71" i="1" s="1"/>
  <c r="Q71" i="1"/>
  <c r="U71" i="1"/>
  <c r="V71" i="1"/>
  <c r="W71" i="1"/>
  <c r="M72" i="1"/>
  <c r="O72" i="1" s="1"/>
  <c r="N72" i="1"/>
  <c r="P72" i="1"/>
  <c r="Q72" i="1"/>
  <c r="U72" i="1"/>
  <c r="V72" i="1"/>
  <c r="W72" i="1"/>
  <c r="M73" i="1"/>
  <c r="O73" i="1" s="1"/>
  <c r="N73" i="1"/>
  <c r="P73" i="1" s="1"/>
  <c r="Q73" i="1"/>
  <c r="R73" i="1"/>
  <c r="S73" i="1" s="1"/>
  <c r="U73" i="1"/>
  <c r="V73" i="1"/>
  <c r="W73" i="1"/>
  <c r="M74" i="1"/>
  <c r="O74" i="1" s="1"/>
  <c r="N74" i="1"/>
  <c r="P74" i="1" s="1"/>
  <c r="Q74" i="1"/>
  <c r="U74" i="1"/>
  <c r="V74" i="1"/>
  <c r="W74" i="1"/>
  <c r="M75" i="1"/>
  <c r="O75" i="1" s="1"/>
  <c r="N75" i="1"/>
  <c r="P75" i="1" s="1"/>
  <c r="Q75" i="1"/>
  <c r="U75" i="1"/>
  <c r="V75" i="1"/>
  <c r="W75" i="1"/>
  <c r="M76" i="1"/>
  <c r="O76" i="1" s="1"/>
  <c r="N76" i="1"/>
  <c r="P76" i="1" s="1"/>
  <c r="Q76" i="1"/>
  <c r="U76" i="1"/>
  <c r="V76" i="1"/>
  <c r="W76" i="1"/>
  <c r="M77" i="1"/>
  <c r="O77" i="1" s="1"/>
  <c r="N77" i="1"/>
  <c r="P77" i="1" s="1"/>
  <c r="Q77" i="1"/>
  <c r="U77" i="1"/>
  <c r="V77" i="1"/>
  <c r="W77" i="1"/>
  <c r="M78" i="1"/>
  <c r="O78" i="1" s="1"/>
  <c r="N78" i="1"/>
  <c r="P78" i="1" s="1"/>
  <c r="Q78" i="1"/>
  <c r="U78" i="1"/>
  <c r="V78" i="1"/>
  <c r="W78" i="1"/>
  <c r="M79" i="1"/>
  <c r="O79" i="1" s="1"/>
  <c r="N79" i="1"/>
  <c r="P79" i="1" s="1"/>
  <c r="Q79" i="1"/>
  <c r="U79" i="1"/>
  <c r="V79" i="1"/>
  <c r="W79" i="1"/>
  <c r="M80" i="1"/>
  <c r="O80" i="1" s="1"/>
  <c r="N80" i="1"/>
  <c r="P80" i="1" s="1"/>
  <c r="Q80" i="1"/>
  <c r="U80" i="1"/>
  <c r="V80" i="1"/>
  <c r="W80" i="1"/>
  <c r="M81" i="1"/>
  <c r="O81" i="1" s="1"/>
  <c r="N81" i="1"/>
  <c r="P81" i="1" s="1"/>
  <c r="Q81" i="1"/>
  <c r="U81" i="1"/>
  <c r="V81" i="1"/>
  <c r="W81" i="1"/>
  <c r="M82" i="1"/>
  <c r="O82" i="1" s="1"/>
  <c r="R82" i="1" s="1"/>
  <c r="S82" i="1" s="1"/>
  <c r="N82" i="1"/>
  <c r="P82" i="1" s="1"/>
  <c r="Q82" i="1"/>
  <c r="U82" i="1"/>
  <c r="V82" i="1"/>
  <c r="W82" i="1"/>
  <c r="M83" i="1"/>
  <c r="O83" i="1" s="1"/>
  <c r="N83" i="1"/>
  <c r="P83" i="1" s="1"/>
  <c r="Q83" i="1"/>
  <c r="U83" i="1"/>
  <c r="V83" i="1"/>
  <c r="W83" i="1"/>
  <c r="M84" i="1"/>
  <c r="O84" i="1" s="1"/>
  <c r="N84" i="1"/>
  <c r="P84" i="1" s="1"/>
  <c r="Q84" i="1"/>
  <c r="U84" i="1"/>
  <c r="V84" i="1"/>
  <c r="W84" i="1"/>
  <c r="M85" i="1"/>
  <c r="O85" i="1" s="1"/>
  <c r="N85" i="1"/>
  <c r="P85" i="1" s="1"/>
  <c r="R85" i="1" s="1"/>
  <c r="S85" i="1" s="1"/>
  <c r="Q85" i="1"/>
  <c r="U85" i="1"/>
  <c r="V85" i="1"/>
  <c r="W85" i="1"/>
  <c r="M86" i="1"/>
  <c r="O86" i="1" s="1"/>
  <c r="R86" i="1" s="1"/>
  <c r="S86" i="1" s="1"/>
  <c r="N86" i="1"/>
  <c r="P86" i="1" s="1"/>
  <c r="Q86" i="1"/>
  <c r="U86" i="1"/>
  <c r="V86" i="1"/>
  <c r="W86" i="1"/>
  <c r="M87" i="1"/>
  <c r="O87" i="1" s="1"/>
  <c r="N87" i="1"/>
  <c r="P87" i="1" s="1"/>
  <c r="Q87" i="1"/>
  <c r="U87" i="1"/>
  <c r="V87" i="1"/>
  <c r="W87" i="1"/>
  <c r="M88" i="1"/>
  <c r="O88" i="1" s="1"/>
  <c r="N88" i="1"/>
  <c r="P88" i="1" s="1"/>
  <c r="Q88" i="1"/>
  <c r="U88" i="1"/>
  <c r="V88" i="1"/>
  <c r="W88" i="1"/>
  <c r="M89" i="1"/>
  <c r="O89" i="1" s="1"/>
  <c r="R89" i="1" s="1"/>
  <c r="S89" i="1" s="1"/>
  <c r="N89" i="1"/>
  <c r="P89" i="1" s="1"/>
  <c r="Q89" i="1"/>
  <c r="U89" i="1"/>
  <c r="V89" i="1"/>
  <c r="W89" i="1"/>
  <c r="M90" i="1"/>
  <c r="N90" i="1"/>
  <c r="P90" i="1" s="1"/>
  <c r="O90" i="1"/>
  <c r="Q90" i="1"/>
  <c r="U90" i="1"/>
  <c r="V90" i="1"/>
  <c r="W90" i="1"/>
  <c r="M91" i="1"/>
  <c r="O91" i="1" s="1"/>
  <c r="N91" i="1"/>
  <c r="P91" i="1"/>
  <c r="Q91" i="1"/>
  <c r="U91" i="1"/>
  <c r="V91" i="1"/>
  <c r="W91" i="1"/>
  <c r="M92" i="1"/>
  <c r="O92" i="1" s="1"/>
  <c r="N92" i="1"/>
  <c r="P92" i="1"/>
  <c r="Q92" i="1"/>
  <c r="U92" i="1"/>
  <c r="V92" i="1"/>
  <c r="W92" i="1"/>
  <c r="M93" i="1"/>
  <c r="O93" i="1" s="1"/>
  <c r="N93" i="1"/>
  <c r="P93" i="1" s="1"/>
  <c r="Q93" i="1"/>
  <c r="U93" i="1"/>
  <c r="V93" i="1"/>
  <c r="W93" i="1"/>
  <c r="M94" i="1"/>
  <c r="N94" i="1"/>
  <c r="P94" i="1" s="1"/>
  <c r="O94" i="1"/>
  <c r="Q94" i="1"/>
  <c r="U94" i="1"/>
  <c r="V94" i="1"/>
  <c r="W94" i="1"/>
  <c r="M95" i="1"/>
  <c r="O95" i="1" s="1"/>
  <c r="N95" i="1"/>
  <c r="P95" i="1"/>
  <c r="Q95" i="1"/>
  <c r="U95" i="1"/>
  <c r="V95" i="1"/>
  <c r="W95" i="1"/>
  <c r="M96" i="1"/>
  <c r="O96" i="1" s="1"/>
  <c r="R96" i="1" s="1"/>
  <c r="S96" i="1" s="1"/>
  <c r="N96" i="1"/>
  <c r="P96" i="1"/>
  <c r="Q96" i="1"/>
  <c r="U96" i="1"/>
  <c r="V96" i="1"/>
  <c r="W96" i="1"/>
  <c r="M97" i="1"/>
  <c r="O97" i="1" s="1"/>
  <c r="N97" i="1"/>
  <c r="P97" i="1" s="1"/>
  <c r="Q97" i="1"/>
  <c r="U97" i="1"/>
  <c r="V97" i="1"/>
  <c r="W97" i="1"/>
  <c r="M98" i="1"/>
  <c r="N98" i="1"/>
  <c r="P98" i="1" s="1"/>
  <c r="O98" i="1"/>
  <c r="R98" i="1" s="1"/>
  <c r="S98" i="1" s="1"/>
  <c r="X98" i="1" s="1"/>
  <c r="Q98" i="1"/>
  <c r="U98" i="1"/>
  <c r="V98" i="1"/>
  <c r="W98" i="1"/>
  <c r="M99" i="1"/>
  <c r="O99" i="1" s="1"/>
  <c r="R99" i="1" s="1"/>
  <c r="S99" i="1" s="1"/>
  <c r="N99" i="1"/>
  <c r="P99" i="1"/>
  <c r="Q99" i="1"/>
  <c r="U99" i="1"/>
  <c r="V99" i="1"/>
  <c r="W99" i="1"/>
  <c r="M100" i="1"/>
  <c r="O100" i="1" s="1"/>
  <c r="R100" i="1" s="1"/>
  <c r="S100" i="1" s="1"/>
  <c r="N100" i="1"/>
  <c r="P100" i="1"/>
  <c r="Q100" i="1"/>
  <c r="U100" i="1"/>
  <c r="V100" i="1"/>
  <c r="W100" i="1"/>
  <c r="M101" i="1"/>
  <c r="O101" i="1" s="1"/>
  <c r="N101" i="1"/>
  <c r="P101" i="1" s="1"/>
  <c r="R101" i="1" s="1"/>
  <c r="S101" i="1" s="1"/>
  <c r="Q101" i="1"/>
  <c r="U101" i="1"/>
  <c r="V101" i="1"/>
  <c r="W101" i="1"/>
  <c r="M102" i="1"/>
  <c r="N102" i="1"/>
  <c r="P102" i="1" s="1"/>
  <c r="O102" i="1"/>
  <c r="R102" i="1" s="1"/>
  <c r="S102" i="1" s="1"/>
  <c r="X102" i="1" s="1"/>
  <c r="Q102" i="1"/>
  <c r="U102" i="1"/>
  <c r="V102" i="1"/>
  <c r="W102" i="1"/>
  <c r="M103" i="1"/>
  <c r="O103" i="1" s="1"/>
  <c r="R103" i="1" s="1"/>
  <c r="S103" i="1" s="1"/>
  <c r="N103" i="1"/>
  <c r="P103" i="1"/>
  <c r="Q103" i="1"/>
  <c r="U103" i="1"/>
  <c r="V103" i="1"/>
  <c r="W103" i="1"/>
  <c r="M104" i="1"/>
  <c r="O104" i="1" s="1"/>
  <c r="N104" i="1"/>
  <c r="P104" i="1"/>
  <c r="Q104" i="1"/>
  <c r="U104" i="1"/>
  <c r="V104" i="1"/>
  <c r="W104" i="1"/>
  <c r="M105" i="1"/>
  <c r="O105" i="1" s="1"/>
  <c r="N105" i="1"/>
  <c r="P105" i="1" s="1"/>
  <c r="Q105" i="1"/>
  <c r="U105" i="1"/>
  <c r="V105" i="1"/>
  <c r="W105" i="1"/>
  <c r="M106" i="1"/>
  <c r="N106" i="1"/>
  <c r="P106" i="1" s="1"/>
  <c r="O106" i="1"/>
  <c r="Q106" i="1"/>
  <c r="U106" i="1"/>
  <c r="V106" i="1"/>
  <c r="W106" i="1"/>
  <c r="M107" i="1"/>
  <c r="N107" i="1"/>
  <c r="O107" i="1"/>
  <c r="P107" i="1"/>
  <c r="Q107" i="1"/>
  <c r="U107" i="1"/>
  <c r="V107" i="1"/>
  <c r="W107" i="1"/>
  <c r="M108" i="1"/>
  <c r="O108" i="1" s="1"/>
  <c r="N108" i="1"/>
  <c r="P108" i="1"/>
  <c r="Q108" i="1"/>
  <c r="U108" i="1"/>
  <c r="V108" i="1"/>
  <c r="W108" i="1"/>
  <c r="M109" i="1"/>
  <c r="O109" i="1" s="1"/>
  <c r="R109" i="1" s="1"/>
  <c r="S109" i="1" s="1"/>
  <c r="N109" i="1"/>
  <c r="P109" i="1" s="1"/>
  <c r="Q109" i="1"/>
  <c r="U109" i="1"/>
  <c r="V109" i="1"/>
  <c r="W109" i="1"/>
  <c r="M110" i="1"/>
  <c r="N110" i="1"/>
  <c r="P110" i="1" s="1"/>
  <c r="O110" i="1"/>
  <c r="Q110" i="1"/>
  <c r="U110" i="1"/>
  <c r="V110" i="1"/>
  <c r="W110" i="1"/>
  <c r="M111" i="1"/>
  <c r="N111" i="1"/>
  <c r="O111" i="1"/>
  <c r="P111" i="1"/>
  <c r="Q111" i="1"/>
  <c r="U111" i="1"/>
  <c r="V111" i="1"/>
  <c r="W111" i="1"/>
  <c r="M112" i="1"/>
  <c r="O112" i="1" s="1"/>
  <c r="N112" i="1"/>
  <c r="P112" i="1"/>
  <c r="Q112" i="1"/>
  <c r="U112" i="1"/>
  <c r="V112" i="1"/>
  <c r="W112" i="1"/>
  <c r="M113" i="1"/>
  <c r="O113" i="1" s="1"/>
  <c r="R113" i="1" s="1"/>
  <c r="S113" i="1" s="1"/>
  <c r="N113" i="1"/>
  <c r="P113" i="1" s="1"/>
  <c r="Q113" i="1"/>
  <c r="U113" i="1"/>
  <c r="V113" i="1"/>
  <c r="W113" i="1"/>
  <c r="M114" i="1"/>
  <c r="N114" i="1"/>
  <c r="P114" i="1" s="1"/>
  <c r="O114" i="1"/>
  <c r="R114" i="1" s="1"/>
  <c r="S114" i="1" s="1"/>
  <c r="X114" i="1" s="1"/>
  <c r="Q114" i="1"/>
  <c r="U114" i="1"/>
  <c r="V114" i="1"/>
  <c r="W114" i="1"/>
  <c r="M115" i="1"/>
  <c r="N115" i="1"/>
  <c r="O115" i="1"/>
  <c r="P115" i="1"/>
  <c r="Q115" i="1"/>
  <c r="U115" i="1"/>
  <c r="V115" i="1"/>
  <c r="W115" i="1"/>
  <c r="M116" i="1"/>
  <c r="O116" i="1" s="1"/>
  <c r="N116" i="1"/>
  <c r="P116" i="1"/>
  <c r="Q116" i="1"/>
  <c r="U116" i="1"/>
  <c r="V116" i="1"/>
  <c r="W116" i="1"/>
  <c r="M117" i="1"/>
  <c r="O117" i="1" s="1"/>
  <c r="R117" i="1" s="1"/>
  <c r="S117" i="1" s="1"/>
  <c r="N117" i="1"/>
  <c r="P117" i="1" s="1"/>
  <c r="Q117" i="1"/>
  <c r="U117" i="1"/>
  <c r="V117" i="1"/>
  <c r="W117" i="1"/>
  <c r="M118" i="1"/>
  <c r="N118" i="1"/>
  <c r="P118" i="1" s="1"/>
  <c r="O118" i="1"/>
  <c r="R118" i="1" s="1"/>
  <c r="S118" i="1" s="1"/>
  <c r="X118" i="1" s="1"/>
  <c r="Q118" i="1"/>
  <c r="U118" i="1"/>
  <c r="V118" i="1"/>
  <c r="W118" i="1"/>
  <c r="M119" i="1"/>
  <c r="N119" i="1"/>
  <c r="O119" i="1"/>
  <c r="P119" i="1"/>
  <c r="Q119" i="1"/>
  <c r="U119" i="1"/>
  <c r="V119" i="1"/>
  <c r="W119" i="1"/>
  <c r="M120" i="1"/>
  <c r="O120" i="1" s="1"/>
  <c r="N120" i="1"/>
  <c r="P120" i="1"/>
  <c r="Q120" i="1"/>
  <c r="U120" i="1"/>
  <c r="V120" i="1"/>
  <c r="W120" i="1"/>
  <c r="M121" i="1"/>
  <c r="O121" i="1" s="1"/>
  <c r="R121" i="1" s="1"/>
  <c r="S121" i="1" s="1"/>
  <c r="N121" i="1"/>
  <c r="P121" i="1" s="1"/>
  <c r="Q121" i="1"/>
  <c r="U121" i="1"/>
  <c r="V121" i="1"/>
  <c r="W121" i="1"/>
  <c r="M122" i="1"/>
  <c r="O122" i="1" s="1"/>
  <c r="N122" i="1"/>
  <c r="P122" i="1" s="1"/>
  <c r="Q122" i="1"/>
  <c r="U122" i="1"/>
  <c r="V122" i="1"/>
  <c r="W122" i="1"/>
  <c r="M123" i="1"/>
  <c r="O123" i="1" s="1"/>
  <c r="R123" i="1" s="1"/>
  <c r="S123" i="1" s="1"/>
  <c r="N123" i="1"/>
  <c r="P123" i="1" s="1"/>
  <c r="Q123" i="1"/>
  <c r="U123" i="1"/>
  <c r="X123" i="1" s="1"/>
  <c r="V123" i="1"/>
  <c r="W123" i="1"/>
  <c r="M124" i="1"/>
  <c r="O124" i="1" s="1"/>
  <c r="N124" i="1"/>
  <c r="P124" i="1" s="1"/>
  <c r="Q124" i="1"/>
  <c r="U124" i="1"/>
  <c r="V124" i="1"/>
  <c r="W124" i="1"/>
  <c r="M125" i="1"/>
  <c r="O125" i="1" s="1"/>
  <c r="N125" i="1"/>
  <c r="P125" i="1" s="1"/>
  <c r="Q125" i="1"/>
  <c r="U125" i="1"/>
  <c r="V125" i="1"/>
  <c r="W125" i="1"/>
  <c r="M126" i="1"/>
  <c r="O126" i="1" s="1"/>
  <c r="R126" i="1" s="1"/>
  <c r="S126" i="1" s="1"/>
  <c r="N126" i="1"/>
  <c r="P126" i="1" s="1"/>
  <c r="Q126" i="1"/>
  <c r="U126" i="1"/>
  <c r="V126" i="1"/>
  <c r="W126" i="1"/>
  <c r="M127" i="1"/>
  <c r="O127" i="1" s="1"/>
  <c r="N127" i="1"/>
  <c r="P127" i="1" s="1"/>
  <c r="Q127" i="1"/>
  <c r="U127" i="1"/>
  <c r="V127" i="1"/>
  <c r="W127" i="1"/>
  <c r="M128" i="1"/>
  <c r="O128" i="1" s="1"/>
  <c r="N128" i="1"/>
  <c r="P128" i="1" s="1"/>
  <c r="Q128" i="1"/>
  <c r="U128" i="1"/>
  <c r="V128" i="1"/>
  <c r="W128" i="1"/>
  <c r="M129" i="1"/>
  <c r="O129" i="1" s="1"/>
  <c r="N129" i="1"/>
  <c r="P129" i="1" s="1"/>
  <c r="Q129" i="1"/>
  <c r="U129" i="1"/>
  <c r="V129" i="1"/>
  <c r="W129" i="1"/>
  <c r="M130" i="1"/>
  <c r="N130" i="1"/>
  <c r="P130" i="1" s="1"/>
  <c r="O130" i="1"/>
  <c r="R130" i="1" s="1"/>
  <c r="S130" i="1" s="1"/>
  <c r="Q130" i="1"/>
  <c r="U130" i="1"/>
  <c r="V130" i="1"/>
  <c r="W130" i="1"/>
  <c r="X130" i="1" s="1"/>
  <c r="G131" i="1"/>
  <c r="H131" i="1"/>
  <c r="I131" i="1"/>
  <c r="J131" i="1"/>
  <c r="K131" i="1"/>
  <c r="L131" i="1"/>
  <c r="L132" i="1" s="1"/>
  <c r="T131" i="1"/>
  <c r="L133" i="1"/>
  <c r="X126" i="1" l="1"/>
  <c r="R124" i="1"/>
  <c r="S124" i="1" s="1"/>
  <c r="R122" i="1"/>
  <c r="S122" i="1" s="1"/>
  <c r="X86" i="1"/>
  <c r="X82" i="1"/>
  <c r="R57" i="1"/>
  <c r="S57" i="1" s="1"/>
  <c r="X24" i="1"/>
  <c r="R77" i="2"/>
  <c r="S77" i="2" s="1"/>
  <c r="R76" i="2"/>
  <c r="S76" i="2" s="1"/>
  <c r="X76" i="2" s="1"/>
  <c r="R7" i="2"/>
  <c r="S7" i="2" s="1"/>
  <c r="X83" i="1"/>
  <c r="R129" i="2"/>
  <c r="S129" i="2" s="1"/>
  <c r="X65" i="2"/>
  <c r="X49" i="2"/>
  <c r="R18" i="2"/>
  <c r="S18" i="2" s="1"/>
  <c r="R129" i="1"/>
  <c r="S129" i="1" s="1"/>
  <c r="X129" i="1" s="1"/>
  <c r="R105" i="1"/>
  <c r="S105" i="1" s="1"/>
  <c r="R87" i="1"/>
  <c r="S87" i="1" s="1"/>
  <c r="R83" i="1"/>
  <c r="S83" i="1" s="1"/>
  <c r="X42" i="1"/>
  <c r="R32" i="1"/>
  <c r="S32" i="1" s="1"/>
  <c r="X32" i="1" s="1"/>
  <c r="R119" i="2"/>
  <c r="S119" i="2" s="1"/>
  <c r="X119" i="2" s="1"/>
  <c r="R81" i="2"/>
  <c r="S81" i="2" s="1"/>
  <c r="X81" i="2" s="1"/>
  <c r="X45" i="2"/>
  <c r="X67" i="1"/>
  <c r="R49" i="1"/>
  <c r="S49" i="1" s="1"/>
  <c r="X49" i="1" s="1"/>
  <c r="R35" i="1"/>
  <c r="S35" i="1" s="1"/>
  <c r="R27" i="1"/>
  <c r="S27" i="1" s="1"/>
  <c r="R21" i="1"/>
  <c r="S21" i="1" s="1"/>
  <c r="X21" i="1" s="1"/>
  <c r="R130" i="2"/>
  <c r="S130" i="2" s="1"/>
  <c r="X130" i="2" s="1"/>
  <c r="R122" i="2"/>
  <c r="S122" i="2" s="1"/>
  <c r="R116" i="2"/>
  <c r="S116" i="2" s="1"/>
  <c r="X116" i="2" s="1"/>
  <c r="R111" i="2"/>
  <c r="S111" i="2" s="1"/>
  <c r="X111" i="2" s="1"/>
  <c r="R103" i="2"/>
  <c r="S103" i="2" s="1"/>
  <c r="R97" i="2"/>
  <c r="S97" i="2" s="1"/>
  <c r="X97" i="2" s="1"/>
  <c r="R93" i="2"/>
  <c r="S93" i="2" s="1"/>
  <c r="X77" i="2"/>
  <c r="R60" i="2"/>
  <c r="S60" i="2" s="1"/>
  <c r="R58" i="2"/>
  <c r="S58" i="2" s="1"/>
  <c r="X58" i="2" s="1"/>
  <c r="R48" i="2"/>
  <c r="S48" i="2" s="1"/>
  <c r="X48" i="2" s="1"/>
  <c r="R47" i="2"/>
  <c r="S47" i="2" s="1"/>
  <c r="R43" i="2"/>
  <c r="S43" i="2" s="1"/>
  <c r="R24" i="2"/>
  <c r="S24" i="2" s="1"/>
  <c r="R97" i="1"/>
  <c r="S97" i="1" s="1"/>
  <c r="R80" i="1"/>
  <c r="S80" i="1" s="1"/>
  <c r="R125" i="1"/>
  <c r="S125" i="1" s="1"/>
  <c r="X125" i="1" s="1"/>
  <c r="X122" i="1"/>
  <c r="R81" i="1"/>
  <c r="S81" i="1" s="1"/>
  <c r="R77" i="1"/>
  <c r="S77" i="1" s="1"/>
  <c r="X77" i="1" s="1"/>
  <c r="R68" i="1"/>
  <c r="S68" i="1" s="1"/>
  <c r="R64" i="1"/>
  <c r="S64" i="1" s="1"/>
  <c r="X35" i="1"/>
  <c r="R30" i="1"/>
  <c r="S30" i="1" s="1"/>
  <c r="R28" i="1"/>
  <c r="S28" i="1" s="1"/>
  <c r="X28" i="1" s="1"/>
  <c r="R6" i="1"/>
  <c r="S6" i="1" s="1"/>
  <c r="X6" i="1" s="1"/>
  <c r="X117" i="2"/>
  <c r="R104" i="2"/>
  <c r="S104" i="2" s="1"/>
  <c r="X104" i="2" s="1"/>
  <c r="X93" i="2"/>
  <c r="R82" i="2"/>
  <c r="S82" i="2" s="1"/>
  <c r="X82" i="2" s="1"/>
  <c r="X79" i="2"/>
  <c r="R79" i="2"/>
  <c r="S79" i="2" s="1"/>
  <c r="R78" i="2"/>
  <c r="S78" i="2" s="1"/>
  <c r="R74" i="2"/>
  <c r="S74" i="2" s="1"/>
  <c r="R71" i="2"/>
  <c r="S71" i="2" s="1"/>
  <c r="X71" i="2" s="1"/>
  <c r="R55" i="2"/>
  <c r="S55" i="2" s="1"/>
  <c r="X14" i="2"/>
  <c r="X7" i="2"/>
  <c r="R115" i="1"/>
  <c r="S115" i="1" s="1"/>
  <c r="X115" i="1" s="1"/>
  <c r="R93" i="1"/>
  <c r="S93" i="1" s="1"/>
  <c r="R84" i="1"/>
  <c r="S84" i="1" s="1"/>
  <c r="X84" i="1" s="1"/>
  <c r="X68" i="1"/>
  <c r="R45" i="1"/>
  <c r="S45" i="1" s="1"/>
  <c r="R39" i="1"/>
  <c r="S39" i="1" s="1"/>
  <c r="R116" i="1"/>
  <c r="S116" i="1" s="1"/>
  <c r="R112" i="1"/>
  <c r="S112" i="1" s="1"/>
  <c r="X100" i="1"/>
  <c r="X99" i="1"/>
  <c r="R65" i="1"/>
  <c r="S65" i="1" s="1"/>
  <c r="R61" i="1"/>
  <c r="S61" i="1" s="1"/>
  <c r="X61" i="1" s="1"/>
  <c r="X52" i="1"/>
  <c r="X51" i="1"/>
  <c r="R37" i="1"/>
  <c r="S37" i="1" s="1"/>
  <c r="R36" i="1"/>
  <c r="S36" i="1" s="1"/>
  <c r="X36" i="1" s="1"/>
  <c r="R22" i="1"/>
  <c r="S22" i="1" s="1"/>
  <c r="X22" i="1" s="1"/>
  <c r="R18" i="1"/>
  <c r="S18" i="1" s="1"/>
  <c r="R14" i="1"/>
  <c r="S14" i="1" s="1"/>
  <c r="X129" i="2"/>
  <c r="R117" i="2"/>
  <c r="S117" i="2" s="1"/>
  <c r="R113" i="2"/>
  <c r="S113" i="2" s="1"/>
  <c r="R98" i="2"/>
  <c r="S98" i="2" s="1"/>
  <c r="X98" i="2" s="1"/>
  <c r="R94" i="2"/>
  <c r="S94" i="2" s="1"/>
  <c r="X94" i="2" s="1"/>
  <c r="R90" i="2"/>
  <c r="S90" i="2" s="1"/>
  <c r="X66" i="2"/>
  <c r="R56" i="2"/>
  <c r="S56" i="2" s="1"/>
  <c r="X56" i="2" s="1"/>
  <c r="R50" i="2"/>
  <c r="S50" i="2" s="1"/>
  <c r="R46" i="2"/>
  <c r="S46" i="2" s="1"/>
  <c r="X30" i="2"/>
  <c r="R21" i="2"/>
  <c r="S21" i="2" s="1"/>
  <c r="X21" i="2" s="1"/>
  <c r="R16" i="2"/>
  <c r="S16" i="2" s="1"/>
  <c r="X16" i="2" s="1"/>
  <c r="R15" i="2"/>
  <c r="S15" i="2" s="1"/>
  <c r="X15" i="2" s="1"/>
  <c r="R11" i="2"/>
  <c r="S11" i="2" s="1"/>
  <c r="X11" i="2" s="1"/>
  <c r="X53" i="1"/>
  <c r="V131" i="2"/>
  <c r="X32" i="2"/>
  <c r="W131" i="2"/>
  <c r="X121" i="1"/>
  <c r="R107" i="1"/>
  <c r="S107" i="1" s="1"/>
  <c r="X107" i="1" s="1"/>
  <c r="X105" i="1"/>
  <c r="X103" i="1"/>
  <c r="R91" i="1"/>
  <c r="S91" i="1" s="1"/>
  <c r="X89" i="1"/>
  <c r="X87" i="1"/>
  <c r="R75" i="1"/>
  <c r="S75" i="1" s="1"/>
  <c r="X75" i="1" s="1"/>
  <c r="X73" i="1"/>
  <c r="X71" i="1"/>
  <c r="R59" i="1"/>
  <c r="S59" i="1" s="1"/>
  <c r="X57" i="1"/>
  <c r="X55" i="1"/>
  <c r="R43" i="1"/>
  <c r="S43" i="1" s="1"/>
  <c r="X43" i="1" s="1"/>
  <c r="X41" i="1"/>
  <c r="X39" i="1"/>
  <c r="R126" i="2"/>
  <c r="S126" i="2" s="1"/>
  <c r="X69" i="1"/>
  <c r="X46" i="2"/>
  <c r="U131" i="2"/>
  <c r="V131" i="1"/>
  <c r="R128" i="1"/>
  <c r="S128" i="1" s="1"/>
  <c r="X128" i="1" s="1"/>
  <c r="R127" i="1"/>
  <c r="S127" i="1" s="1"/>
  <c r="X127" i="1" s="1"/>
  <c r="R120" i="1"/>
  <c r="S120" i="1" s="1"/>
  <c r="X120" i="1" s="1"/>
  <c r="R119" i="1"/>
  <c r="S119" i="1" s="1"/>
  <c r="X119" i="1" s="1"/>
  <c r="R111" i="1"/>
  <c r="S111" i="1" s="1"/>
  <c r="X111" i="1" s="1"/>
  <c r="X109" i="1"/>
  <c r="R106" i="1"/>
  <c r="S106" i="1" s="1"/>
  <c r="X106" i="1" s="1"/>
  <c r="R104" i="1"/>
  <c r="S104" i="1" s="1"/>
  <c r="X104" i="1" s="1"/>
  <c r="R95" i="1"/>
  <c r="S95" i="1" s="1"/>
  <c r="X95" i="1" s="1"/>
  <c r="X93" i="1"/>
  <c r="X91" i="1"/>
  <c r="R90" i="1"/>
  <c r="S90" i="1" s="1"/>
  <c r="X90" i="1" s="1"/>
  <c r="R88" i="1"/>
  <c r="S88" i="1" s="1"/>
  <c r="X88" i="1" s="1"/>
  <c r="R79" i="1"/>
  <c r="S79" i="1" s="1"/>
  <c r="R74" i="1"/>
  <c r="S74" i="1" s="1"/>
  <c r="X74" i="1" s="1"/>
  <c r="R72" i="1"/>
  <c r="S72" i="1" s="1"/>
  <c r="X72" i="1" s="1"/>
  <c r="R63" i="1"/>
  <c r="S63" i="1" s="1"/>
  <c r="X59" i="1"/>
  <c r="R56" i="1"/>
  <c r="S56" i="1" s="1"/>
  <c r="X56" i="1" s="1"/>
  <c r="R47" i="1"/>
  <c r="S47" i="1" s="1"/>
  <c r="X45" i="1"/>
  <c r="R40" i="1"/>
  <c r="S40" i="1" s="1"/>
  <c r="X40" i="1" s="1"/>
  <c r="R34" i="1"/>
  <c r="S34" i="1" s="1"/>
  <c r="X34" i="1" s="1"/>
  <c r="U131" i="1"/>
  <c r="X101" i="1"/>
  <c r="X85" i="1"/>
  <c r="X37" i="1"/>
  <c r="X124" i="1"/>
  <c r="X117" i="1"/>
  <c r="X116" i="1"/>
  <c r="X113" i="1"/>
  <c r="X112" i="1"/>
  <c r="R110" i="1"/>
  <c r="S110" i="1" s="1"/>
  <c r="X110" i="1" s="1"/>
  <c r="R108" i="1"/>
  <c r="S108" i="1" s="1"/>
  <c r="X108" i="1" s="1"/>
  <c r="X97" i="1"/>
  <c r="X96" i="1"/>
  <c r="R94" i="1"/>
  <c r="S94" i="1" s="1"/>
  <c r="X94" i="1" s="1"/>
  <c r="R92" i="1"/>
  <c r="S92" i="1" s="1"/>
  <c r="X92" i="1" s="1"/>
  <c r="X81" i="1"/>
  <c r="X80" i="1"/>
  <c r="X79" i="1"/>
  <c r="R78" i="1"/>
  <c r="S78" i="1" s="1"/>
  <c r="X78" i="1" s="1"/>
  <c r="R76" i="1"/>
  <c r="S76" i="1" s="1"/>
  <c r="X76" i="1" s="1"/>
  <c r="X65" i="1"/>
  <c r="X64" i="1"/>
  <c r="X63" i="1"/>
  <c r="R62" i="1"/>
  <c r="S62" i="1" s="1"/>
  <c r="X62" i="1" s="1"/>
  <c r="R60" i="1"/>
  <c r="S60" i="1" s="1"/>
  <c r="X60" i="1" s="1"/>
  <c r="X48" i="1"/>
  <c r="X47" i="1"/>
  <c r="R46" i="1"/>
  <c r="S46" i="1" s="1"/>
  <c r="X46" i="1" s="1"/>
  <c r="R44" i="1"/>
  <c r="S44" i="1" s="1"/>
  <c r="X44" i="1" s="1"/>
  <c r="R31" i="1"/>
  <c r="S31" i="1" s="1"/>
  <c r="X31" i="1" s="1"/>
  <c r="X19" i="1"/>
  <c r="X114" i="2"/>
  <c r="R29" i="1"/>
  <c r="S29" i="1" s="1"/>
  <c r="X29" i="1" s="1"/>
  <c r="R25" i="1"/>
  <c r="S25" i="1" s="1"/>
  <c r="X25" i="1" s="1"/>
  <c r="X23" i="1"/>
  <c r="R9" i="1"/>
  <c r="S9" i="1" s="1"/>
  <c r="X9" i="1" s="1"/>
  <c r="X7" i="1"/>
  <c r="X5" i="1"/>
  <c r="R120" i="2"/>
  <c r="S120" i="2" s="1"/>
  <c r="X118" i="2"/>
  <c r="X27" i="1"/>
  <c r="X14" i="1"/>
  <c r="R13" i="1"/>
  <c r="S13" i="1" s="1"/>
  <c r="X11" i="1"/>
  <c r="R124" i="2"/>
  <c r="S124" i="2" s="1"/>
  <c r="X124" i="2" s="1"/>
  <c r="X122" i="2"/>
  <c r="X120" i="2"/>
  <c r="R33" i="1"/>
  <c r="S33" i="1" s="1"/>
  <c r="X33" i="1" s="1"/>
  <c r="X30" i="1"/>
  <c r="R26" i="1"/>
  <c r="S26" i="1" s="1"/>
  <c r="X26" i="1" s="1"/>
  <c r="X18" i="1"/>
  <c r="R17" i="1"/>
  <c r="S17" i="1" s="1"/>
  <c r="X17" i="1" s="1"/>
  <c r="X15" i="1"/>
  <c r="X13" i="1"/>
  <c r="R12" i="1"/>
  <c r="S12" i="1" s="1"/>
  <c r="X12" i="1" s="1"/>
  <c r="R10" i="1"/>
  <c r="S10" i="1" s="1"/>
  <c r="X10" i="1" s="1"/>
  <c r="R128" i="2"/>
  <c r="S128" i="2" s="1"/>
  <c r="X128" i="2" s="1"/>
  <c r="X126" i="2"/>
  <c r="X125" i="2"/>
  <c r="R123" i="2"/>
  <c r="S123" i="2" s="1"/>
  <c r="X123" i="2" s="1"/>
  <c r="R121" i="2"/>
  <c r="S121" i="2" s="1"/>
  <c r="X121" i="2" s="1"/>
  <c r="X113" i="2"/>
  <c r="R112" i="2"/>
  <c r="S112" i="2" s="1"/>
  <c r="X112" i="2" s="1"/>
  <c r="R107" i="2"/>
  <c r="S107" i="2" s="1"/>
  <c r="X107" i="2" s="1"/>
  <c r="X95" i="2"/>
  <c r="R75" i="2"/>
  <c r="S75" i="2" s="1"/>
  <c r="X75" i="2" s="1"/>
  <c r="R105" i="2"/>
  <c r="S105" i="2" s="1"/>
  <c r="X105" i="2" s="1"/>
  <c r="X102" i="2"/>
  <c r="R101" i="2"/>
  <c r="S101" i="2" s="1"/>
  <c r="X99" i="2"/>
  <c r="X86" i="2"/>
  <c r="R85" i="2"/>
  <c r="S85" i="2" s="1"/>
  <c r="X83" i="2"/>
  <c r="R28" i="2"/>
  <c r="S28" i="2" s="1"/>
  <c r="X28" i="2" s="1"/>
  <c r="X103" i="2"/>
  <c r="X101" i="2"/>
  <c r="X90" i="2"/>
  <c r="R89" i="2"/>
  <c r="S89" i="2" s="1"/>
  <c r="X89" i="2" s="1"/>
  <c r="X87" i="2"/>
  <c r="X85" i="2"/>
  <c r="X74" i="2"/>
  <c r="R73" i="2"/>
  <c r="S73" i="2" s="1"/>
  <c r="X73" i="2" s="1"/>
  <c r="R44" i="2"/>
  <c r="S44" i="2" s="1"/>
  <c r="R110" i="2"/>
  <c r="S110" i="2" s="1"/>
  <c r="X110" i="2" s="1"/>
  <c r="R109" i="2"/>
  <c r="S109" i="2" s="1"/>
  <c r="X109" i="2" s="1"/>
  <c r="X106" i="2"/>
  <c r="R102" i="2"/>
  <c r="S102" i="2" s="1"/>
  <c r="X91" i="2"/>
  <c r="R88" i="2"/>
  <c r="S88" i="2" s="1"/>
  <c r="X88" i="2" s="1"/>
  <c r="R86" i="2"/>
  <c r="S86" i="2" s="1"/>
  <c r="X78" i="2"/>
  <c r="X67" i="2"/>
  <c r="X50" i="2"/>
  <c r="R38" i="2"/>
  <c r="S38" i="2" s="1"/>
  <c r="X36" i="2"/>
  <c r="X34" i="2"/>
  <c r="R22" i="2"/>
  <c r="S22" i="2" s="1"/>
  <c r="X20" i="2"/>
  <c r="X18" i="2"/>
  <c r="R5" i="2"/>
  <c r="S5" i="2" s="1"/>
  <c r="R70" i="2"/>
  <c r="S70" i="2" s="1"/>
  <c r="X70" i="2" s="1"/>
  <c r="X68" i="2"/>
  <c r="R67" i="2"/>
  <c r="S67" i="2" s="1"/>
  <c r="R62" i="2"/>
  <c r="S62" i="2" s="1"/>
  <c r="X62" i="2" s="1"/>
  <c r="X60" i="2"/>
  <c r="R59" i="2"/>
  <c r="S59" i="2" s="1"/>
  <c r="X59" i="2" s="1"/>
  <c r="R54" i="2"/>
  <c r="S54" i="2" s="1"/>
  <c r="X52" i="2"/>
  <c r="R51" i="2"/>
  <c r="S51" i="2" s="1"/>
  <c r="X51" i="2" s="1"/>
  <c r="X43" i="2"/>
  <c r="R42" i="2"/>
  <c r="S42" i="2" s="1"/>
  <c r="X40" i="2"/>
  <c r="X38" i="2"/>
  <c r="R35" i="2"/>
  <c r="S35" i="2" s="1"/>
  <c r="X35" i="2" s="1"/>
  <c r="R26" i="2"/>
  <c r="S26" i="2" s="1"/>
  <c r="X24" i="2"/>
  <c r="X22" i="2"/>
  <c r="R19" i="2"/>
  <c r="S19" i="2" s="1"/>
  <c r="X19" i="2" s="1"/>
  <c r="R10" i="2"/>
  <c r="S10" i="2" s="1"/>
  <c r="X8" i="2"/>
  <c r="X4" i="2"/>
  <c r="R69" i="2"/>
  <c r="S69" i="2" s="1"/>
  <c r="X69" i="2" s="1"/>
  <c r="X63" i="2"/>
  <c r="R61" i="2"/>
  <c r="S61" i="2" s="1"/>
  <c r="X61" i="2" s="1"/>
  <c r="X55" i="2"/>
  <c r="X54" i="2"/>
  <c r="R53" i="2"/>
  <c r="S53" i="2" s="1"/>
  <c r="X53" i="2" s="1"/>
  <c r="X47" i="2"/>
  <c r="X44" i="2"/>
  <c r="X42" i="2"/>
  <c r="R41" i="2"/>
  <c r="S41" i="2" s="1"/>
  <c r="X41" i="2" s="1"/>
  <c r="R39" i="2"/>
  <c r="S39" i="2" s="1"/>
  <c r="X39" i="2" s="1"/>
  <c r="X31" i="2"/>
  <c r="X27" i="2"/>
  <c r="X26" i="2"/>
  <c r="R25" i="2"/>
  <c r="S25" i="2" s="1"/>
  <c r="X25" i="2" s="1"/>
  <c r="R23" i="2"/>
  <c r="S23" i="2" s="1"/>
  <c r="X23" i="2" s="1"/>
  <c r="X12" i="2"/>
  <c r="X10" i="2"/>
  <c r="R9" i="2"/>
  <c r="S9" i="2" s="1"/>
  <c r="X9" i="2" s="1"/>
  <c r="S131" i="2" l="1"/>
  <c r="S131" i="1"/>
  <c r="X5" i="2"/>
  <c r="X131" i="1"/>
  <c r="X132" i="1" s="1"/>
  <c r="X131" i="2"/>
</calcChain>
</file>

<file path=xl/sharedStrings.xml><?xml version="1.0" encoding="utf-8"?>
<sst xmlns="http://schemas.openxmlformats.org/spreadsheetml/2006/main" count="1070" uniqueCount="297">
  <si>
    <t>Total</t>
  </si>
  <si>
    <t>Unit 6 - 4BHK Pent House</t>
  </si>
  <si>
    <t>47-48</t>
  </si>
  <si>
    <t>TT-47B</t>
  </si>
  <si>
    <t>B</t>
  </si>
  <si>
    <t>TR 01</t>
  </si>
  <si>
    <t>Unit 5 - 5BHK Pent House</t>
  </si>
  <si>
    <t>43-44</t>
  </si>
  <si>
    <t>TT-43A</t>
  </si>
  <si>
    <t>A</t>
  </si>
  <si>
    <t>Unit 4 - 2BHK</t>
  </si>
  <si>
    <t>TT-39C</t>
  </si>
  <si>
    <t>C</t>
  </si>
  <si>
    <t>TT-31C</t>
  </si>
  <si>
    <t>TT-23C</t>
  </si>
  <si>
    <t>TT-15C</t>
  </si>
  <si>
    <t>Unit 3A &amp; B - 3BHK Lounge</t>
  </si>
  <si>
    <t>TT-40C</t>
  </si>
  <si>
    <t>TT-38C</t>
  </si>
  <si>
    <t>TT-37C</t>
  </si>
  <si>
    <t>TT-36C</t>
  </si>
  <si>
    <t>TT-35C</t>
  </si>
  <si>
    <t>TT-34C</t>
  </si>
  <si>
    <t>TT-33C</t>
  </si>
  <si>
    <t>TT-32C</t>
  </si>
  <si>
    <t>TT-30C</t>
  </si>
  <si>
    <t>TT-29C</t>
  </si>
  <si>
    <t>TT-28C</t>
  </si>
  <si>
    <t>TT-27C</t>
  </si>
  <si>
    <t>TT-26C</t>
  </si>
  <si>
    <t>TT-25C</t>
  </si>
  <si>
    <t>TT-24C</t>
  </si>
  <si>
    <t>TT-22C</t>
  </si>
  <si>
    <t>TT-21C</t>
  </si>
  <si>
    <t>TT-20C</t>
  </si>
  <si>
    <t>TT-19C</t>
  </si>
  <si>
    <t>TT-18C</t>
  </si>
  <si>
    <t>TT-17C</t>
  </si>
  <si>
    <t>TT-16C</t>
  </si>
  <si>
    <t>TT-14C</t>
  </si>
  <si>
    <t>TT-12C</t>
  </si>
  <si>
    <t>TT-11C</t>
  </si>
  <si>
    <t>TT-10C</t>
  </si>
  <si>
    <t>TT-9C</t>
  </si>
  <si>
    <t>TT-8C</t>
  </si>
  <si>
    <t>TT-7C</t>
  </si>
  <si>
    <t>TT-6C</t>
  </si>
  <si>
    <t>TT-5C</t>
  </si>
  <si>
    <t>TT-4C</t>
  </si>
  <si>
    <t>TT-3C</t>
  </si>
  <si>
    <t>TT-2C</t>
  </si>
  <si>
    <t>TT-1C</t>
  </si>
  <si>
    <t>Unit 1D - 4BHK Lounge</t>
  </si>
  <si>
    <t>TT-42A</t>
  </si>
  <si>
    <t>Unit 1C - 4BHK Lounge</t>
  </si>
  <si>
    <t>TT-41A</t>
  </si>
  <si>
    <t>TT-40A</t>
  </si>
  <si>
    <t>TT-39A</t>
  </si>
  <si>
    <t>TT-38A</t>
  </si>
  <si>
    <t>TT-37A</t>
  </si>
  <si>
    <t>TT-36A</t>
  </si>
  <si>
    <t>TT-35A</t>
  </si>
  <si>
    <t>Unit 1B - 4BHK Lounge</t>
  </si>
  <si>
    <t>TT-34A</t>
  </si>
  <si>
    <t>TT-33A</t>
  </si>
  <si>
    <t>TT-32A</t>
  </si>
  <si>
    <t>TT-31A</t>
  </si>
  <si>
    <t>TT-30A</t>
  </si>
  <si>
    <t>TT-29A</t>
  </si>
  <si>
    <t>TT-28A</t>
  </si>
  <si>
    <t>TT-27A</t>
  </si>
  <si>
    <t>TT-26A</t>
  </si>
  <si>
    <t>TT-25A</t>
  </si>
  <si>
    <t>TT-24A</t>
  </si>
  <si>
    <t>TT-23A</t>
  </si>
  <si>
    <t>TT-22A</t>
  </si>
  <si>
    <t>TT-21A</t>
  </si>
  <si>
    <t>TT-20A</t>
  </si>
  <si>
    <t>TT-19A</t>
  </si>
  <si>
    <t>TT-18A</t>
  </si>
  <si>
    <t>TT-17A</t>
  </si>
  <si>
    <t>TT-16A</t>
  </si>
  <si>
    <t>TT-15A</t>
  </si>
  <si>
    <t>TT-14A</t>
  </si>
  <si>
    <t>TT-12A</t>
  </si>
  <si>
    <t>TT-11A</t>
  </si>
  <si>
    <t>TT-10A</t>
  </si>
  <si>
    <t>TT-9A</t>
  </si>
  <si>
    <t>TT-8A</t>
  </si>
  <si>
    <t>TT-7A</t>
  </si>
  <si>
    <t>TT-6A</t>
  </si>
  <si>
    <t>TT-5A</t>
  </si>
  <si>
    <t>TT-4A</t>
  </si>
  <si>
    <t>TT-3A</t>
  </si>
  <si>
    <t>TT-2A</t>
  </si>
  <si>
    <t>Unit 1A - 4BHK Lounge</t>
  </si>
  <si>
    <t>TT-1A</t>
  </si>
  <si>
    <t xml:space="preserve">Unit 2 - 4BHK </t>
  </si>
  <si>
    <t>TT-46B</t>
  </si>
  <si>
    <t>TT-45B</t>
  </si>
  <si>
    <t>TT-44B</t>
  </si>
  <si>
    <t>TT-43B</t>
  </si>
  <si>
    <t>TT-42B</t>
  </si>
  <si>
    <t>TT-41B</t>
  </si>
  <si>
    <t>TT-40B</t>
  </si>
  <si>
    <t>TT-39B</t>
  </si>
  <si>
    <t>TT-38B</t>
  </si>
  <si>
    <t>TT-37B</t>
  </si>
  <si>
    <t>TT-36B</t>
  </si>
  <si>
    <t>TT-35B</t>
  </si>
  <si>
    <t>TT-34B</t>
  </si>
  <si>
    <t>TT-33B</t>
  </si>
  <si>
    <t>TT-32B</t>
  </si>
  <si>
    <t>TT-31B</t>
  </si>
  <si>
    <t>TT-30B</t>
  </si>
  <si>
    <t>TT-29B</t>
  </si>
  <si>
    <t>TT-28B</t>
  </si>
  <si>
    <t>TT-27B</t>
  </si>
  <si>
    <t>TT-26B</t>
  </si>
  <si>
    <t>TT-25B</t>
  </si>
  <si>
    <t>TT-24B</t>
  </si>
  <si>
    <t>TT-23B</t>
  </si>
  <si>
    <t>TT-22B</t>
  </si>
  <si>
    <t>TT-21B</t>
  </si>
  <si>
    <t>TT-20B</t>
  </si>
  <si>
    <t>TT-19B</t>
  </si>
  <si>
    <t>TT-18B</t>
  </si>
  <si>
    <t>TT-17B</t>
  </si>
  <si>
    <t>TT-16B</t>
  </si>
  <si>
    <t>TT-15B</t>
  </si>
  <si>
    <t>TT-14B</t>
  </si>
  <si>
    <t>TT-12B</t>
  </si>
  <si>
    <t>TT-11B</t>
  </si>
  <si>
    <t>TT-10B</t>
  </si>
  <si>
    <t>TT-9B</t>
  </si>
  <si>
    <t>TT-8B</t>
  </si>
  <si>
    <t>TT-7B</t>
  </si>
  <si>
    <t>TT-6B</t>
  </si>
  <si>
    <t>TT-5B</t>
  </si>
  <si>
    <t>TT-4B</t>
  </si>
  <si>
    <t>TT-3B</t>
  </si>
  <si>
    <t>TT-2B</t>
  </si>
  <si>
    <t>TT-1B</t>
  </si>
  <si>
    <t>Total (Exc. GST)</t>
  </si>
  <si>
    <t>BSP</t>
  </si>
  <si>
    <t>Other Charges</t>
  </si>
  <si>
    <t>Car Parking</t>
  </si>
  <si>
    <t>Club</t>
  </si>
  <si>
    <t>PLC Charges</t>
  </si>
  <si>
    <t>PLC (sqft)</t>
  </si>
  <si>
    <t>Floor Rise</t>
  </si>
  <si>
    <t>Double Height Unit</t>
  </si>
  <si>
    <t>Golf / Green Facing</t>
  </si>
  <si>
    <t>Saleable Area (Sqft)</t>
  </si>
  <si>
    <t>Apartment Area (Sqft)</t>
  </si>
  <si>
    <t>Apartment Area (Sqmt)</t>
  </si>
  <si>
    <t>Balcony Area (Sqft)</t>
  </si>
  <si>
    <t>Carpet Area (Sqft)</t>
  </si>
  <si>
    <t>Carpet Area (Sqmt)</t>
  </si>
  <si>
    <t>Unit Type</t>
  </si>
  <si>
    <t>Floor</t>
  </si>
  <si>
    <t>Unit No.</t>
  </si>
  <si>
    <t>Core</t>
  </si>
  <si>
    <t>Tower No.</t>
  </si>
  <si>
    <t>TRUMP TOWER NCR STOCK STATEMENT FOR TOWER TR 01</t>
  </si>
  <si>
    <t>TT-47E</t>
  </si>
  <si>
    <t>E</t>
  </si>
  <si>
    <t>TR 02</t>
  </si>
  <si>
    <t>TT-43D</t>
  </si>
  <si>
    <t>D</t>
  </si>
  <si>
    <t>TT-39F</t>
  </si>
  <si>
    <t>F</t>
  </si>
  <si>
    <t>TT-31F</t>
  </si>
  <si>
    <t>TT-23F</t>
  </si>
  <si>
    <t>TT-15F</t>
  </si>
  <si>
    <t>TT-40F</t>
  </si>
  <si>
    <t>TT-38F</t>
  </si>
  <si>
    <t>TT-37F</t>
  </si>
  <si>
    <t>TT-36F</t>
  </si>
  <si>
    <t>TT-35F</t>
  </si>
  <si>
    <t>TT-34F</t>
  </si>
  <si>
    <t>TT-33F</t>
  </si>
  <si>
    <t>TT-32F</t>
  </si>
  <si>
    <t>TT-30F</t>
  </si>
  <si>
    <t>TT-29F</t>
  </si>
  <si>
    <t>TT-28F</t>
  </si>
  <si>
    <t>TT-27F</t>
  </si>
  <si>
    <t>TT-26F</t>
  </si>
  <si>
    <t>TT-25F</t>
  </si>
  <si>
    <t>TT-24F</t>
  </si>
  <si>
    <t>TT-22F</t>
  </si>
  <si>
    <t>TT-21F</t>
  </si>
  <si>
    <t>TT-20F</t>
  </si>
  <si>
    <t>TT-19F</t>
  </si>
  <si>
    <t>TT-18F</t>
  </si>
  <si>
    <t>TT-17F</t>
  </si>
  <si>
    <t>TT-16F</t>
  </si>
  <si>
    <t>TT-14F</t>
  </si>
  <si>
    <t>TT-12F</t>
  </si>
  <si>
    <t>TT-11F</t>
  </si>
  <si>
    <t>TT-10F</t>
  </si>
  <si>
    <t>TT-9F</t>
  </si>
  <si>
    <t>TT-8F</t>
  </si>
  <si>
    <t>TT-7F</t>
  </si>
  <si>
    <t>TT-6F</t>
  </si>
  <si>
    <t>TT-5F</t>
  </si>
  <si>
    <t>TT-4F</t>
  </si>
  <si>
    <t>TT-3F</t>
  </si>
  <si>
    <t>TT-2F</t>
  </si>
  <si>
    <t>TT-1F</t>
  </si>
  <si>
    <t>TT-42D</t>
  </si>
  <si>
    <t>TT-41D</t>
  </si>
  <si>
    <t>TT-40D</t>
  </si>
  <si>
    <t>TT-39D</t>
  </si>
  <si>
    <t>TT-38D</t>
  </si>
  <si>
    <t>TT-37D</t>
  </si>
  <si>
    <t>TT-36D</t>
  </si>
  <si>
    <t>TT-35D</t>
  </si>
  <si>
    <t>TT-34D</t>
  </si>
  <si>
    <t>TT-33D</t>
  </si>
  <si>
    <t>TT-32D</t>
  </si>
  <si>
    <t>TT-31D</t>
  </si>
  <si>
    <t>TT-30D</t>
  </si>
  <si>
    <t>TT-29D</t>
  </si>
  <si>
    <t>TT-28D</t>
  </si>
  <si>
    <t>TT-27D</t>
  </si>
  <si>
    <t>TT-26D</t>
  </si>
  <si>
    <t>TT-25D</t>
  </si>
  <si>
    <t>TT-24D</t>
  </si>
  <si>
    <t>TT-23D</t>
  </si>
  <si>
    <t>TT-22D</t>
  </si>
  <si>
    <t>TT-21D</t>
  </si>
  <si>
    <t>TT-20D</t>
  </si>
  <si>
    <t>TT-19D</t>
  </si>
  <si>
    <t>TT-18D</t>
  </si>
  <si>
    <t>TT-17D</t>
  </si>
  <si>
    <t>TT-16D</t>
  </si>
  <si>
    <t>TT-15D</t>
  </si>
  <si>
    <t>TT-14D</t>
  </si>
  <si>
    <t>TT-12D</t>
  </si>
  <si>
    <t>TT-11D</t>
  </si>
  <si>
    <t>TT-10D</t>
  </si>
  <si>
    <t>TT-9D</t>
  </si>
  <si>
    <t>TT-8D</t>
  </si>
  <si>
    <t>TT-7D</t>
  </si>
  <si>
    <t>TT-6D</t>
  </si>
  <si>
    <t>TT-5D</t>
  </si>
  <si>
    <t>TT-4D</t>
  </si>
  <si>
    <t>TT-3D</t>
  </si>
  <si>
    <t>TT-2D</t>
  </si>
  <si>
    <t>TT-1D</t>
  </si>
  <si>
    <t>TT-46E</t>
  </si>
  <si>
    <t>TT-45E</t>
  </si>
  <si>
    <t>TT-44E</t>
  </si>
  <si>
    <t>TT-43E</t>
  </si>
  <si>
    <t>TT-42E</t>
  </si>
  <si>
    <t>TT-41E</t>
  </si>
  <si>
    <t>TT-40E</t>
  </si>
  <si>
    <t>TT-39E</t>
  </si>
  <si>
    <t>TT-38E</t>
  </si>
  <si>
    <t>TT-37E</t>
  </si>
  <si>
    <t>TT-36E</t>
  </si>
  <si>
    <t>TT-35E</t>
  </si>
  <si>
    <t>TT-34E</t>
  </si>
  <si>
    <t>TT-33E</t>
  </si>
  <si>
    <t>TT-32E</t>
  </si>
  <si>
    <t>TT-31E</t>
  </si>
  <si>
    <t>TT-30E</t>
  </si>
  <si>
    <t>TT-29E</t>
  </si>
  <si>
    <t>TT-28E</t>
  </si>
  <si>
    <t>TT-27E</t>
  </si>
  <si>
    <t>TT-26E</t>
  </si>
  <si>
    <t>TT-25E</t>
  </si>
  <si>
    <t>TT-24E</t>
  </si>
  <si>
    <t>TT-23E</t>
  </si>
  <si>
    <t>TT-22E</t>
  </si>
  <si>
    <t>TT-21E</t>
  </si>
  <si>
    <t>TT-20E</t>
  </si>
  <si>
    <t>TT-19E</t>
  </si>
  <si>
    <t>TT-18E</t>
  </si>
  <si>
    <t>TT-17E</t>
  </si>
  <si>
    <t>TT-16E</t>
  </si>
  <si>
    <t>TT-15E</t>
  </si>
  <si>
    <t>TT-14E</t>
  </si>
  <si>
    <t>TT-12E</t>
  </si>
  <si>
    <t>TT-11E</t>
  </si>
  <si>
    <t>TT-10E</t>
  </si>
  <si>
    <t>TT-9E</t>
  </si>
  <si>
    <t>TT-8E</t>
  </si>
  <si>
    <t>TT-7E</t>
  </si>
  <si>
    <t>TT-6E</t>
  </si>
  <si>
    <t>TT-5E</t>
  </si>
  <si>
    <t>TT-4E</t>
  </si>
  <si>
    <t>TT-3E</t>
  </si>
  <si>
    <t>TT-2E</t>
  </si>
  <si>
    <t>TT-1E</t>
  </si>
  <si>
    <t>TRUMP TOWER NCR STOCK STATEMENT FOR TOWER TR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</si>
</sst>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3" fillId="0" borderId="1" xfId="0" applyNumberFormat="1" applyFont="1" applyBorder="1"/>
    <xf numFmtId="0" fontId="2" fillId="0" borderId="1" xfId="0" applyFont="1" applyBorder="1"/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5" fontId="2" fillId="0" borderId="1" xfId="0" applyNumberFormat="1" applyFont="1" applyBorder="1"/>
    <xf numFmtId="165" fontId="2" fillId="0" borderId="1" xfId="1" applyNumberFormat="1" applyFont="1" applyBorder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2" fillId="0" borderId="0" xfId="0" applyFont="1" applyFill="1"/>
    <xf numFmtId="0" fontId="5" fillId="0" borderId="0" xfId="0" applyFont="1" applyFill="1"/>
    <xf numFmtId="1" fontId="5" fillId="0" borderId="0" xfId="0" applyNumberFormat="1" applyFont="1" applyFill="1"/>
    <xf numFmtId="0" fontId="5" fillId="3" borderId="0" xfId="0" applyFont="1" applyFill="1"/>
    <xf numFmtId="165" fontId="2" fillId="0" borderId="0" xfId="1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nt.singhal/AppData/Local/Microsoft/Windows/INetCache/Content.Outlook/QJ3JOA9M/Commercial%20Signoff%20TTG%20-%200812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Sheet"/>
      <sheetName val="Summary - Pricing"/>
      <sheetName val="Range of Pricing"/>
      <sheetName val="Brokerage"/>
      <sheetName val="Team Incentives"/>
      <sheetName val="Payment Plans"/>
      <sheetName val="Specifications"/>
      <sheetName val="Why Buy Now"/>
    </sheetNames>
    <sheetDataSet>
      <sheetData sheetId="0"/>
      <sheetData sheetId="1">
        <row r="3">
          <cell r="D3" t="str">
            <v>Unit 1A - 4BHK Lounge</v>
          </cell>
          <cell r="E3" t="str">
            <v>Unit 1B - 4BHK Lounge</v>
          </cell>
          <cell r="F3" t="str">
            <v>Unit 1C - 4BHK Lounge</v>
          </cell>
          <cell r="G3" t="str">
            <v>Unit 1D - 4BHK Lounge</v>
          </cell>
          <cell r="H3" t="str">
            <v xml:space="preserve">Unit 2 - 4BHK </v>
          </cell>
          <cell r="I3" t="str">
            <v>Unit 3A &amp; B - 3BHK Lounge</v>
          </cell>
          <cell r="J3" t="str">
            <v>Unit 4 - 2BHK</v>
          </cell>
          <cell r="K3" t="str">
            <v>Unit 5 - 5BHK Pent House</v>
          </cell>
          <cell r="L3" t="str">
            <v>Unit 6 - 4BHK Pent House</v>
          </cell>
        </row>
        <row r="4">
          <cell r="D4">
            <v>6550</v>
          </cell>
          <cell r="E4">
            <v>6050</v>
          </cell>
          <cell r="F4">
            <v>6050</v>
          </cell>
          <cell r="G4">
            <v>5750</v>
          </cell>
          <cell r="H4">
            <v>4550</v>
          </cell>
          <cell r="I4">
            <v>3525</v>
          </cell>
          <cell r="J4">
            <v>3150</v>
          </cell>
          <cell r="K4">
            <v>10600</v>
          </cell>
          <cell r="L4">
            <v>7400</v>
          </cell>
        </row>
        <row r="5">
          <cell r="D5">
            <v>2</v>
          </cell>
          <cell r="E5">
            <v>32</v>
          </cell>
          <cell r="F5">
            <v>40</v>
          </cell>
          <cell r="G5">
            <v>8</v>
          </cell>
          <cell r="H5">
            <v>90</v>
          </cell>
          <cell r="I5">
            <v>70</v>
          </cell>
          <cell r="J5">
            <v>8</v>
          </cell>
          <cell r="K5">
            <v>2</v>
          </cell>
          <cell r="L5">
            <v>2</v>
          </cell>
        </row>
        <row r="7">
          <cell r="D7">
            <v>13500</v>
          </cell>
          <cell r="E7">
            <v>13500</v>
          </cell>
          <cell r="F7">
            <v>13500</v>
          </cell>
          <cell r="G7">
            <v>13500</v>
          </cell>
          <cell r="H7">
            <v>13500</v>
          </cell>
          <cell r="I7">
            <v>13500</v>
          </cell>
          <cell r="J7">
            <v>13500</v>
          </cell>
          <cell r="K7">
            <v>13500</v>
          </cell>
          <cell r="L7">
            <v>13500</v>
          </cell>
        </row>
        <row r="8">
          <cell r="D8">
            <v>15000</v>
          </cell>
          <cell r="E8">
            <v>15000</v>
          </cell>
          <cell r="F8">
            <v>15000</v>
          </cell>
          <cell r="G8">
            <v>15000</v>
          </cell>
          <cell r="H8">
            <v>15000</v>
          </cell>
          <cell r="I8">
            <v>15000</v>
          </cell>
          <cell r="J8">
            <v>15000</v>
          </cell>
          <cell r="K8">
            <v>15000</v>
          </cell>
          <cell r="L8">
            <v>15000</v>
          </cell>
        </row>
        <row r="10">
          <cell r="D10">
            <v>750</v>
          </cell>
          <cell r="E10">
            <v>750</v>
          </cell>
          <cell r="F10">
            <v>750</v>
          </cell>
          <cell r="G10">
            <v>750</v>
          </cell>
          <cell r="H10">
            <v>750</v>
          </cell>
          <cell r="I10">
            <v>750</v>
          </cell>
          <cell r="J10">
            <v>750</v>
          </cell>
          <cell r="K10">
            <v>750</v>
          </cell>
          <cell r="L10">
            <v>750</v>
          </cell>
        </row>
        <row r="11"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  <cell r="I11">
            <v>500</v>
          </cell>
          <cell r="J11">
            <v>500</v>
          </cell>
          <cell r="K11">
            <v>500</v>
          </cell>
          <cell r="L11">
            <v>500</v>
          </cell>
        </row>
        <row r="12">
          <cell r="D12">
            <v>50</v>
          </cell>
          <cell r="E12">
            <v>50</v>
          </cell>
          <cell r="F12">
            <v>50</v>
          </cell>
          <cell r="G12">
            <v>50</v>
          </cell>
          <cell r="H12">
            <v>50</v>
          </cell>
          <cell r="I12">
            <v>50</v>
          </cell>
          <cell r="J12">
            <v>50</v>
          </cell>
          <cell r="K12">
            <v>50</v>
          </cell>
          <cell r="L12">
            <v>50</v>
          </cell>
        </row>
        <row r="13">
          <cell r="D13">
            <v>750</v>
          </cell>
          <cell r="E13">
            <v>750</v>
          </cell>
          <cell r="F13">
            <v>750</v>
          </cell>
          <cell r="G13">
            <v>750</v>
          </cell>
          <cell r="H13">
            <v>750</v>
          </cell>
          <cell r="I13">
            <v>750</v>
          </cell>
          <cell r="J13">
            <v>750</v>
          </cell>
          <cell r="K13">
            <v>750</v>
          </cell>
          <cell r="L13">
            <v>750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0.2</v>
          </cell>
          <cell r="L14">
            <v>0.2</v>
          </cell>
        </row>
        <row r="15">
          <cell r="D15" t="str">
            <v>Y</v>
          </cell>
          <cell r="E15" t="str">
            <v>Y</v>
          </cell>
          <cell r="F15" t="str">
            <v>Y</v>
          </cell>
          <cell r="G15" t="str">
            <v>Y</v>
          </cell>
          <cell r="H15" t="str">
            <v>Y</v>
          </cell>
          <cell r="I15" t="str">
            <v>N</v>
          </cell>
          <cell r="J15" t="str">
            <v>N</v>
          </cell>
          <cell r="K15" t="str">
            <v>Y</v>
          </cell>
          <cell r="L15" t="str">
            <v>Y</v>
          </cell>
        </row>
        <row r="16">
          <cell r="D16" t="str">
            <v>Y</v>
          </cell>
          <cell r="E16" t="str">
            <v>Y</v>
          </cell>
          <cell r="F16" t="str">
            <v>Y</v>
          </cell>
          <cell r="G16" t="str">
            <v>Y</v>
          </cell>
          <cell r="H16" t="str">
            <v>N</v>
          </cell>
          <cell r="I16" t="str">
            <v>N</v>
          </cell>
          <cell r="J16" t="str">
            <v>N</v>
          </cell>
          <cell r="K16" t="str">
            <v>Y</v>
          </cell>
          <cell r="L16" t="str">
            <v>Y</v>
          </cell>
        </row>
        <row r="18">
          <cell r="D18">
            <v>381</v>
          </cell>
          <cell r="E18">
            <v>381</v>
          </cell>
          <cell r="F18">
            <v>381</v>
          </cell>
          <cell r="G18">
            <v>381</v>
          </cell>
          <cell r="H18">
            <v>381</v>
          </cell>
          <cell r="I18">
            <v>381</v>
          </cell>
          <cell r="J18">
            <v>381</v>
          </cell>
          <cell r="K18">
            <v>381</v>
          </cell>
          <cell r="L18">
            <v>381</v>
          </cell>
        </row>
        <row r="19">
          <cell r="D19">
            <v>7.5</v>
          </cell>
          <cell r="E19">
            <v>7.5</v>
          </cell>
          <cell r="F19">
            <v>7.5</v>
          </cell>
          <cell r="G19">
            <v>7.5</v>
          </cell>
          <cell r="H19">
            <v>7.5</v>
          </cell>
          <cell r="I19">
            <v>7.5</v>
          </cell>
          <cell r="J19">
            <v>7.5</v>
          </cell>
          <cell r="K19">
            <v>7.5</v>
          </cell>
          <cell r="L19">
            <v>7.5</v>
          </cell>
        </row>
        <row r="20">
          <cell r="D20">
            <v>22.5</v>
          </cell>
          <cell r="E20">
            <v>22.5</v>
          </cell>
          <cell r="F20">
            <v>22.5</v>
          </cell>
          <cell r="G20">
            <v>22.5</v>
          </cell>
          <cell r="H20">
            <v>22.5</v>
          </cell>
          <cell r="I20">
            <v>15</v>
          </cell>
          <cell r="J20">
            <v>15</v>
          </cell>
          <cell r="K20">
            <v>22.5</v>
          </cell>
          <cell r="L20">
            <v>22.5</v>
          </cell>
        </row>
        <row r="21">
          <cell r="D21">
            <v>250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showGridLines="0" tabSelected="1" topLeftCell="I1" zoomScale="80" zoomScaleNormal="80" workbookViewId="0">
      <pane ySplit="3" topLeftCell="A111" activePane="bottomLeft" state="frozen"/>
      <selection activeCell="G16" sqref="G16"/>
      <selection pane="bottomLeft" activeCell="G16" sqref="G16"/>
    </sheetView>
  </sheetViews>
  <sheetFormatPr defaultColWidth="9.140625" defaultRowHeight="16.5" x14ac:dyDescent="0.3"/>
  <cols>
    <col min="1" max="1" width="1.85546875" style="1" customWidth="1"/>
    <col min="2" max="2" width="16.5703125" style="2" customWidth="1"/>
    <col min="3" max="5" width="9.140625" style="2"/>
    <col min="6" max="6" width="24.28515625" style="2" bestFit="1" customWidth="1"/>
    <col min="7" max="7" width="12.140625" style="2" customWidth="1"/>
    <col min="8" max="8" width="12.140625" style="2" bestFit="1" customWidth="1"/>
    <col min="9" max="9" width="10.5703125" style="2" bestFit="1" customWidth="1"/>
    <col min="10" max="10" width="11" style="2" customWidth="1"/>
    <col min="11" max="11" width="11.5703125" style="2" bestFit="1" customWidth="1"/>
    <col min="12" max="12" width="11.7109375" style="2" customWidth="1"/>
    <col min="13" max="14" width="11.42578125" style="1" bestFit="1" customWidth="1"/>
    <col min="15" max="15" width="11.28515625" style="1" customWidth="1"/>
    <col min="16" max="16" width="10.7109375" style="1" customWidth="1"/>
    <col min="17" max="18" width="9.140625" style="1"/>
    <col min="19" max="19" width="13.7109375" style="1" bestFit="1" customWidth="1"/>
    <col min="20" max="20" width="11.140625" style="1" bestFit="1" customWidth="1"/>
    <col min="21" max="22" width="12.140625" style="1" bestFit="1" customWidth="1"/>
    <col min="23" max="23" width="14.7109375" style="1" bestFit="1" customWidth="1"/>
    <col min="24" max="24" width="14.7109375" style="1" customWidth="1"/>
    <col min="25" max="16384" width="9.140625" style="1"/>
  </cols>
  <sheetData>
    <row r="1" spans="1:24" x14ac:dyDescent="0.3">
      <c r="A1" s="18" t="s">
        <v>164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s="15" customFormat="1" x14ac:dyDescent="0.3">
      <c r="A2" s="16"/>
      <c r="B2" s="16"/>
      <c r="C2" s="16"/>
      <c r="D2" s="16"/>
      <c r="E2" s="16"/>
      <c r="F2" s="16"/>
      <c r="G2" s="16"/>
      <c r="H2" s="16"/>
      <c r="I2" s="17">
        <f>H4+I4</f>
        <v>3432.1663900999993</v>
      </c>
      <c r="J2" s="16"/>
      <c r="K2" s="16"/>
      <c r="L2" s="16">
        <f>L4/I2</f>
        <v>1.3256933035427316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s="12" customFormat="1" ht="33" x14ac:dyDescent="0.3">
      <c r="B3" s="13" t="s">
        <v>163</v>
      </c>
      <c r="C3" s="13" t="s">
        <v>162</v>
      </c>
      <c r="D3" s="13" t="s">
        <v>161</v>
      </c>
      <c r="E3" s="13" t="s">
        <v>160</v>
      </c>
      <c r="F3" s="14" t="s">
        <v>159</v>
      </c>
      <c r="G3" s="13" t="s">
        <v>158</v>
      </c>
      <c r="H3" s="13" t="s">
        <v>157</v>
      </c>
      <c r="I3" s="13" t="s">
        <v>156</v>
      </c>
      <c r="J3" s="13" t="s">
        <v>155</v>
      </c>
      <c r="K3" s="13" t="s">
        <v>154</v>
      </c>
      <c r="L3" s="13" t="s">
        <v>153</v>
      </c>
      <c r="M3" s="13" t="s">
        <v>152</v>
      </c>
      <c r="N3" s="13" t="s">
        <v>151</v>
      </c>
      <c r="O3" s="13" t="s">
        <v>152</v>
      </c>
      <c r="P3" s="13" t="s">
        <v>151</v>
      </c>
      <c r="Q3" s="13" t="s">
        <v>150</v>
      </c>
      <c r="R3" s="13" t="s">
        <v>149</v>
      </c>
      <c r="S3" s="13" t="s">
        <v>148</v>
      </c>
      <c r="T3" s="13" t="s">
        <v>147</v>
      </c>
      <c r="U3" s="13" t="s">
        <v>146</v>
      </c>
      <c r="V3" s="13" t="s">
        <v>145</v>
      </c>
      <c r="W3" s="14" t="s">
        <v>144</v>
      </c>
      <c r="X3" s="13" t="s">
        <v>143</v>
      </c>
    </row>
    <row r="4" spans="1:24" x14ac:dyDescent="0.3">
      <c r="B4" s="10" t="s">
        <v>5</v>
      </c>
      <c r="C4" s="10" t="s">
        <v>4</v>
      </c>
      <c r="D4" s="10" t="s">
        <v>142</v>
      </c>
      <c r="E4" s="10">
        <v>1</v>
      </c>
      <c r="F4" s="10" t="s">
        <v>97</v>
      </c>
      <c r="G4" s="11">
        <v>263.85899999999998</v>
      </c>
      <c r="H4" s="11">
        <v>2840.1518900999995</v>
      </c>
      <c r="I4" s="11">
        <v>592.0145</v>
      </c>
      <c r="J4" s="11">
        <v>358.76100000000002</v>
      </c>
      <c r="K4" s="11">
        <v>3861.6675279000001</v>
      </c>
      <c r="L4" s="10">
        <v>4550</v>
      </c>
      <c r="M4" s="5" t="str">
        <f>HLOOKUP($F4,'[1]Summary - Pricing'!$D$3:$L$16,13,FALSE)</f>
        <v>Y</v>
      </c>
      <c r="N4" s="5" t="str">
        <f>HLOOKUP($F4,'[1]Summary - Pricing'!$D$3:$L$16,14,FALSE)</f>
        <v>N</v>
      </c>
      <c r="O4" s="9">
        <f>IF(M4="Y",'[1]Summary - Pricing'!$D$10,0)</f>
        <v>750</v>
      </c>
      <c r="P4" s="9">
        <f>IF(N4="Y",'[1]Summary - Pricing'!$D$13,0)</f>
        <v>0</v>
      </c>
      <c r="Q4" s="9">
        <f>IF(AND(E4&gt;5,E4&lt;16),0,IF(E4&lt;6,'[1]Summary - Pricing'!$D$11,IF('TR 01 Inventory'!E4&gt;15,('TR 01 Inventory'!E4-15)*'[1]Summary - Pricing'!$D$12)))</f>
        <v>500</v>
      </c>
      <c r="R4" s="8">
        <f>SUM(O4:Q4)</f>
        <v>1250</v>
      </c>
      <c r="S4" s="9">
        <f>R4*L4</f>
        <v>5687500</v>
      </c>
      <c r="T4" s="9">
        <v>750000</v>
      </c>
      <c r="U4" s="9">
        <f>HLOOKUP(F4,'[1]Summary - Pricing'!$D$3:$L$20,18,FALSE)*100000</f>
        <v>2250000</v>
      </c>
      <c r="V4" s="9">
        <f>SUM('[1]Summary - Pricing'!$D$18,'[1]Summary - Pricing'!$D$21)*'TR 01 Inventory'!L4</f>
        <v>2871050</v>
      </c>
      <c r="W4" s="9">
        <f>'[1]Summary - Pricing'!$D$7*'TR 01 Inventory'!L4</f>
        <v>61425000</v>
      </c>
      <c r="X4" s="8">
        <f>W4+V4+U4+T4+S4</f>
        <v>72983550</v>
      </c>
    </row>
    <row r="5" spans="1:24" x14ac:dyDescent="0.3">
      <c r="B5" s="10" t="s">
        <v>5</v>
      </c>
      <c r="C5" s="10" t="s">
        <v>4</v>
      </c>
      <c r="D5" s="10" t="s">
        <v>141</v>
      </c>
      <c r="E5" s="10">
        <v>2</v>
      </c>
      <c r="F5" s="10" t="s">
        <v>97</v>
      </c>
      <c r="G5" s="11">
        <v>263.85899999999998</v>
      </c>
      <c r="H5" s="11">
        <v>2840.1518900999995</v>
      </c>
      <c r="I5" s="11">
        <v>592.0145</v>
      </c>
      <c r="J5" s="11">
        <v>358.76100000000002</v>
      </c>
      <c r="K5" s="11">
        <v>3861.6675279000001</v>
      </c>
      <c r="L5" s="10">
        <v>4550</v>
      </c>
      <c r="M5" s="5" t="str">
        <f>HLOOKUP($F5,'[1]Summary - Pricing'!$D$3:$L$16,13,FALSE)</f>
        <v>Y</v>
      </c>
      <c r="N5" s="5" t="str">
        <f>HLOOKUP($F5,'[1]Summary - Pricing'!$D$3:$L$16,14,FALSE)</f>
        <v>N</v>
      </c>
      <c r="O5" s="9">
        <f>IF(M5="Y",'[1]Summary - Pricing'!$D$10,0)</f>
        <v>750</v>
      </c>
      <c r="P5" s="9">
        <f>IF(N5="Y",'[1]Summary - Pricing'!$D$13,0)</f>
        <v>0</v>
      </c>
      <c r="Q5" s="9">
        <f>IF(AND(E5&gt;5,E5&lt;16),0,IF(E5&lt;6,'[1]Summary - Pricing'!$D$11,IF('TR 01 Inventory'!E5&gt;15,('TR 01 Inventory'!E5-15)*'[1]Summary - Pricing'!$D$12)))</f>
        <v>500</v>
      </c>
      <c r="R5" s="8">
        <f>SUM(O5:Q5)</f>
        <v>1250</v>
      </c>
      <c r="S5" s="9">
        <f>R5*L5</f>
        <v>5687500</v>
      </c>
      <c r="T5" s="9">
        <v>750000</v>
      </c>
      <c r="U5" s="9">
        <f>HLOOKUP(F5,'[1]Summary - Pricing'!$D$3:$L$20,18,FALSE)*100000</f>
        <v>2250000</v>
      </c>
      <c r="V5" s="9">
        <f>SUM('[1]Summary - Pricing'!$D$18,'[1]Summary - Pricing'!$D$21)*'TR 01 Inventory'!L5</f>
        <v>2871050</v>
      </c>
      <c r="W5" s="9">
        <f>'[1]Summary - Pricing'!$D$7*'TR 01 Inventory'!L5</f>
        <v>61425000</v>
      </c>
      <c r="X5" s="8">
        <f>W5+V5+U5+T5+S5</f>
        <v>72983550</v>
      </c>
    </row>
    <row r="6" spans="1:24" x14ac:dyDescent="0.3">
      <c r="B6" s="10" t="s">
        <v>5</v>
      </c>
      <c r="C6" s="10" t="s">
        <v>4</v>
      </c>
      <c r="D6" s="10" t="s">
        <v>140</v>
      </c>
      <c r="E6" s="10">
        <v>3</v>
      </c>
      <c r="F6" s="10" t="s">
        <v>97</v>
      </c>
      <c r="G6" s="11">
        <v>263.85899999999998</v>
      </c>
      <c r="H6" s="11">
        <v>2840.1518900999995</v>
      </c>
      <c r="I6" s="11">
        <v>592.0145</v>
      </c>
      <c r="J6" s="11">
        <v>358.76100000000002</v>
      </c>
      <c r="K6" s="11">
        <v>3861.6675279000001</v>
      </c>
      <c r="L6" s="10">
        <v>4550</v>
      </c>
      <c r="M6" s="5" t="str">
        <f>HLOOKUP($F6,'[1]Summary - Pricing'!$D$3:$L$16,13,FALSE)</f>
        <v>Y</v>
      </c>
      <c r="N6" s="5" t="str">
        <f>HLOOKUP($F6,'[1]Summary - Pricing'!$D$3:$L$16,14,FALSE)</f>
        <v>N</v>
      </c>
      <c r="O6" s="9">
        <f>IF(M6="Y",'[1]Summary - Pricing'!$D$10,0)</f>
        <v>750</v>
      </c>
      <c r="P6" s="9">
        <f>IF(N6="Y",'[1]Summary - Pricing'!$D$13,0)</f>
        <v>0</v>
      </c>
      <c r="Q6" s="9">
        <f>IF(AND(E6&gt;5,E6&lt;16),0,IF(E6&lt;6,'[1]Summary - Pricing'!$D$11,IF('TR 01 Inventory'!E6&gt;15,('TR 01 Inventory'!E6-15)*'[1]Summary - Pricing'!$D$12)))</f>
        <v>500</v>
      </c>
      <c r="R6" s="8">
        <f>SUM(O6:Q6)</f>
        <v>1250</v>
      </c>
      <c r="S6" s="9">
        <f>R6*L6</f>
        <v>5687500</v>
      </c>
      <c r="T6" s="9">
        <v>750000</v>
      </c>
      <c r="U6" s="9">
        <f>HLOOKUP(F6,'[1]Summary - Pricing'!$D$3:$L$20,18,FALSE)*100000</f>
        <v>2250000</v>
      </c>
      <c r="V6" s="9">
        <f>SUM('[1]Summary - Pricing'!$D$18,'[1]Summary - Pricing'!$D$21)*'TR 01 Inventory'!L6</f>
        <v>2871050</v>
      </c>
      <c r="W6" s="9">
        <f>'[1]Summary - Pricing'!$D$7*'TR 01 Inventory'!L6</f>
        <v>61425000</v>
      </c>
      <c r="X6" s="8">
        <f>W6+V6+U6+T6+S6</f>
        <v>72983550</v>
      </c>
    </row>
    <row r="7" spans="1:24" x14ac:dyDescent="0.3">
      <c r="B7" s="10" t="s">
        <v>5</v>
      </c>
      <c r="C7" s="10" t="s">
        <v>4</v>
      </c>
      <c r="D7" s="10" t="s">
        <v>139</v>
      </c>
      <c r="E7" s="10">
        <v>4</v>
      </c>
      <c r="F7" s="10" t="s">
        <v>97</v>
      </c>
      <c r="G7" s="11">
        <v>263.85899999999998</v>
      </c>
      <c r="H7" s="11">
        <v>2840.1518900999995</v>
      </c>
      <c r="I7" s="11">
        <v>592.0145</v>
      </c>
      <c r="J7" s="11">
        <v>358.76100000000002</v>
      </c>
      <c r="K7" s="11">
        <v>3861.6675279000001</v>
      </c>
      <c r="L7" s="10">
        <v>4550</v>
      </c>
      <c r="M7" s="5" t="str">
        <f>HLOOKUP($F7,'[1]Summary - Pricing'!$D$3:$L$16,13,FALSE)</f>
        <v>Y</v>
      </c>
      <c r="N7" s="5" t="str">
        <f>HLOOKUP($F7,'[1]Summary - Pricing'!$D$3:$L$16,14,FALSE)</f>
        <v>N</v>
      </c>
      <c r="O7" s="9">
        <f>IF(M7="Y",'[1]Summary - Pricing'!$D$10,0)</f>
        <v>750</v>
      </c>
      <c r="P7" s="9">
        <f>IF(N7="Y",'[1]Summary - Pricing'!$D$13,0)</f>
        <v>0</v>
      </c>
      <c r="Q7" s="9">
        <f>IF(AND(E7&gt;5,E7&lt;16),0,IF(E7&lt;6,'[1]Summary - Pricing'!$D$11,IF('TR 01 Inventory'!E7&gt;15,('TR 01 Inventory'!E7-15)*'[1]Summary - Pricing'!$D$12)))</f>
        <v>500</v>
      </c>
      <c r="R7" s="8">
        <f>SUM(O7:Q7)</f>
        <v>1250</v>
      </c>
      <c r="S7" s="9">
        <f>R7*L7</f>
        <v>5687500</v>
      </c>
      <c r="T7" s="9">
        <v>750000</v>
      </c>
      <c r="U7" s="9">
        <f>HLOOKUP(F7,'[1]Summary - Pricing'!$D$3:$L$20,18,FALSE)*100000</f>
        <v>2250000</v>
      </c>
      <c r="V7" s="9">
        <f>SUM('[1]Summary - Pricing'!$D$18,'[1]Summary - Pricing'!$D$21)*'TR 01 Inventory'!L7</f>
        <v>2871050</v>
      </c>
      <c r="W7" s="9">
        <f>'[1]Summary - Pricing'!$D$7*'TR 01 Inventory'!L7</f>
        <v>61425000</v>
      </c>
      <c r="X7" s="8">
        <f>W7+V7+U7+T7+S7</f>
        <v>72983550</v>
      </c>
    </row>
    <row r="8" spans="1:24" x14ac:dyDescent="0.3">
      <c r="B8" s="10" t="s">
        <v>5</v>
      </c>
      <c r="C8" s="10" t="s">
        <v>4</v>
      </c>
      <c r="D8" s="10" t="s">
        <v>138</v>
      </c>
      <c r="E8" s="10">
        <v>5</v>
      </c>
      <c r="F8" s="10" t="s">
        <v>97</v>
      </c>
      <c r="G8" s="11">
        <v>263.85899999999998</v>
      </c>
      <c r="H8" s="11">
        <v>2840.1518900999995</v>
      </c>
      <c r="I8" s="11">
        <v>592.0145</v>
      </c>
      <c r="J8" s="11">
        <v>358.76100000000002</v>
      </c>
      <c r="K8" s="11">
        <v>3861.6675279000001</v>
      </c>
      <c r="L8" s="10">
        <v>4550</v>
      </c>
      <c r="M8" s="5" t="str">
        <f>HLOOKUP($F8,'[1]Summary - Pricing'!$D$3:$L$16,13,FALSE)</f>
        <v>Y</v>
      </c>
      <c r="N8" s="5" t="str">
        <f>HLOOKUP($F8,'[1]Summary - Pricing'!$D$3:$L$16,14,FALSE)</f>
        <v>N</v>
      </c>
      <c r="O8" s="9">
        <f>IF(M8="Y",'[1]Summary - Pricing'!$D$10,0)</f>
        <v>750</v>
      </c>
      <c r="P8" s="9">
        <f>IF(N8="Y",'[1]Summary - Pricing'!$D$13,0)</f>
        <v>0</v>
      </c>
      <c r="Q8" s="9">
        <f>IF(AND(E8&gt;5,E8&lt;16),0,IF(E8&lt;6,'[1]Summary - Pricing'!$D$11,IF('TR 01 Inventory'!E8&gt;15,('TR 01 Inventory'!E8-15)*'[1]Summary - Pricing'!$D$12)))</f>
        <v>500</v>
      </c>
      <c r="R8" s="8">
        <f>SUM(O8:Q8)</f>
        <v>1250</v>
      </c>
      <c r="S8" s="9">
        <f>R8*L8</f>
        <v>5687500</v>
      </c>
      <c r="T8" s="9">
        <v>750000</v>
      </c>
      <c r="U8" s="9">
        <f>HLOOKUP(F8,'[1]Summary - Pricing'!$D$3:$L$20,18,FALSE)*100000</f>
        <v>2250000</v>
      </c>
      <c r="V8" s="9">
        <f>SUM('[1]Summary - Pricing'!$D$18,'[1]Summary - Pricing'!$D$21)*'TR 01 Inventory'!L8</f>
        <v>2871050</v>
      </c>
      <c r="W8" s="9">
        <f>'[1]Summary - Pricing'!$D$7*'TR 01 Inventory'!L8</f>
        <v>61425000</v>
      </c>
      <c r="X8" s="8">
        <f>W8+V8+U8+T8+S8</f>
        <v>72983550</v>
      </c>
    </row>
    <row r="9" spans="1:24" x14ac:dyDescent="0.3">
      <c r="B9" s="10" t="s">
        <v>5</v>
      </c>
      <c r="C9" s="10" t="s">
        <v>4</v>
      </c>
      <c r="D9" s="10" t="s">
        <v>137</v>
      </c>
      <c r="E9" s="10">
        <v>6</v>
      </c>
      <c r="F9" s="10" t="s">
        <v>97</v>
      </c>
      <c r="G9" s="11">
        <v>263.85899999999998</v>
      </c>
      <c r="H9" s="11">
        <v>2840.1518900999995</v>
      </c>
      <c r="I9" s="11">
        <v>592.0145</v>
      </c>
      <c r="J9" s="11">
        <v>358.76100000000002</v>
      </c>
      <c r="K9" s="11">
        <v>3861.6675279000001</v>
      </c>
      <c r="L9" s="10">
        <v>4550</v>
      </c>
      <c r="M9" s="5" t="str">
        <f>HLOOKUP($F9,'[1]Summary - Pricing'!$D$3:$L$16,13,FALSE)</f>
        <v>Y</v>
      </c>
      <c r="N9" s="5" t="str">
        <f>HLOOKUP($F9,'[1]Summary - Pricing'!$D$3:$L$16,14,FALSE)</f>
        <v>N</v>
      </c>
      <c r="O9" s="9">
        <f>IF(M9="Y",'[1]Summary - Pricing'!$D$10,0)</f>
        <v>750</v>
      </c>
      <c r="P9" s="9">
        <f>IF(N9="Y",'[1]Summary - Pricing'!$D$13,0)</f>
        <v>0</v>
      </c>
      <c r="Q9" s="9">
        <f>IF(AND(E9&gt;5,E9&lt;16),0,IF(E9&lt;6,'[1]Summary - Pricing'!$D$11,IF('TR 01 Inventory'!E9&gt;15,('TR 01 Inventory'!E9-15)*'[1]Summary - Pricing'!$D$12)))</f>
        <v>0</v>
      </c>
      <c r="R9" s="8">
        <f>SUM(O9:Q9)</f>
        <v>750</v>
      </c>
      <c r="S9" s="9">
        <f>R9*L9</f>
        <v>3412500</v>
      </c>
      <c r="T9" s="9">
        <v>750000</v>
      </c>
      <c r="U9" s="9">
        <f>HLOOKUP(F9,'[1]Summary - Pricing'!$D$3:$L$20,18,FALSE)*100000</f>
        <v>2250000</v>
      </c>
      <c r="V9" s="9">
        <f>SUM('[1]Summary - Pricing'!$D$18,'[1]Summary - Pricing'!$D$21)*'TR 01 Inventory'!L9</f>
        <v>2871050</v>
      </c>
      <c r="W9" s="9">
        <f>'[1]Summary - Pricing'!$D$7*'TR 01 Inventory'!L9</f>
        <v>61425000</v>
      </c>
      <c r="X9" s="8">
        <f>W9+V9+U9+T9+S9</f>
        <v>70708550</v>
      </c>
    </row>
    <row r="10" spans="1:24" x14ac:dyDescent="0.3">
      <c r="B10" s="10" t="s">
        <v>5</v>
      </c>
      <c r="C10" s="10" t="s">
        <v>4</v>
      </c>
      <c r="D10" s="10" t="s">
        <v>136</v>
      </c>
      <c r="E10" s="10">
        <v>7</v>
      </c>
      <c r="F10" s="10" t="s">
        <v>97</v>
      </c>
      <c r="G10" s="11">
        <v>263.85899999999998</v>
      </c>
      <c r="H10" s="11">
        <v>2840.1518900999995</v>
      </c>
      <c r="I10" s="11">
        <v>592.0145</v>
      </c>
      <c r="J10" s="11">
        <v>358.76100000000002</v>
      </c>
      <c r="K10" s="11">
        <v>3861.6675279000001</v>
      </c>
      <c r="L10" s="10">
        <v>4550</v>
      </c>
      <c r="M10" s="5" t="str">
        <f>HLOOKUP($F10,'[1]Summary - Pricing'!$D$3:$L$16,13,FALSE)</f>
        <v>Y</v>
      </c>
      <c r="N10" s="5" t="str">
        <f>HLOOKUP($F10,'[1]Summary - Pricing'!$D$3:$L$16,14,FALSE)</f>
        <v>N</v>
      </c>
      <c r="O10" s="9">
        <f>IF(M10="Y",'[1]Summary - Pricing'!$D$10,0)</f>
        <v>750</v>
      </c>
      <c r="P10" s="9">
        <f>IF(N10="Y",'[1]Summary - Pricing'!$D$13,0)</f>
        <v>0</v>
      </c>
      <c r="Q10" s="9">
        <f>IF(AND(E10&gt;5,E10&lt;16),0,IF(E10&lt;6,'[1]Summary - Pricing'!$D$11,IF('TR 01 Inventory'!E10&gt;15,('TR 01 Inventory'!E10-15)*'[1]Summary - Pricing'!$D$12)))</f>
        <v>0</v>
      </c>
      <c r="R10" s="8">
        <f>SUM(O10:Q10)</f>
        <v>750</v>
      </c>
      <c r="S10" s="9">
        <f>R10*L10</f>
        <v>3412500</v>
      </c>
      <c r="T10" s="9">
        <v>750000</v>
      </c>
      <c r="U10" s="9">
        <f>HLOOKUP(F10,'[1]Summary - Pricing'!$D$3:$L$20,18,FALSE)*100000</f>
        <v>2250000</v>
      </c>
      <c r="V10" s="9">
        <f>SUM('[1]Summary - Pricing'!$D$18,'[1]Summary - Pricing'!$D$21)*'TR 01 Inventory'!L10</f>
        <v>2871050</v>
      </c>
      <c r="W10" s="9">
        <f>'[1]Summary - Pricing'!$D$7*'TR 01 Inventory'!L10</f>
        <v>61425000</v>
      </c>
      <c r="X10" s="8">
        <f>W10+V10+U10+T10+S10</f>
        <v>70708550</v>
      </c>
    </row>
    <row r="11" spans="1:24" x14ac:dyDescent="0.3">
      <c r="B11" s="10" t="s">
        <v>5</v>
      </c>
      <c r="C11" s="10" t="s">
        <v>4</v>
      </c>
      <c r="D11" s="10" t="s">
        <v>135</v>
      </c>
      <c r="E11" s="10">
        <v>8</v>
      </c>
      <c r="F11" s="10" t="s">
        <v>97</v>
      </c>
      <c r="G11" s="11">
        <v>263.85899999999998</v>
      </c>
      <c r="H11" s="11">
        <v>2840.1518900999995</v>
      </c>
      <c r="I11" s="11">
        <v>592.0145</v>
      </c>
      <c r="J11" s="11">
        <v>358.76100000000002</v>
      </c>
      <c r="K11" s="11">
        <v>3861.6675279000001</v>
      </c>
      <c r="L11" s="10">
        <v>4550</v>
      </c>
      <c r="M11" s="5" t="str">
        <f>HLOOKUP($F11,'[1]Summary - Pricing'!$D$3:$L$16,13,FALSE)</f>
        <v>Y</v>
      </c>
      <c r="N11" s="5" t="str">
        <f>HLOOKUP($F11,'[1]Summary - Pricing'!$D$3:$L$16,14,FALSE)</f>
        <v>N</v>
      </c>
      <c r="O11" s="9">
        <f>IF(M11="Y",'[1]Summary - Pricing'!$D$10,0)</f>
        <v>750</v>
      </c>
      <c r="P11" s="9">
        <f>IF(N11="Y",'[1]Summary - Pricing'!$D$13,0)</f>
        <v>0</v>
      </c>
      <c r="Q11" s="9">
        <f>IF(AND(E11&gt;5,E11&lt;16),0,IF(E11&lt;6,'[1]Summary - Pricing'!$D$11,IF('TR 01 Inventory'!E11&gt;15,('TR 01 Inventory'!E11-15)*'[1]Summary - Pricing'!$D$12)))</f>
        <v>0</v>
      </c>
      <c r="R11" s="8">
        <f>SUM(O11:Q11)</f>
        <v>750</v>
      </c>
      <c r="S11" s="9">
        <f>R11*L11</f>
        <v>3412500</v>
      </c>
      <c r="T11" s="9">
        <v>750000</v>
      </c>
      <c r="U11" s="9">
        <f>HLOOKUP(F11,'[1]Summary - Pricing'!$D$3:$L$20,18,FALSE)*100000</f>
        <v>2250000</v>
      </c>
      <c r="V11" s="9">
        <f>SUM('[1]Summary - Pricing'!$D$18,'[1]Summary - Pricing'!$D$21)*'TR 01 Inventory'!L11</f>
        <v>2871050</v>
      </c>
      <c r="W11" s="9">
        <f>'[1]Summary - Pricing'!$D$7*'TR 01 Inventory'!L11</f>
        <v>61425000</v>
      </c>
      <c r="X11" s="8">
        <f>W11+V11+U11+T11+S11</f>
        <v>70708550</v>
      </c>
    </row>
    <row r="12" spans="1:24" x14ac:dyDescent="0.3">
      <c r="B12" s="10" t="s">
        <v>5</v>
      </c>
      <c r="C12" s="10" t="s">
        <v>4</v>
      </c>
      <c r="D12" s="10" t="s">
        <v>134</v>
      </c>
      <c r="E12" s="10">
        <v>9</v>
      </c>
      <c r="F12" s="10" t="s">
        <v>97</v>
      </c>
      <c r="G12" s="11">
        <v>263.85899999999998</v>
      </c>
      <c r="H12" s="11">
        <v>2840.1518900999995</v>
      </c>
      <c r="I12" s="11">
        <v>592.0145</v>
      </c>
      <c r="J12" s="11">
        <v>358.76100000000002</v>
      </c>
      <c r="K12" s="11">
        <v>3861.6675279000001</v>
      </c>
      <c r="L12" s="10">
        <v>4550</v>
      </c>
      <c r="M12" s="5" t="str">
        <f>HLOOKUP($F12,'[1]Summary - Pricing'!$D$3:$L$16,13,FALSE)</f>
        <v>Y</v>
      </c>
      <c r="N12" s="5" t="str">
        <f>HLOOKUP($F12,'[1]Summary - Pricing'!$D$3:$L$16,14,FALSE)</f>
        <v>N</v>
      </c>
      <c r="O12" s="9">
        <f>IF(M12="Y",'[1]Summary - Pricing'!$D$10,0)</f>
        <v>750</v>
      </c>
      <c r="P12" s="9">
        <f>IF(N12="Y",'[1]Summary - Pricing'!$D$13,0)</f>
        <v>0</v>
      </c>
      <c r="Q12" s="9">
        <f>IF(AND(E12&gt;5,E12&lt;16),0,IF(E12&lt;6,'[1]Summary - Pricing'!$D$11,IF('TR 01 Inventory'!E12&gt;15,('TR 01 Inventory'!E12-15)*'[1]Summary - Pricing'!$D$12)))</f>
        <v>0</v>
      </c>
      <c r="R12" s="8">
        <f>SUM(O12:Q12)</f>
        <v>750</v>
      </c>
      <c r="S12" s="9">
        <f>R12*L12</f>
        <v>3412500</v>
      </c>
      <c r="T12" s="9">
        <v>750000</v>
      </c>
      <c r="U12" s="9">
        <f>HLOOKUP(F12,'[1]Summary - Pricing'!$D$3:$L$20,18,FALSE)*100000</f>
        <v>2250000</v>
      </c>
      <c r="V12" s="9">
        <f>SUM('[1]Summary - Pricing'!$D$18,'[1]Summary - Pricing'!$D$21)*'TR 01 Inventory'!L12</f>
        <v>2871050</v>
      </c>
      <c r="W12" s="9">
        <f>'[1]Summary - Pricing'!$D$7*'TR 01 Inventory'!L12</f>
        <v>61425000</v>
      </c>
      <c r="X12" s="8">
        <f>W12+V12+U12+T12+S12</f>
        <v>70708550</v>
      </c>
    </row>
    <row r="13" spans="1:24" x14ac:dyDescent="0.3">
      <c r="B13" s="10" t="s">
        <v>5</v>
      </c>
      <c r="C13" s="10" t="s">
        <v>4</v>
      </c>
      <c r="D13" s="10" t="s">
        <v>133</v>
      </c>
      <c r="E13" s="10">
        <v>10</v>
      </c>
      <c r="F13" s="10" t="s">
        <v>97</v>
      </c>
      <c r="G13" s="11">
        <v>263.85899999999998</v>
      </c>
      <c r="H13" s="11">
        <v>2840.1518900999995</v>
      </c>
      <c r="I13" s="11">
        <v>592.0145</v>
      </c>
      <c r="J13" s="11">
        <v>358.76100000000002</v>
      </c>
      <c r="K13" s="11">
        <v>3861.6675279000001</v>
      </c>
      <c r="L13" s="10">
        <v>4550</v>
      </c>
      <c r="M13" s="5" t="str">
        <f>HLOOKUP($F13,'[1]Summary - Pricing'!$D$3:$L$16,13,FALSE)</f>
        <v>Y</v>
      </c>
      <c r="N13" s="5" t="str">
        <f>HLOOKUP($F13,'[1]Summary - Pricing'!$D$3:$L$16,14,FALSE)</f>
        <v>N</v>
      </c>
      <c r="O13" s="9">
        <f>IF(M13="Y",'[1]Summary - Pricing'!$D$10,0)</f>
        <v>750</v>
      </c>
      <c r="P13" s="9">
        <f>IF(N13="Y",'[1]Summary - Pricing'!$D$13,0)</f>
        <v>0</v>
      </c>
      <c r="Q13" s="9">
        <f>IF(AND(E13&gt;5,E13&lt;16),0,IF(E13&lt;6,'[1]Summary - Pricing'!$D$11,IF('TR 01 Inventory'!E13&gt;15,('TR 01 Inventory'!E13-15)*'[1]Summary - Pricing'!$D$12)))</f>
        <v>0</v>
      </c>
      <c r="R13" s="8">
        <f>SUM(O13:Q13)</f>
        <v>750</v>
      </c>
      <c r="S13" s="9">
        <f>R13*L13</f>
        <v>3412500</v>
      </c>
      <c r="T13" s="9">
        <v>750000</v>
      </c>
      <c r="U13" s="9">
        <f>HLOOKUP(F13,'[1]Summary - Pricing'!$D$3:$L$20,18,FALSE)*100000</f>
        <v>2250000</v>
      </c>
      <c r="V13" s="9">
        <f>SUM('[1]Summary - Pricing'!$D$18,'[1]Summary - Pricing'!$D$21)*'TR 01 Inventory'!L13</f>
        <v>2871050</v>
      </c>
      <c r="W13" s="9">
        <f>'[1]Summary - Pricing'!$D$7*'TR 01 Inventory'!L13</f>
        <v>61425000</v>
      </c>
      <c r="X13" s="8">
        <f>W13+V13+U13+T13+S13</f>
        <v>70708550</v>
      </c>
    </row>
    <row r="14" spans="1:24" x14ac:dyDescent="0.3">
      <c r="B14" s="10" t="s">
        <v>5</v>
      </c>
      <c r="C14" s="10" t="s">
        <v>4</v>
      </c>
      <c r="D14" s="10" t="s">
        <v>132</v>
      </c>
      <c r="E14" s="10">
        <v>11</v>
      </c>
      <c r="F14" s="10" t="s">
        <v>97</v>
      </c>
      <c r="G14" s="11">
        <v>263.85899999999998</v>
      </c>
      <c r="H14" s="11">
        <v>2840.1518900999995</v>
      </c>
      <c r="I14" s="11">
        <v>592.0145</v>
      </c>
      <c r="J14" s="11">
        <v>358.76100000000002</v>
      </c>
      <c r="K14" s="11">
        <v>3861.6675279000001</v>
      </c>
      <c r="L14" s="10">
        <v>4550</v>
      </c>
      <c r="M14" s="5" t="str">
        <f>HLOOKUP($F14,'[1]Summary - Pricing'!$D$3:$L$16,13,FALSE)</f>
        <v>Y</v>
      </c>
      <c r="N14" s="5" t="str">
        <f>HLOOKUP($F14,'[1]Summary - Pricing'!$D$3:$L$16,14,FALSE)</f>
        <v>N</v>
      </c>
      <c r="O14" s="9">
        <f>IF(M14="Y",'[1]Summary - Pricing'!$D$10,0)</f>
        <v>750</v>
      </c>
      <c r="P14" s="9">
        <f>IF(N14="Y",'[1]Summary - Pricing'!$D$13,0)</f>
        <v>0</v>
      </c>
      <c r="Q14" s="9">
        <f>IF(AND(E14&gt;5,E14&lt;16),0,IF(E14&lt;6,'[1]Summary - Pricing'!$D$11,IF('TR 01 Inventory'!E14&gt;15,('TR 01 Inventory'!E14-15)*'[1]Summary - Pricing'!$D$12)))</f>
        <v>0</v>
      </c>
      <c r="R14" s="8">
        <f>SUM(O14:Q14)</f>
        <v>750</v>
      </c>
      <c r="S14" s="9">
        <f>R14*L14</f>
        <v>3412500</v>
      </c>
      <c r="T14" s="9">
        <v>750000</v>
      </c>
      <c r="U14" s="9">
        <f>HLOOKUP(F14,'[1]Summary - Pricing'!$D$3:$L$20,18,FALSE)*100000</f>
        <v>2250000</v>
      </c>
      <c r="V14" s="9">
        <f>SUM('[1]Summary - Pricing'!$D$18,'[1]Summary - Pricing'!$D$21)*'TR 01 Inventory'!L14</f>
        <v>2871050</v>
      </c>
      <c r="W14" s="9">
        <f>'[1]Summary - Pricing'!$D$7*'TR 01 Inventory'!L14</f>
        <v>61425000</v>
      </c>
      <c r="X14" s="8">
        <f>W14+V14+U14+T14+S14</f>
        <v>70708550</v>
      </c>
    </row>
    <row r="15" spans="1:24" x14ac:dyDescent="0.3">
      <c r="B15" s="10" t="s">
        <v>5</v>
      </c>
      <c r="C15" s="10" t="s">
        <v>4</v>
      </c>
      <c r="D15" s="10" t="s">
        <v>131</v>
      </c>
      <c r="E15" s="10">
        <v>12</v>
      </c>
      <c r="F15" s="10" t="s">
        <v>97</v>
      </c>
      <c r="G15" s="11">
        <v>263.85899999999998</v>
      </c>
      <c r="H15" s="11">
        <v>2840.1518900999995</v>
      </c>
      <c r="I15" s="11">
        <v>592.0145</v>
      </c>
      <c r="J15" s="11">
        <v>358.76100000000002</v>
      </c>
      <c r="K15" s="11">
        <v>3861.6675279000001</v>
      </c>
      <c r="L15" s="10">
        <v>4550</v>
      </c>
      <c r="M15" s="5" t="str">
        <f>HLOOKUP($F15,'[1]Summary - Pricing'!$D$3:$L$16,13,FALSE)</f>
        <v>Y</v>
      </c>
      <c r="N15" s="5" t="str">
        <f>HLOOKUP($F15,'[1]Summary - Pricing'!$D$3:$L$16,14,FALSE)</f>
        <v>N</v>
      </c>
      <c r="O15" s="9">
        <f>IF(M15="Y",'[1]Summary - Pricing'!$D$10,0)</f>
        <v>750</v>
      </c>
      <c r="P15" s="9">
        <f>IF(N15="Y",'[1]Summary - Pricing'!$D$13,0)</f>
        <v>0</v>
      </c>
      <c r="Q15" s="9">
        <f>IF(AND(E15&gt;5,E15&lt;16),0,IF(E15&lt;6,'[1]Summary - Pricing'!$D$11,IF('TR 01 Inventory'!E15&gt;15,('TR 01 Inventory'!E15-15)*'[1]Summary - Pricing'!$D$12)))</f>
        <v>0</v>
      </c>
      <c r="R15" s="8">
        <f>SUM(O15:Q15)</f>
        <v>750</v>
      </c>
      <c r="S15" s="9">
        <f>R15*L15</f>
        <v>3412500</v>
      </c>
      <c r="T15" s="9">
        <v>750000</v>
      </c>
      <c r="U15" s="9">
        <f>HLOOKUP(F15,'[1]Summary - Pricing'!$D$3:$L$20,18,FALSE)*100000</f>
        <v>2250000</v>
      </c>
      <c r="V15" s="9">
        <f>SUM('[1]Summary - Pricing'!$D$18,'[1]Summary - Pricing'!$D$21)*'TR 01 Inventory'!L15</f>
        <v>2871050</v>
      </c>
      <c r="W15" s="9">
        <f>'[1]Summary - Pricing'!$D$7*'TR 01 Inventory'!L15</f>
        <v>61425000</v>
      </c>
      <c r="X15" s="8">
        <f>W15+V15+U15+T15+S15</f>
        <v>70708550</v>
      </c>
    </row>
    <row r="16" spans="1:24" x14ac:dyDescent="0.3">
      <c r="B16" s="10" t="s">
        <v>5</v>
      </c>
      <c r="C16" s="10" t="s">
        <v>4</v>
      </c>
      <c r="D16" s="10" t="s">
        <v>130</v>
      </c>
      <c r="E16" s="10">
        <v>14</v>
      </c>
      <c r="F16" s="10" t="s">
        <v>97</v>
      </c>
      <c r="G16" s="11">
        <v>263.85899999999998</v>
      </c>
      <c r="H16" s="11">
        <v>2840.1518900999995</v>
      </c>
      <c r="I16" s="11">
        <v>592.0145</v>
      </c>
      <c r="J16" s="11">
        <v>358.76100000000002</v>
      </c>
      <c r="K16" s="11">
        <v>3861.6675279000001</v>
      </c>
      <c r="L16" s="10">
        <v>4550</v>
      </c>
      <c r="M16" s="5" t="str">
        <f>HLOOKUP($F16,'[1]Summary - Pricing'!$D$3:$L$16,13,FALSE)</f>
        <v>Y</v>
      </c>
      <c r="N16" s="5" t="str">
        <f>HLOOKUP($F16,'[1]Summary - Pricing'!$D$3:$L$16,14,FALSE)</f>
        <v>N</v>
      </c>
      <c r="O16" s="9">
        <f>IF(M16="Y",'[1]Summary - Pricing'!$D$10,0)</f>
        <v>750</v>
      </c>
      <c r="P16" s="9">
        <f>IF(N16="Y",'[1]Summary - Pricing'!$D$13,0)</f>
        <v>0</v>
      </c>
      <c r="Q16" s="9">
        <f>IF(AND(E16&gt;5,E16&lt;16),0,IF(E16&lt;6,'[1]Summary - Pricing'!$D$11,IF('TR 01 Inventory'!E16&gt;15,('TR 01 Inventory'!E16-15)*'[1]Summary - Pricing'!$D$12)))</f>
        <v>0</v>
      </c>
      <c r="R16" s="8">
        <f>SUM(O16:Q16)</f>
        <v>750</v>
      </c>
      <c r="S16" s="9">
        <f>R16*L16</f>
        <v>3412500</v>
      </c>
      <c r="T16" s="9">
        <v>750000</v>
      </c>
      <c r="U16" s="9">
        <f>HLOOKUP(F16,'[1]Summary - Pricing'!$D$3:$L$20,18,FALSE)*100000</f>
        <v>2250000</v>
      </c>
      <c r="V16" s="9">
        <f>SUM('[1]Summary - Pricing'!$D$18,'[1]Summary - Pricing'!$D$21)*'TR 01 Inventory'!L16</f>
        <v>2871050</v>
      </c>
      <c r="W16" s="9">
        <f>'[1]Summary - Pricing'!$D$7*'TR 01 Inventory'!L16</f>
        <v>61425000</v>
      </c>
      <c r="X16" s="8">
        <f>W16+V16+U16+T16+S16</f>
        <v>70708550</v>
      </c>
    </row>
    <row r="17" spans="2:24" x14ac:dyDescent="0.3">
      <c r="B17" s="10" t="s">
        <v>5</v>
      </c>
      <c r="C17" s="10" t="s">
        <v>4</v>
      </c>
      <c r="D17" s="10" t="s">
        <v>129</v>
      </c>
      <c r="E17" s="10">
        <v>15</v>
      </c>
      <c r="F17" s="10" t="s">
        <v>97</v>
      </c>
      <c r="G17" s="11">
        <v>263.85899999999998</v>
      </c>
      <c r="H17" s="11">
        <v>2840.1518900999995</v>
      </c>
      <c r="I17" s="11">
        <v>592.0145</v>
      </c>
      <c r="J17" s="11">
        <v>358.76100000000002</v>
      </c>
      <c r="K17" s="11">
        <v>3861.6675279000001</v>
      </c>
      <c r="L17" s="10">
        <v>4550</v>
      </c>
      <c r="M17" s="5" t="str">
        <f>HLOOKUP($F17,'[1]Summary - Pricing'!$D$3:$L$16,13,FALSE)</f>
        <v>Y</v>
      </c>
      <c r="N17" s="5" t="str">
        <f>HLOOKUP($F17,'[1]Summary - Pricing'!$D$3:$L$16,14,FALSE)</f>
        <v>N</v>
      </c>
      <c r="O17" s="9">
        <f>IF(M17="Y",'[1]Summary - Pricing'!$D$10,0)</f>
        <v>750</v>
      </c>
      <c r="P17" s="9">
        <f>IF(N17="Y",'[1]Summary - Pricing'!$D$13,0)</f>
        <v>0</v>
      </c>
      <c r="Q17" s="9">
        <f>IF(AND(E17&gt;5,E17&lt;16),0,IF(E17&lt;6,'[1]Summary - Pricing'!$D$11,IF('TR 01 Inventory'!E17&gt;15,('TR 01 Inventory'!E17-15)*'[1]Summary - Pricing'!$D$12)))</f>
        <v>0</v>
      </c>
      <c r="R17" s="8">
        <f>SUM(O17:Q17)</f>
        <v>750</v>
      </c>
      <c r="S17" s="9">
        <f>R17*L17</f>
        <v>3412500</v>
      </c>
      <c r="T17" s="9">
        <v>750000</v>
      </c>
      <c r="U17" s="9">
        <f>HLOOKUP(F17,'[1]Summary - Pricing'!$D$3:$L$20,18,FALSE)*100000</f>
        <v>2250000</v>
      </c>
      <c r="V17" s="9">
        <f>SUM('[1]Summary - Pricing'!$D$18,'[1]Summary - Pricing'!$D$21)*'TR 01 Inventory'!L17</f>
        <v>2871050</v>
      </c>
      <c r="W17" s="9">
        <f>'[1]Summary - Pricing'!$D$7*'TR 01 Inventory'!L17</f>
        <v>61425000</v>
      </c>
      <c r="X17" s="8">
        <f>W17+V17+U17+T17+S17</f>
        <v>70708550</v>
      </c>
    </row>
    <row r="18" spans="2:24" x14ac:dyDescent="0.3">
      <c r="B18" s="10" t="s">
        <v>5</v>
      </c>
      <c r="C18" s="10" t="s">
        <v>4</v>
      </c>
      <c r="D18" s="10" t="s">
        <v>128</v>
      </c>
      <c r="E18" s="10">
        <v>16</v>
      </c>
      <c r="F18" s="10" t="s">
        <v>97</v>
      </c>
      <c r="G18" s="11">
        <v>263.85899999999998</v>
      </c>
      <c r="H18" s="11">
        <v>2840.1518900999995</v>
      </c>
      <c r="I18" s="11">
        <v>592.0145</v>
      </c>
      <c r="J18" s="11">
        <v>358.76100000000002</v>
      </c>
      <c r="K18" s="11">
        <v>3861.6675279000001</v>
      </c>
      <c r="L18" s="10">
        <v>4550</v>
      </c>
      <c r="M18" s="5" t="str">
        <f>HLOOKUP($F18,'[1]Summary - Pricing'!$D$3:$L$16,13,FALSE)</f>
        <v>Y</v>
      </c>
      <c r="N18" s="5" t="str">
        <f>HLOOKUP($F18,'[1]Summary - Pricing'!$D$3:$L$16,14,FALSE)</f>
        <v>N</v>
      </c>
      <c r="O18" s="9">
        <f>IF(M18="Y",'[1]Summary - Pricing'!$D$10,0)</f>
        <v>750</v>
      </c>
      <c r="P18" s="9">
        <f>IF(N18="Y",'[1]Summary - Pricing'!$D$13,0)</f>
        <v>0</v>
      </c>
      <c r="Q18" s="9">
        <f>IF(AND(E18&gt;5,E18&lt;16),0,IF(E18&lt;6,'[1]Summary - Pricing'!$D$11,IF('TR 01 Inventory'!E18&gt;15,('TR 01 Inventory'!E18-15)*'[1]Summary - Pricing'!$D$12)))</f>
        <v>50</v>
      </c>
      <c r="R18" s="8">
        <f>SUM(O18:Q18)</f>
        <v>800</v>
      </c>
      <c r="S18" s="9">
        <f>R18*L18</f>
        <v>3640000</v>
      </c>
      <c r="T18" s="9">
        <v>750000</v>
      </c>
      <c r="U18" s="9">
        <f>HLOOKUP(F18,'[1]Summary - Pricing'!$D$3:$L$20,18,FALSE)*100000</f>
        <v>2250000</v>
      </c>
      <c r="V18" s="9">
        <f>SUM('[1]Summary - Pricing'!$D$18,'[1]Summary - Pricing'!$D$21)*'TR 01 Inventory'!L18</f>
        <v>2871050</v>
      </c>
      <c r="W18" s="9">
        <f>'[1]Summary - Pricing'!$D$7*'TR 01 Inventory'!L18</f>
        <v>61425000</v>
      </c>
      <c r="X18" s="8">
        <f>W18+V18+U18+T18+S18</f>
        <v>70936050</v>
      </c>
    </row>
    <row r="19" spans="2:24" x14ac:dyDescent="0.3">
      <c r="B19" s="10" t="s">
        <v>5</v>
      </c>
      <c r="C19" s="10" t="s">
        <v>4</v>
      </c>
      <c r="D19" s="10" t="s">
        <v>127</v>
      </c>
      <c r="E19" s="10">
        <v>17</v>
      </c>
      <c r="F19" s="10" t="s">
        <v>97</v>
      </c>
      <c r="G19" s="11">
        <v>263.85899999999998</v>
      </c>
      <c r="H19" s="11">
        <v>2840.1518900999995</v>
      </c>
      <c r="I19" s="11">
        <v>592.0145</v>
      </c>
      <c r="J19" s="11">
        <v>358.76100000000002</v>
      </c>
      <c r="K19" s="11">
        <v>3861.6675279000001</v>
      </c>
      <c r="L19" s="10">
        <v>4550</v>
      </c>
      <c r="M19" s="5" t="str">
        <f>HLOOKUP($F19,'[1]Summary - Pricing'!$D$3:$L$16,13,FALSE)</f>
        <v>Y</v>
      </c>
      <c r="N19" s="5" t="str">
        <f>HLOOKUP($F19,'[1]Summary - Pricing'!$D$3:$L$16,14,FALSE)</f>
        <v>N</v>
      </c>
      <c r="O19" s="9">
        <f>IF(M19="Y",'[1]Summary - Pricing'!$D$10,0)</f>
        <v>750</v>
      </c>
      <c r="P19" s="9">
        <f>IF(N19="Y",'[1]Summary - Pricing'!$D$13,0)</f>
        <v>0</v>
      </c>
      <c r="Q19" s="9">
        <f>IF(AND(E19&gt;5,E19&lt;16),0,IF(E19&lt;6,'[1]Summary - Pricing'!$D$11,IF('TR 01 Inventory'!E19&gt;15,('TR 01 Inventory'!E19-15)*'[1]Summary - Pricing'!$D$12)))</f>
        <v>100</v>
      </c>
      <c r="R19" s="8">
        <f>SUM(O19:Q19)</f>
        <v>850</v>
      </c>
      <c r="S19" s="9">
        <f>R19*L19</f>
        <v>3867500</v>
      </c>
      <c r="T19" s="9">
        <v>750000</v>
      </c>
      <c r="U19" s="9">
        <f>HLOOKUP(F19,'[1]Summary - Pricing'!$D$3:$L$20,18,FALSE)*100000</f>
        <v>2250000</v>
      </c>
      <c r="V19" s="9">
        <f>SUM('[1]Summary - Pricing'!$D$18,'[1]Summary - Pricing'!$D$21)*'TR 01 Inventory'!L19</f>
        <v>2871050</v>
      </c>
      <c r="W19" s="9">
        <f>'[1]Summary - Pricing'!$D$7*'TR 01 Inventory'!L19</f>
        <v>61425000</v>
      </c>
      <c r="X19" s="8">
        <f>W19+V19+U19+T19+S19</f>
        <v>71163550</v>
      </c>
    </row>
    <row r="20" spans="2:24" x14ac:dyDescent="0.3">
      <c r="B20" s="10" t="s">
        <v>5</v>
      </c>
      <c r="C20" s="10" t="s">
        <v>4</v>
      </c>
      <c r="D20" s="10" t="s">
        <v>126</v>
      </c>
      <c r="E20" s="10">
        <v>18</v>
      </c>
      <c r="F20" s="10" t="s">
        <v>97</v>
      </c>
      <c r="G20" s="11">
        <v>263.85899999999998</v>
      </c>
      <c r="H20" s="11">
        <v>2840.1518900999995</v>
      </c>
      <c r="I20" s="11">
        <v>592.0145</v>
      </c>
      <c r="J20" s="11">
        <v>358.76100000000002</v>
      </c>
      <c r="K20" s="11">
        <v>3861.6675279000001</v>
      </c>
      <c r="L20" s="10">
        <v>4550</v>
      </c>
      <c r="M20" s="5" t="str">
        <f>HLOOKUP($F20,'[1]Summary - Pricing'!$D$3:$L$16,13,FALSE)</f>
        <v>Y</v>
      </c>
      <c r="N20" s="5" t="str">
        <f>HLOOKUP($F20,'[1]Summary - Pricing'!$D$3:$L$16,14,FALSE)</f>
        <v>N</v>
      </c>
      <c r="O20" s="9">
        <f>IF(M20="Y",'[1]Summary - Pricing'!$D$10,0)</f>
        <v>750</v>
      </c>
      <c r="P20" s="9">
        <f>IF(N20="Y",'[1]Summary - Pricing'!$D$13,0)</f>
        <v>0</v>
      </c>
      <c r="Q20" s="9">
        <f>IF(AND(E20&gt;5,E20&lt;16),0,IF(E20&lt;6,'[1]Summary - Pricing'!$D$11,IF('TR 01 Inventory'!E20&gt;15,('TR 01 Inventory'!E20-15)*'[1]Summary - Pricing'!$D$12)))</f>
        <v>150</v>
      </c>
      <c r="R20" s="8">
        <f>SUM(O20:Q20)</f>
        <v>900</v>
      </c>
      <c r="S20" s="9">
        <f>R20*L20</f>
        <v>4095000</v>
      </c>
      <c r="T20" s="9">
        <v>750000</v>
      </c>
      <c r="U20" s="9">
        <f>HLOOKUP(F20,'[1]Summary - Pricing'!$D$3:$L$20,18,FALSE)*100000</f>
        <v>2250000</v>
      </c>
      <c r="V20" s="9">
        <f>SUM('[1]Summary - Pricing'!$D$18,'[1]Summary - Pricing'!$D$21)*'TR 01 Inventory'!L20</f>
        <v>2871050</v>
      </c>
      <c r="W20" s="9">
        <f>'[1]Summary - Pricing'!$D$7*'TR 01 Inventory'!L20</f>
        <v>61425000</v>
      </c>
      <c r="X20" s="8">
        <f>W20+V20+U20+T20+S20</f>
        <v>71391050</v>
      </c>
    </row>
    <row r="21" spans="2:24" x14ac:dyDescent="0.3">
      <c r="B21" s="10" t="s">
        <v>5</v>
      </c>
      <c r="C21" s="10" t="s">
        <v>4</v>
      </c>
      <c r="D21" s="10" t="s">
        <v>125</v>
      </c>
      <c r="E21" s="10">
        <v>19</v>
      </c>
      <c r="F21" s="10" t="s">
        <v>97</v>
      </c>
      <c r="G21" s="11">
        <v>263.85899999999998</v>
      </c>
      <c r="H21" s="11">
        <v>2840.1518900999995</v>
      </c>
      <c r="I21" s="11">
        <v>592.0145</v>
      </c>
      <c r="J21" s="11">
        <v>358.76100000000002</v>
      </c>
      <c r="K21" s="11">
        <v>3861.6675279000001</v>
      </c>
      <c r="L21" s="10">
        <v>4550</v>
      </c>
      <c r="M21" s="5" t="str">
        <f>HLOOKUP($F21,'[1]Summary - Pricing'!$D$3:$L$16,13,FALSE)</f>
        <v>Y</v>
      </c>
      <c r="N21" s="5" t="str">
        <f>HLOOKUP($F21,'[1]Summary - Pricing'!$D$3:$L$16,14,FALSE)</f>
        <v>N</v>
      </c>
      <c r="O21" s="9">
        <f>IF(M21="Y",'[1]Summary - Pricing'!$D$10,0)</f>
        <v>750</v>
      </c>
      <c r="P21" s="9">
        <f>IF(N21="Y",'[1]Summary - Pricing'!$D$13,0)</f>
        <v>0</v>
      </c>
      <c r="Q21" s="9">
        <f>IF(AND(E21&gt;5,E21&lt;16),0,IF(E21&lt;6,'[1]Summary - Pricing'!$D$11,IF('TR 01 Inventory'!E21&gt;15,('TR 01 Inventory'!E21-15)*'[1]Summary - Pricing'!$D$12)))</f>
        <v>200</v>
      </c>
      <c r="R21" s="8">
        <f>SUM(O21:Q21)</f>
        <v>950</v>
      </c>
      <c r="S21" s="9">
        <f>R21*L21</f>
        <v>4322500</v>
      </c>
      <c r="T21" s="9">
        <v>750000</v>
      </c>
      <c r="U21" s="9">
        <f>HLOOKUP(F21,'[1]Summary - Pricing'!$D$3:$L$20,18,FALSE)*100000</f>
        <v>2250000</v>
      </c>
      <c r="V21" s="9">
        <f>SUM('[1]Summary - Pricing'!$D$18,'[1]Summary - Pricing'!$D$21)*'TR 01 Inventory'!L21</f>
        <v>2871050</v>
      </c>
      <c r="W21" s="9">
        <f>'[1]Summary - Pricing'!$D$7*'TR 01 Inventory'!L21</f>
        <v>61425000</v>
      </c>
      <c r="X21" s="8">
        <f>W21+V21+U21+T21+S21</f>
        <v>71618550</v>
      </c>
    </row>
    <row r="22" spans="2:24" x14ac:dyDescent="0.3">
      <c r="B22" s="10" t="s">
        <v>5</v>
      </c>
      <c r="C22" s="10" t="s">
        <v>4</v>
      </c>
      <c r="D22" s="10" t="s">
        <v>124</v>
      </c>
      <c r="E22" s="10">
        <v>20</v>
      </c>
      <c r="F22" s="10" t="s">
        <v>97</v>
      </c>
      <c r="G22" s="11">
        <v>263.85899999999998</v>
      </c>
      <c r="H22" s="11">
        <v>2840.1518900999995</v>
      </c>
      <c r="I22" s="11">
        <v>592.0145</v>
      </c>
      <c r="J22" s="11">
        <v>358.76100000000002</v>
      </c>
      <c r="K22" s="11">
        <v>3861.6675279000001</v>
      </c>
      <c r="L22" s="10">
        <v>4550</v>
      </c>
      <c r="M22" s="5" t="str">
        <f>HLOOKUP($F22,'[1]Summary - Pricing'!$D$3:$L$16,13,FALSE)</f>
        <v>Y</v>
      </c>
      <c r="N22" s="5" t="str">
        <f>HLOOKUP($F22,'[1]Summary - Pricing'!$D$3:$L$16,14,FALSE)</f>
        <v>N</v>
      </c>
      <c r="O22" s="9">
        <f>IF(M22="Y",'[1]Summary - Pricing'!$D$10,0)</f>
        <v>750</v>
      </c>
      <c r="P22" s="9">
        <f>IF(N22="Y",'[1]Summary - Pricing'!$D$13,0)</f>
        <v>0</v>
      </c>
      <c r="Q22" s="9">
        <f>IF(AND(E22&gt;5,E22&lt;16),0,IF(E22&lt;6,'[1]Summary - Pricing'!$D$11,IF('TR 01 Inventory'!E22&gt;15,('TR 01 Inventory'!E22-15)*'[1]Summary - Pricing'!$D$12)))</f>
        <v>250</v>
      </c>
      <c r="R22" s="8">
        <f>SUM(O22:Q22)</f>
        <v>1000</v>
      </c>
      <c r="S22" s="9">
        <f>R22*L22</f>
        <v>4550000</v>
      </c>
      <c r="T22" s="9">
        <v>750000</v>
      </c>
      <c r="U22" s="9">
        <f>HLOOKUP(F22,'[1]Summary - Pricing'!$D$3:$L$20,18,FALSE)*100000</f>
        <v>2250000</v>
      </c>
      <c r="V22" s="9">
        <f>SUM('[1]Summary - Pricing'!$D$18,'[1]Summary - Pricing'!$D$21)*'TR 01 Inventory'!L22</f>
        <v>2871050</v>
      </c>
      <c r="W22" s="9">
        <f>'[1]Summary - Pricing'!$D$7*'TR 01 Inventory'!L22</f>
        <v>61425000</v>
      </c>
      <c r="X22" s="8">
        <f>W22+V22+U22+T22+S22</f>
        <v>71846050</v>
      </c>
    </row>
    <row r="23" spans="2:24" x14ac:dyDescent="0.3">
      <c r="B23" s="10" t="s">
        <v>5</v>
      </c>
      <c r="C23" s="10" t="s">
        <v>4</v>
      </c>
      <c r="D23" s="10" t="s">
        <v>123</v>
      </c>
      <c r="E23" s="10">
        <v>21</v>
      </c>
      <c r="F23" s="10" t="s">
        <v>97</v>
      </c>
      <c r="G23" s="11">
        <v>263.85899999999998</v>
      </c>
      <c r="H23" s="11">
        <v>2840.1518900999995</v>
      </c>
      <c r="I23" s="11">
        <v>592.0145</v>
      </c>
      <c r="J23" s="11">
        <v>358.76100000000002</v>
      </c>
      <c r="K23" s="11">
        <v>3861.6675279000001</v>
      </c>
      <c r="L23" s="10">
        <v>4550</v>
      </c>
      <c r="M23" s="5" t="str">
        <f>HLOOKUP($F23,'[1]Summary - Pricing'!$D$3:$L$16,13,FALSE)</f>
        <v>Y</v>
      </c>
      <c r="N23" s="5" t="str">
        <f>HLOOKUP($F23,'[1]Summary - Pricing'!$D$3:$L$16,14,FALSE)</f>
        <v>N</v>
      </c>
      <c r="O23" s="9">
        <f>IF(M23="Y",'[1]Summary - Pricing'!$D$10,0)</f>
        <v>750</v>
      </c>
      <c r="P23" s="9">
        <f>IF(N23="Y",'[1]Summary - Pricing'!$D$13,0)</f>
        <v>0</v>
      </c>
      <c r="Q23" s="9">
        <f>IF(AND(E23&gt;5,E23&lt;16),0,IF(E23&lt;6,'[1]Summary - Pricing'!$D$11,IF('TR 01 Inventory'!E23&gt;15,('TR 01 Inventory'!E23-15)*'[1]Summary - Pricing'!$D$12)))</f>
        <v>300</v>
      </c>
      <c r="R23" s="8">
        <f>SUM(O23:Q23)</f>
        <v>1050</v>
      </c>
      <c r="S23" s="9">
        <f>R23*L23</f>
        <v>4777500</v>
      </c>
      <c r="T23" s="9">
        <v>750000</v>
      </c>
      <c r="U23" s="9">
        <f>HLOOKUP(F23,'[1]Summary - Pricing'!$D$3:$L$20,18,FALSE)*100000</f>
        <v>2250000</v>
      </c>
      <c r="V23" s="9">
        <f>SUM('[1]Summary - Pricing'!$D$18,'[1]Summary - Pricing'!$D$21)*'TR 01 Inventory'!L23</f>
        <v>2871050</v>
      </c>
      <c r="W23" s="9">
        <f>'[1]Summary - Pricing'!$D$7*'TR 01 Inventory'!L23</f>
        <v>61425000</v>
      </c>
      <c r="X23" s="8">
        <f>W23+V23+U23+T23+S23</f>
        <v>72073550</v>
      </c>
    </row>
    <row r="24" spans="2:24" x14ac:dyDescent="0.3">
      <c r="B24" s="10" t="s">
        <v>5</v>
      </c>
      <c r="C24" s="10" t="s">
        <v>4</v>
      </c>
      <c r="D24" s="10" t="s">
        <v>122</v>
      </c>
      <c r="E24" s="10">
        <v>22</v>
      </c>
      <c r="F24" s="10" t="s">
        <v>97</v>
      </c>
      <c r="G24" s="11">
        <v>263.85899999999998</v>
      </c>
      <c r="H24" s="11">
        <v>2840.1518900999995</v>
      </c>
      <c r="I24" s="11">
        <v>592.0145</v>
      </c>
      <c r="J24" s="11">
        <v>358.76100000000002</v>
      </c>
      <c r="K24" s="11">
        <v>3861.6675279000001</v>
      </c>
      <c r="L24" s="10">
        <v>4550</v>
      </c>
      <c r="M24" s="5" t="str">
        <f>HLOOKUP($F24,'[1]Summary - Pricing'!$D$3:$L$16,13,FALSE)</f>
        <v>Y</v>
      </c>
      <c r="N24" s="5" t="str">
        <f>HLOOKUP($F24,'[1]Summary - Pricing'!$D$3:$L$16,14,FALSE)</f>
        <v>N</v>
      </c>
      <c r="O24" s="9">
        <f>IF(M24="Y",'[1]Summary - Pricing'!$D$10,0)</f>
        <v>750</v>
      </c>
      <c r="P24" s="9">
        <f>IF(N24="Y",'[1]Summary - Pricing'!$D$13,0)</f>
        <v>0</v>
      </c>
      <c r="Q24" s="9">
        <f>IF(AND(E24&gt;5,E24&lt;16),0,IF(E24&lt;6,'[1]Summary - Pricing'!$D$11,IF('TR 01 Inventory'!E24&gt;15,('TR 01 Inventory'!E24-15)*'[1]Summary - Pricing'!$D$12)))</f>
        <v>350</v>
      </c>
      <c r="R24" s="8">
        <f>SUM(O24:Q24)</f>
        <v>1100</v>
      </c>
      <c r="S24" s="9">
        <f>R24*L24</f>
        <v>5005000</v>
      </c>
      <c r="T24" s="9">
        <v>750000</v>
      </c>
      <c r="U24" s="9">
        <f>HLOOKUP(F24,'[1]Summary - Pricing'!$D$3:$L$20,18,FALSE)*100000</f>
        <v>2250000</v>
      </c>
      <c r="V24" s="9">
        <f>SUM('[1]Summary - Pricing'!$D$18,'[1]Summary - Pricing'!$D$21)*'TR 01 Inventory'!L24</f>
        <v>2871050</v>
      </c>
      <c r="W24" s="9">
        <f>'[1]Summary - Pricing'!$D$7*'TR 01 Inventory'!L24</f>
        <v>61425000</v>
      </c>
      <c r="X24" s="8">
        <f>W24+V24+U24+T24+S24</f>
        <v>72301050</v>
      </c>
    </row>
    <row r="25" spans="2:24" x14ac:dyDescent="0.3">
      <c r="B25" s="10" t="s">
        <v>5</v>
      </c>
      <c r="C25" s="10" t="s">
        <v>4</v>
      </c>
      <c r="D25" s="10" t="s">
        <v>121</v>
      </c>
      <c r="E25" s="10">
        <v>23</v>
      </c>
      <c r="F25" s="10" t="s">
        <v>97</v>
      </c>
      <c r="G25" s="11">
        <v>263.85899999999998</v>
      </c>
      <c r="H25" s="11">
        <v>2840.1518900999995</v>
      </c>
      <c r="I25" s="11">
        <v>592.0145</v>
      </c>
      <c r="J25" s="11">
        <v>358.76100000000002</v>
      </c>
      <c r="K25" s="11">
        <v>3861.6675279000001</v>
      </c>
      <c r="L25" s="10">
        <v>4550</v>
      </c>
      <c r="M25" s="5" t="str">
        <f>HLOOKUP($F25,'[1]Summary - Pricing'!$D$3:$L$16,13,FALSE)</f>
        <v>Y</v>
      </c>
      <c r="N25" s="5" t="str">
        <f>HLOOKUP($F25,'[1]Summary - Pricing'!$D$3:$L$16,14,FALSE)</f>
        <v>N</v>
      </c>
      <c r="O25" s="9">
        <f>IF(M25="Y",'[1]Summary - Pricing'!$D$10,0)</f>
        <v>750</v>
      </c>
      <c r="P25" s="9">
        <f>IF(N25="Y",'[1]Summary - Pricing'!$D$13,0)</f>
        <v>0</v>
      </c>
      <c r="Q25" s="9">
        <f>IF(AND(E25&gt;5,E25&lt;16),0,IF(E25&lt;6,'[1]Summary - Pricing'!$D$11,IF('TR 01 Inventory'!E25&gt;15,('TR 01 Inventory'!E25-15)*'[1]Summary - Pricing'!$D$12)))</f>
        <v>400</v>
      </c>
      <c r="R25" s="8">
        <f>SUM(O25:Q25)</f>
        <v>1150</v>
      </c>
      <c r="S25" s="9">
        <f>R25*L25</f>
        <v>5232500</v>
      </c>
      <c r="T25" s="9">
        <v>750000</v>
      </c>
      <c r="U25" s="9">
        <f>HLOOKUP(F25,'[1]Summary - Pricing'!$D$3:$L$20,18,FALSE)*100000</f>
        <v>2250000</v>
      </c>
      <c r="V25" s="9">
        <f>SUM('[1]Summary - Pricing'!$D$18,'[1]Summary - Pricing'!$D$21)*'TR 01 Inventory'!L25</f>
        <v>2871050</v>
      </c>
      <c r="W25" s="9">
        <f>'[1]Summary - Pricing'!$D$7*'TR 01 Inventory'!L25</f>
        <v>61425000</v>
      </c>
      <c r="X25" s="8">
        <f>W25+V25+U25+T25+S25</f>
        <v>72528550</v>
      </c>
    </row>
    <row r="26" spans="2:24" x14ac:dyDescent="0.3">
      <c r="B26" s="10" t="s">
        <v>5</v>
      </c>
      <c r="C26" s="10" t="s">
        <v>4</v>
      </c>
      <c r="D26" s="10" t="s">
        <v>120</v>
      </c>
      <c r="E26" s="10">
        <v>24</v>
      </c>
      <c r="F26" s="10" t="s">
        <v>97</v>
      </c>
      <c r="G26" s="11">
        <v>263.85899999999998</v>
      </c>
      <c r="H26" s="11">
        <v>2840.1518900999995</v>
      </c>
      <c r="I26" s="11">
        <v>592.0145</v>
      </c>
      <c r="J26" s="11">
        <v>358.76100000000002</v>
      </c>
      <c r="K26" s="11">
        <v>3861.6675279000001</v>
      </c>
      <c r="L26" s="10">
        <v>4550</v>
      </c>
      <c r="M26" s="5" t="str">
        <f>HLOOKUP($F26,'[1]Summary - Pricing'!$D$3:$L$16,13,FALSE)</f>
        <v>Y</v>
      </c>
      <c r="N26" s="5" t="str">
        <f>HLOOKUP($F26,'[1]Summary - Pricing'!$D$3:$L$16,14,FALSE)</f>
        <v>N</v>
      </c>
      <c r="O26" s="9">
        <f>IF(M26="Y",'[1]Summary - Pricing'!$D$10,0)</f>
        <v>750</v>
      </c>
      <c r="P26" s="9">
        <f>IF(N26="Y",'[1]Summary - Pricing'!$D$13,0)</f>
        <v>0</v>
      </c>
      <c r="Q26" s="9">
        <f>IF(AND(E26&gt;5,E26&lt;16),0,IF(E26&lt;6,'[1]Summary - Pricing'!$D$11,IF('TR 01 Inventory'!E26&gt;15,('TR 01 Inventory'!E26-15)*'[1]Summary - Pricing'!$D$12)))</f>
        <v>450</v>
      </c>
      <c r="R26" s="8">
        <f>SUM(O26:Q26)</f>
        <v>1200</v>
      </c>
      <c r="S26" s="9">
        <f>R26*L26</f>
        <v>5460000</v>
      </c>
      <c r="T26" s="9">
        <v>750000</v>
      </c>
      <c r="U26" s="9">
        <f>HLOOKUP(F26,'[1]Summary - Pricing'!$D$3:$L$20,18,FALSE)*100000</f>
        <v>2250000</v>
      </c>
      <c r="V26" s="9">
        <f>SUM('[1]Summary - Pricing'!$D$18,'[1]Summary - Pricing'!$D$21)*'TR 01 Inventory'!L26</f>
        <v>2871050</v>
      </c>
      <c r="W26" s="9">
        <f>'[1]Summary - Pricing'!$D$7*'TR 01 Inventory'!L26</f>
        <v>61425000</v>
      </c>
      <c r="X26" s="8">
        <f>W26+V26+U26+T26+S26</f>
        <v>72756050</v>
      </c>
    </row>
    <row r="27" spans="2:24" x14ac:dyDescent="0.3">
      <c r="B27" s="10" t="s">
        <v>5</v>
      </c>
      <c r="C27" s="10" t="s">
        <v>4</v>
      </c>
      <c r="D27" s="10" t="s">
        <v>119</v>
      </c>
      <c r="E27" s="10">
        <v>25</v>
      </c>
      <c r="F27" s="10" t="s">
        <v>97</v>
      </c>
      <c r="G27" s="11">
        <v>263.85899999999998</v>
      </c>
      <c r="H27" s="11">
        <v>2840.1518900999995</v>
      </c>
      <c r="I27" s="11">
        <v>592.0145</v>
      </c>
      <c r="J27" s="11">
        <v>358.76100000000002</v>
      </c>
      <c r="K27" s="11">
        <v>3861.6675279000001</v>
      </c>
      <c r="L27" s="10">
        <v>4550</v>
      </c>
      <c r="M27" s="5" t="str">
        <f>HLOOKUP($F27,'[1]Summary - Pricing'!$D$3:$L$16,13,FALSE)</f>
        <v>Y</v>
      </c>
      <c r="N27" s="5" t="str">
        <f>HLOOKUP($F27,'[1]Summary - Pricing'!$D$3:$L$16,14,FALSE)</f>
        <v>N</v>
      </c>
      <c r="O27" s="9">
        <f>IF(M27="Y",'[1]Summary - Pricing'!$D$10,0)</f>
        <v>750</v>
      </c>
      <c r="P27" s="9">
        <f>IF(N27="Y",'[1]Summary - Pricing'!$D$13,0)</f>
        <v>0</v>
      </c>
      <c r="Q27" s="9">
        <f>IF(AND(E27&gt;5,E27&lt;16),0,IF(E27&lt;6,'[1]Summary - Pricing'!$D$11,IF('TR 01 Inventory'!E27&gt;15,('TR 01 Inventory'!E27-15)*'[1]Summary - Pricing'!$D$12)))</f>
        <v>500</v>
      </c>
      <c r="R27" s="8">
        <f>SUM(O27:Q27)</f>
        <v>1250</v>
      </c>
      <c r="S27" s="9">
        <f>R27*L27</f>
        <v>5687500</v>
      </c>
      <c r="T27" s="9">
        <v>750000</v>
      </c>
      <c r="U27" s="9">
        <f>HLOOKUP(F27,'[1]Summary - Pricing'!$D$3:$L$20,18,FALSE)*100000</f>
        <v>2250000</v>
      </c>
      <c r="V27" s="9">
        <f>SUM('[1]Summary - Pricing'!$D$18,'[1]Summary - Pricing'!$D$21)*'TR 01 Inventory'!L27</f>
        <v>2871050</v>
      </c>
      <c r="W27" s="9">
        <f>'[1]Summary - Pricing'!$D$7*'TR 01 Inventory'!L27</f>
        <v>61425000</v>
      </c>
      <c r="X27" s="8">
        <f>W27+V27+U27+T27+S27</f>
        <v>72983550</v>
      </c>
    </row>
    <row r="28" spans="2:24" x14ac:dyDescent="0.3">
      <c r="B28" s="10" t="s">
        <v>5</v>
      </c>
      <c r="C28" s="10" t="s">
        <v>4</v>
      </c>
      <c r="D28" s="10" t="s">
        <v>118</v>
      </c>
      <c r="E28" s="10">
        <v>26</v>
      </c>
      <c r="F28" s="10" t="s">
        <v>97</v>
      </c>
      <c r="G28" s="11">
        <v>263.85899999999998</v>
      </c>
      <c r="H28" s="11">
        <v>2840.1518900999995</v>
      </c>
      <c r="I28" s="11">
        <v>592.0145</v>
      </c>
      <c r="J28" s="11">
        <v>358.76100000000002</v>
      </c>
      <c r="K28" s="11">
        <v>3861.6675279000001</v>
      </c>
      <c r="L28" s="10">
        <v>4550</v>
      </c>
      <c r="M28" s="5" t="str">
        <f>HLOOKUP($F28,'[1]Summary - Pricing'!$D$3:$L$16,13,FALSE)</f>
        <v>Y</v>
      </c>
      <c r="N28" s="5" t="str">
        <f>HLOOKUP($F28,'[1]Summary - Pricing'!$D$3:$L$16,14,FALSE)</f>
        <v>N</v>
      </c>
      <c r="O28" s="9">
        <f>IF(M28="Y",'[1]Summary - Pricing'!$D$10,0)</f>
        <v>750</v>
      </c>
      <c r="P28" s="9">
        <f>IF(N28="Y",'[1]Summary - Pricing'!$D$13,0)</f>
        <v>0</v>
      </c>
      <c r="Q28" s="9">
        <f>IF(AND(E28&gt;5,E28&lt;16),0,IF(E28&lt;6,'[1]Summary - Pricing'!$D$11,IF('TR 01 Inventory'!E28&gt;15,('TR 01 Inventory'!E28-15)*'[1]Summary - Pricing'!$D$12)))</f>
        <v>550</v>
      </c>
      <c r="R28" s="8">
        <f>SUM(O28:Q28)</f>
        <v>1300</v>
      </c>
      <c r="S28" s="9">
        <f>R28*L28</f>
        <v>5915000</v>
      </c>
      <c r="T28" s="9">
        <v>750000</v>
      </c>
      <c r="U28" s="9">
        <f>HLOOKUP(F28,'[1]Summary - Pricing'!$D$3:$L$20,18,FALSE)*100000</f>
        <v>2250000</v>
      </c>
      <c r="V28" s="9">
        <f>SUM('[1]Summary - Pricing'!$D$18,'[1]Summary - Pricing'!$D$21)*'TR 01 Inventory'!L28</f>
        <v>2871050</v>
      </c>
      <c r="W28" s="9">
        <f>'[1]Summary - Pricing'!$D$7*'TR 01 Inventory'!L28</f>
        <v>61425000</v>
      </c>
      <c r="X28" s="8">
        <f>W28+V28+U28+T28+S28</f>
        <v>73211050</v>
      </c>
    </row>
    <row r="29" spans="2:24" x14ac:dyDescent="0.3">
      <c r="B29" s="10" t="s">
        <v>5</v>
      </c>
      <c r="C29" s="10" t="s">
        <v>4</v>
      </c>
      <c r="D29" s="10" t="s">
        <v>117</v>
      </c>
      <c r="E29" s="10">
        <v>27</v>
      </c>
      <c r="F29" s="10" t="s">
        <v>97</v>
      </c>
      <c r="G29" s="11">
        <v>263.85899999999998</v>
      </c>
      <c r="H29" s="11">
        <v>2840.1518900999995</v>
      </c>
      <c r="I29" s="11">
        <v>592.0145</v>
      </c>
      <c r="J29" s="11">
        <v>358.76100000000002</v>
      </c>
      <c r="K29" s="11">
        <v>3861.6675279000001</v>
      </c>
      <c r="L29" s="10">
        <v>4550</v>
      </c>
      <c r="M29" s="5" t="str">
        <f>HLOOKUP($F29,'[1]Summary - Pricing'!$D$3:$L$16,13,FALSE)</f>
        <v>Y</v>
      </c>
      <c r="N29" s="5" t="str">
        <f>HLOOKUP($F29,'[1]Summary - Pricing'!$D$3:$L$16,14,FALSE)</f>
        <v>N</v>
      </c>
      <c r="O29" s="9">
        <f>IF(M29="Y",'[1]Summary - Pricing'!$D$10,0)</f>
        <v>750</v>
      </c>
      <c r="P29" s="9">
        <f>IF(N29="Y",'[1]Summary - Pricing'!$D$13,0)</f>
        <v>0</v>
      </c>
      <c r="Q29" s="9">
        <f>IF(AND(E29&gt;5,E29&lt;16),0,IF(E29&lt;6,'[1]Summary - Pricing'!$D$11,IF('TR 01 Inventory'!E29&gt;15,('TR 01 Inventory'!E29-15)*'[1]Summary - Pricing'!$D$12)))</f>
        <v>600</v>
      </c>
      <c r="R29" s="8">
        <f>SUM(O29:Q29)</f>
        <v>1350</v>
      </c>
      <c r="S29" s="9">
        <f>R29*L29</f>
        <v>6142500</v>
      </c>
      <c r="T29" s="9">
        <v>750000</v>
      </c>
      <c r="U29" s="9">
        <f>HLOOKUP(F29,'[1]Summary - Pricing'!$D$3:$L$20,18,FALSE)*100000</f>
        <v>2250000</v>
      </c>
      <c r="V29" s="9">
        <f>SUM('[1]Summary - Pricing'!$D$18,'[1]Summary - Pricing'!$D$21)*'TR 01 Inventory'!L29</f>
        <v>2871050</v>
      </c>
      <c r="W29" s="9">
        <f>'[1]Summary - Pricing'!$D$7*'TR 01 Inventory'!L29</f>
        <v>61425000</v>
      </c>
      <c r="X29" s="8">
        <f>W29+V29+U29+T29+S29</f>
        <v>73438550</v>
      </c>
    </row>
    <row r="30" spans="2:24" x14ac:dyDescent="0.3">
      <c r="B30" s="10" t="s">
        <v>5</v>
      </c>
      <c r="C30" s="10" t="s">
        <v>4</v>
      </c>
      <c r="D30" s="10" t="s">
        <v>116</v>
      </c>
      <c r="E30" s="10">
        <v>28</v>
      </c>
      <c r="F30" s="10" t="s">
        <v>97</v>
      </c>
      <c r="G30" s="11">
        <v>263.85899999999998</v>
      </c>
      <c r="H30" s="11">
        <v>2840.1518900999995</v>
      </c>
      <c r="I30" s="11">
        <v>592.0145</v>
      </c>
      <c r="J30" s="11">
        <v>358.76100000000002</v>
      </c>
      <c r="K30" s="11">
        <v>3861.6675279000001</v>
      </c>
      <c r="L30" s="10">
        <v>4550</v>
      </c>
      <c r="M30" s="5" t="str">
        <f>HLOOKUP($F30,'[1]Summary - Pricing'!$D$3:$L$16,13,FALSE)</f>
        <v>Y</v>
      </c>
      <c r="N30" s="5" t="str">
        <f>HLOOKUP($F30,'[1]Summary - Pricing'!$D$3:$L$16,14,FALSE)</f>
        <v>N</v>
      </c>
      <c r="O30" s="9">
        <f>IF(M30="Y",'[1]Summary - Pricing'!$D$10,0)</f>
        <v>750</v>
      </c>
      <c r="P30" s="9">
        <f>IF(N30="Y",'[1]Summary - Pricing'!$D$13,0)</f>
        <v>0</v>
      </c>
      <c r="Q30" s="9">
        <f>IF(AND(E30&gt;5,E30&lt;16),0,IF(E30&lt;6,'[1]Summary - Pricing'!$D$11,IF('TR 01 Inventory'!E30&gt;15,('TR 01 Inventory'!E30-15)*'[1]Summary - Pricing'!$D$12)))</f>
        <v>650</v>
      </c>
      <c r="R30" s="8">
        <f>SUM(O30:Q30)</f>
        <v>1400</v>
      </c>
      <c r="S30" s="9">
        <f>R30*L30</f>
        <v>6370000</v>
      </c>
      <c r="T30" s="9">
        <v>750000</v>
      </c>
      <c r="U30" s="9">
        <f>HLOOKUP(F30,'[1]Summary - Pricing'!$D$3:$L$20,18,FALSE)*100000</f>
        <v>2250000</v>
      </c>
      <c r="V30" s="9">
        <f>SUM('[1]Summary - Pricing'!$D$18,'[1]Summary - Pricing'!$D$21)*'TR 01 Inventory'!L30</f>
        <v>2871050</v>
      </c>
      <c r="W30" s="9">
        <f>'[1]Summary - Pricing'!$D$7*'TR 01 Inventory'!L30</f>
        <v>61425000</v>
      </c>
      <c r="X30" s="8">
        <f>W30+V30+U30+T30+S30</f>
        <v>73666050</v>
      </c>
    </row>
    <row r="31" spans="2:24" x14ac:dyDescent="0.3">
      <c r="B31" s="10" t="s">
        <v>5</v>
      </c>
      <c r="C31" s="10" t="s">
        <v>4</v>
      </c>
      <c r="D31" s="10" t="s">
        <v>115</v>
      </c>
      <c r="E31" s="10">
        <v>29</v>
      </c>
      <c r="F31" s="10" t="s">
        <v>97</v>
      </c>
      <c r="G31" s="11">
        <v>263.85899999999998</v>
      </c>
      <c r="H31" s="11">
        <v>2840.1518900999995</v>
      </c>
      <c r="I31" s="11">
        <v>592.0145</v>
      </c>
      <c r="J31" s="11">
        <v>358.76100000000002</v>
      </c>
      <c r="K31" s="11">
        <v>3861.6675279000001</v>
      </c>
      <c r="L31" s="10">
        <v>4550</v>
      </c>
      <c r="M31" s="5" t="str">
        <f>HLOOKUP($F31,'[1]Summary - Pricing'!$D$3:$L$16,13,FALSE)</f>
        <v>Y</v>
      </c>
      <c r="N31" s="5" t="str">
        <f>HLOOKUP($F31,'[1]Summary - Pricing'!$D$3:$L$16,14,FALSE)</f>
        <v>N</v>
      </c>
      <c r="O31" s="9">
        <f>IF(M31="Y",'[1]Summary - Pricing'!$D$10,0)</f>
        <v>750</v>
      </c>
      <c r="P31" s="9">
        <f>IF(N31="Y",'[1]Summary - Pricing'!$D$13,0)</f>
        <v>0</v>
      </c>
      <c r="Q31" s="9">
        <f>IF(AND(E31&gt;5,E31&lt;16),0,IF(E31&lt;6,'[1]Summary - Pricing'!$D$11,IF('TR 01 Inventory'!E31&gt;15,('TR 01 Inventory'!E31-15)*'[1]Summary - Pricing'!$D$12)))</f>
        <v>700</v>
      </c>
      <c r="R31" s="8">
        <f>SUM(O31:Q31)</f>
        <v>1450</v>
      </c>
      <c r="S31" s="9">
        <f>R31*L31</f>
        <v>6597500</v>
      </c>
      <c r="T31" s="9">
        <v>750000</v>
      </c>
      <c r="U31" s="9">
        <f>HLOOKUP(F31,'[1]Summary - Pricing'!$D$3:$L$20,18,FALSE)*100000</f>
        <v>2250000</v>
      </c>
      <c r="V31" s="9">
        <f>SUM('[1]Summary - Pricing'!$D$18,'[1]Summary - Pricing'!$D$21)*'TR 01 Inventory'!L31</f>
        <v>2871050</v>
      </c>
      <c r="W31" s="9">
        <f>'[1]Summary - Pricing'!$D$7*'TR 01 Inventory'!L31</f>
        <v>61425000</v>
      </c>
      <c r="X31" s="8">
        <f>W31+V31+U31+T31+S31</f>
        <v>73893550</v>
      </c>
    </row>
    <row r="32" spans="2:24" x14ac:dyDescent="0.3">
      <c r="B32" s="10" t="s">
        <v>5</v>
      </c>
      <c r="C32" s="10" t="s">
        <v>4</v>
      </c>
      <c r="D32" s="10" t="s">
        <v>114</v>
      </c>
      <c r="E32" s="10">
        <v>30</v>
      </c>
      <c r="F32" s="10" t="s">
        <v>97</v>
      </c>
      <c r="G32" s="11">
        <v>263.85899999999998</v>
      </c>
      <c r="H32" s="11">
        <v>2840.1518900999995</v>
      </c>
      <c r="I32" s="11">
        <v>592.0145</v>
      </c>
      <c r="J32" s="11">
        <v>358.76100000000002</v>
      </c>
      <c r="K32" s="11">
        <v>3861.6675279000001</v>
      </c>
      <c r="L32" s="10">
        <v>4550</v>
      </c>
      <c r="M32" s="5" t="str">
        <f>HLOOKUP($F32,'[1]Summary - Pricing'!$D$3:$L$16,13,FALSE)</f>
        <v>Y</v>
      </c>
      <c r="N32" s="5" t="str">
        <f>HLOOKUP($F32,'[1]Summary - Pricing'!$D$3:$L$16,14,FALSE)</f>
        <v>N</v>
      </c>
      <c r="O32" s="9">
        <f>IF(M32="Y",'[1]Summary - Pricing'!$D$10,0)</f>
        <v>750</v>
      </c>
      <c r="P32" s="9">
        <f>IF(N32="Y",'[1]Summary - Pricing'!$D$13,0)</f>
        <v>0</v>
      </c>
      <c r="Q32" s="9">
        <f>IF(AND(E32&gt;5,E32&lt;16),0,IF(E32&lt;6,'[1]Summary - Pricing'!$D$11,IF('TR 01 Inventory'!E32&gt;15,('TR 01 Inventory'!E32-15)*'[1]Summary - Pricing'!$D$12)))</f>
        <v>750</v>
      </c>
      <c r="R32" s="8">
        <f>SUM(O32:Q32)</f>
        <v>1500</v>
      </c>
      <c r="S32" s="9">
        <f>R32*L32</f>
        <v>6825000</v>
      </c>
      <c r="T32" s="9">
        <v>750000</v>
      </c>
      <c r="U32" s="9">
        <f>HLOOKUP(F32,'[1]Summary - Pricing'!$D$3:$L$20,18,FALSE)*100000</f>
        <v>2250000</v>
      </c>
      <c r="V32" s="9">
        <f>SUM('[1]Summary - Pricing'!$D$18,'[1]Summary - Pricing'!$D$21)*'TR 01 Inventory'!L32</f>
        <v>2871050</v>
      </c>
      <c r="W32" s="9">
        <f>'[1]Summary - Pricing'!$D$7*'TR 01 Inventory'!L32</f>
        <v>61425000</v>
      </c>
      <c r="X32" s="8">
        <f>W32+V32+U32+T32+S32</f>
        <v>74121050</v>
      </c>
    </row>
    <row r="33" spans="2:24" x14ac:dyDescent="0.3">
      <c r="B33" s="10" t="s">
        <v>5</v>
      </c>
      <c r="C33" s="10" t="s">
        <v>4</v>
      </c>
      <c r="D33" s="10" t="s">
        <v>113</v>
      </c>
      <c r="E33" s="10">
        <v>31</v>
      </c>
      <c r="F33" s="10" t="s">
        <v>97</v>
      </c>
      <c r="G33" s="11">
        <v>263.85899999999998</v>
      </c>
      <c r="H33" s="11">
        <v>2840.1518900999995</v>
      </c>
      <c r="I33" s="11">
        <v>592.0145</v>
      </c>
      <c r="J33" s="11">
        <v>358.76100000000002</v>
      </c>
      <c r="K33" s="11">
        <v>3861.6675279000001</v>
      </c>
      <c r="L33" s="10">
        <v>4550</v>
      </c>
      <c r="M33" s="5" t="str">
        <f>HLOOKUP($F33,'[1]Summary - Pricing'!$D$3:$L$16,13,FALSE)</f>
        <v>Y</v>
      </c>
      <c r="N33" s="5" t="str">
        <f>HLOOKUP($F33,'[1]Summary - Pricing'!$D$3:$L$16,14,FALSE)</f>
        <v>N</v>
      </c>
      <c r="O33" s="9">
        <f>IF(M33="Y",'[1]Summary - Pricing'!$D$10,0)</f>
        <v>750</v>
      </c>
      <c r="P33" s="9">
        <f>IF(N33="Y",'[1]Summary - Pricing'!$D$13,0)</f>
        <v>0</v>
      </c>
      <c r="Q33" s="9">
        <f>IF(AND(E33&gt;5,E33&lt;16),0,IF(E33&lt;6,'[1]Summary - Pricing'!$D$11,IF('TR 01 Inventory'!E33&gt;15,('TR 01 Inventory'!E33-15)*'[1]Summary - Pricing'!$D$12)))</f>
        <v>800</v>
      </c>
      <c r="R33" s="8">
        <f>SUM(O33:Q33)</f>
        <v>1550</v>
      </c>
      <c r="S33" s="9">
        <f>R33*L33</f>
        <v>7052500</v>
      </c>
      <c r="T33" s="9">
        <v>750000</v>
      </c>
      <c r="U33" s="9">
        <f>HLOOKUP(F33,'[1]Summary - Pricing'!$D$3:$L$20,18,FALSE)*100000</f>
        <v>2250000</v>
      </c>
      <c r="V33" s="9">
        <f>SUM('[1]Summary - Pricing'!$D$18,'[1]Summary - Pricing'!$D$21)*'TR 01 Inventory'!L33</f>
        <v>2871050</v>
      </c>
      <c r="W33" s="9">
        <f>'[1]Summary - Pricing'!$D$7*'TR 01 Inventory'!L33</f>
        <v>61425000</v>
      </c>
      <c r="X33" s="8">
        <f>W33+V33+U33+T33+S33</f>
        <v>74348550</v>
      </c>
    </row>
    <row r="34" spans="2:24" x14ac:dyDescent="0.3">
      <c r="B34" s="10" t="s">
        <v>5</v>
      </c>
      <c r="C34" s="10" t="s">
        <v>4</v>
      </c>
      <c r="D34" s="10" t="s">
        <v>112</v>
      </c>
      <c r="E34" s="10">
        <v>32</v>
      </c>
      <c r="F34" s="10" t="s">
        <v>97</v>
      </c>
      <c r="G34" s="11">
        <v>263.85899999999998</v>
      </c>
      <c r="H34" s="11">
        <v>2840.1518900999995</v>
      </c>
      <c r="I34" s="11">
        <v>592.0145</v>
      </c>
      <c r="J34" s="11">
        <v>358.76100000000002</v>
      </c>
      <c r="K34" s="11">
        <v>3861.6675279000001</v>
      </c>
      <c r="L34" s="10">
        <v>4550</v>
      </c>
      <c r="M34" s="5" t="str">
        <f>HLOOKUP($F34,'[1]Summary - Pricing'!$D$3:$L$16,13,FALSE)</f>
        <v>Y</v>
      </c>
      <c r="N34" s="5" t="str">
        <f>HLOOKUP($F34,'[1]Summary - Pricing'!$D$3:$L$16,14,FALSE)</f>
        <v>N</v>
      </c>
      <c r="O34" s="9">
        <f>IF(M34="Y",'[1]Summary - Pricing'!$D$10,0)</f>
        <v>750</v>
      </c>
      <c r="P34" s="9">
        <f>IF(N34="Y",'[1]Summary - Pricing'!$D$13,0)</f>
        <v>0</v>
      </c>
      <c r="Q34" s="9">
        <f>IF(AND(E34&gt;5,E34&lt;16),0,IF(E34&lt;6,'[1]Summary - Pricing'!$D$11,IF('TR 01 Inventory'!E34&gt;15,('TR 01 Inventory'!E34-15)*'[1]Summary - Pricing'!$D$12)))</f>
        <v>850</v>
      </c>
      <c r="R34" s="8">
        <f>SUM(O34:Q34)</f>
        <v>1600</v>
      </c>
      <c r="S34" s="9">
        <f>R34*L34</f>
        <v>7280000</v>
      </c>
      <c r="T34" s="9">
        <v>750000</v>
      </c>
      <c r="U34" s="9">
        <f>HLOOKUP(F34,'[1]Summary - Pricing'!$D$3:$L$20,18,FALSE)*100000</f>
        <v>2250000</v>
      </c>
      <c r="V34" s="9">
        <f>SUM('[1]Summary - Pricing'!$D$18,'[1]Summary - Pricing'!$D$21)*'TR 01 Inventory'!L34</f>
        <v>2871050</v>
      </c>
      <c r="W34" s="9">
        <f>'[1]Summary - Pricing'!$D$7*'TR 01 Inventory'!L34</f>
        <v>61425000</v>
      </c>
      <c r="X34" s="8">
        <f>W34+V34+U34+T34+S34</f>
        <v>74576050</v>
      </c>
    </row>
    <row r="35" spans="2:24" x14ac:dyDescent="0.3">
      <c r="B35" s="10" t="s">
        <v>5</v>
      </c>
      <c r="C35" s="10" t="s">
        <v>4</v>
      </c>
      <c r="D35" s="10" t="s">
        <v>111</v>
      </c>
      <c r="E35" s="10">
        <v>33</v>
      </c>
      <c r="F35" s="10" t="s">
        <v>97</v>
      </c>
      <c r="G35" s="11">
        <v>263.85899999999998</v>
      </c>
      <c r="H35" s="11">
        <v>2840.1518900999995</v>
      </c>
      <c r="I35" s="11">
        <v>592.0145</v>
      </c>
      <c r="J35" s="11">
        <v>358.76100000000002</v>
      </c>
      <c r="K35" s="11">
        <v>3861.6675279000001</v>
      </c>
      <c r="L35" s="10">
        <v>4550</v>
      </c>
      <c r="M35" s="5" t="str">
        <f>HLOOKUP($F35,'[1]Summary - Pricing'!$D$3:$L$16,13,FALSE)</f>
        <v>Y</v>
      </c>
      <c r="N35" s="5" t="str">
        <f>HLOOKUP($F35,'[1]Summary - Pricing'!$D$3:$L$16,14,FALSE)</f>
        <v>N</v>
      </c>
      <c r="O35" s="9">
        <f>IF(M35="Y",'[1]Summary - Pricing'!$D$10,0)</f>
        <v>750</v>
      </c>
      <c r="P35" s="9">
        <f>IF(N35="Y",'[1]Summary - Pricing'!$D$13,0)</f>
        <v>0</v>
      </c>
      <c r="Q35" s="9">
        <f>IF(AND(E35&gt;5,E35&lt;16),0,IF(E35&lt;6,'[1]Summary - Pricing'!$D$11,IF('TR 01 Inventory'!E35&gt;15,('TR 01 Inventory'!E35-15)*'[1]Summary - Pricing'!$D$12)))</f>
        <v>900</v>
      </c>
      <c r="R35" s="8">
        <f>SUM(O35:Q35)</f>
        <v>1650</v>
      </c>
      <c r="S35" s="9">
        <f>R35*L35</f>
        <v>7507500</v>
      </c>
      <c r="T35" s="9">
        <v>750000</v>
      </c>
      <c r="U35" s="9">
        <f>HLOOKUP(F35,'[1]Summary - Pricing'!$D$3:$L$20,18,FALSE)*100000</f>
        <v>2250000</v>
      </c>
      <c r="V35" s="9">
        <f>SUM('[1]Summary - Pricing'!$D$18,'[1]Summary - Pricing'!$D$21)*'TR 01 Inventory'!L35</f>
        <v>2871050</v>
      </c>
      <c r="W35" s="9">
        <f>'[1]Summary - Pricing'!$D$7*'TR 01 Inventory'!L35</f>
        <v>61425000</v>
      </c>
      <c r="X35" s="8">
        <f>W35+V35+U35+T35+S35</f>
        <v>74803550</v>
      </c>
    </row>
    <row r="36" spans="2:24" x14ac:dyDescent="0.3">
      <c r="B36" s="10" t="s">
        <v>5</v>
      </c>
      <c r="C36" s="10" t="s">
        <v>4</v>
      </c>
      <c r="D36" s="10" t="s">
        <v>110</v>
      </c>
      <c r="E36" s="10">
        <v>34</v>
      </c>
      <c r="F36" s="10" t="s">
        <v>97</v>
      </c>
      <c r="G36" s="11">
        <v>263.85899999999998</v>
      </c>
      <c r="H36" s="11">
        <v>2840.1518900999995</v>
      </c>
      <c r="I36" s="11">
        <v>592.0145</v>
      </c>
      <c r="J36" s="11">
        <v>358.76100000000002</v>
      </c>
      <c r="K36" s="11">
        <v>3861.6675279000001</v>
      </c>
      <c r="L36" s="10">
        <v>4550</v>
      </c>
      <c r="M36" s="5" t="str">
        <f>HLOOKUP($F36,'[1]Summary - Pricing'!$D$3:$L$16,13,FALSE)</f>
        <v>Y</v>
      </c>
      <c r="N36" s="5" t="str">
        <f>HLOOKUP($F36,'[1]Summary - Pricing'!$D$3:$L$16,14,FALSE)</f>
        <v>N</v>
      </c>
      <c r="O36" s="9">
        <f>IF(M36="Y",'[1]Summary - Pricing'!$D$10,0)</f>
        <v>750</v>
      </c>
      <c r="P36" s="9">
        <f>IF(N36="Y",'[1]Summary - Pricing'!$D$13,0)</f>
        <v>0</v>
      </c>
      <c r="Q36" s="9">
        <f>IF(AND(E36&gt;5,E36&lt;16),0,IF(E36&lt;6,'[1]Summary - Pricing'!$D$11,IF('TR 01 Inventory'!E36&gt;15,('TR 01 Inventory'!E36-15)*'[1]Summary - Pricing'!$D$12)))</f>
        <v>950</v>
      </c>
      <c r="R36" s="8">
        <f>SUM(O36:Q36)</f>
        <v>1700</v>
      </c>
      <c r="S36" s="9">
        <f>R36*L36</f>
        <v>7735000</v>
      </c>
      <c r="T36" s="9">
        <v>750000</v>
      </c>
      <c r="U36" s="9">
        <f>HLOOKUP(F36,'[1]Summary - Pricing'!$D$3:$L$20,18,FALSE)*100000</f>
        <v>2250000</v>
      </c>
      <c r="V36" s="9">
        <f>SUM('[1]Summary - Pricing'!$D$18,'[1]Summary - Pricing'!$D$21)*'TR 01 Inventory'!L36</f>
        <v>2871050</v>
      </c>
      <c r="W36" s="9">
        <f>'[1]Summary - Pricing'!$D$7*'TR 01 Inventory'!L36</f>
        <v>61425000</v>
      </c>
      <c r="X36" s="8">
        <f>W36+V36+U36+T36+S36</f>
        <v>75031050</v>
      </c>
    </row>
    <row r="37" spans="2:24" x14ac:dyDescent="0.3">
      <c r="B37" s="10" t="s">
        <v>5</v>
      </c>
      <c r="C37" s="10" t="s">
        <v>4</v>
      </c>
      <c r="D37" s="10" t="s">
        <v>109</v>
      </c>
      <c r="E37" s="10">
        <v>35</v>
      </c>
      <c r="F37" s="10" t="s">
        <v>97</v>
      </c>
      <c r="G37" s="11">
        <v>263.85899999999998</v>
      </c>
      <c r="H37" s="11">
        <v>2840.1518900999995</v>
      </c>
      <c r="I37" s="11">
        <v>592.0145</v>
      </c>
      <c r="J37" s="11">
        <v>358.76100000000002</v>
      </c>
      <c r="K37" s="11">
        <v>3861.6675279000001</v>
      </c>
      <c r="L37" s="10">
        <v>4550</v>
      </c>
      <c r="M37" s="5" t="str">
        <f>HLOOKUP($F37,'[1]Summary - Pricing'!$D$3:$L$16,13,FALSE)</f>
        <v>Y</v>
      </c>
      <c r="N37" s="5" t="str">
        <f>HLOOKUP($F37,'[1]Summary - Pricing'!$D$3:$L$16,14,FALSE)</f>
        <v>N</v>
      </c>
      <c r="O37" s="9">
        <f>IF(M37="Y",'[1]Summary - Pricing'!$D$10,0)</f>
        <v>750</v>
      </c>
      <c r="P37" s="9">
        <f>IF(N37="Y",'[1]Summary - Pricing'!$D$13,0)</f>
        <v>0</v>
      </c>
      <c r="Q37" s="9">
        <f>IF(AND(E37&gt;5,E37&lt;16),0,IF(E37&lt;6,'[1]Summary - Pricing'!$D$11,IF('TR 01 Inventory'!E37&gt;15,('TR 01 Inventory'!E37-15)*'[1]Summary - Pricing'!$D$12)))</f>
        <v>1000</v>
      </c>
      <c r="R37" s="8">
        <f>SUM(O37:Q37)</f>
        <v>1750</v>
      </c>
      <c r="S37" s="9">
        <f>R37*L37</f>
        <v>7962500</v>
      </c>
      <c r="T37" s="9">
        <v>750000</v>
      </c>
      <c r="U37" s="9">
        <f>HLOOKUP(F37,'[1]Summary - Pricing'!$D$3:$L$20,18,FALSE)*100000</f>
        <v>2250000</v>
      </c>
      <c r="V37" s="9">
        <f>SUM('[1]Summary - Pricing'!$D$18,'[1]Summary - Pricing'!$D$21)*'TR 01 Inventory'!L37</f>
        <v>2871050</v>
      </c>
      <c r="W37" s="9">
        <f>'[1]Summary - Pricing'!$D$7*'TR 01 Inventory'!L37</f>
        <v>61425000</v>
      </c>
      <c r="X37" s="8">
        <f>W37+V37+U37+T37+S37</f>
        <v>75258550</v>
      </c>
    </row>
    <row r="38" spans="2:24" x14ac:dyDescent="0.3">
      <c r="B38" s="10" t="s">
        <v>5</v>
      </c>
      <c r="C38" s="10" t="s">
        <v>4</v>
      </c>
      <c r="D38" s="10" t="s">
        <v>108</v>
      </c>
      <c r="E38" s="10">
        <v>36</v>
      </c>
      <c r="F38" s="10" t="s">
        <v>97</v>
      </c>
      <c r="G38" s="11">
        <v>263.85899999999998</v>
      </c>
      <c r="H38" s="11">
        <v>2840.1518900999995</v>
      </c>
      <c r="I38" s="11">
        <v>592.0145</v>
      </c>
      <c r="J38" s="11">
        <v>358.76100000000002</v>
      </c>
      <c r="K38" s="11">
        <v>3861.6675279000001</v>
      </c>
      <c r="L38" s="10">
        <v>4550</v>
      </c>
      <c r="M38" s="5" t="str">
        <f>HLOOKUP($F38,'[1]Summary - Pricing'!$D$3:$L$16,13,FALSE)</f>
        <v>Y</v>
      </c>
      <c r="N38" s="5" t="str">
        <f>HLOOKUP($F38,'[1]Summary - Pricing'!$D$3:$L$16,14,FALSE)</f>
        <v>N</v>
      </c>
      <c r="O38" s="9">
        <f>IF(M38="Y",'[1]Summary - Pricing'!$D$10,0)</f>
        <v>750</v>
      </c>
      <c r="P38" s="9">
        <f>IF(N38="Y",'[1]Summary - Pricing'!$D$13,0)</f>
        <v>0</v>
      </c>
      <c r="Q38" s="9">
        <f>IF(AND(E38&gt;5,E38&lt;16),0,IF(E38&lt;6,'[1]Summary - Pricing'!$D$11,IF('TR 01 Inventory'!E38&gt;15,('TR 01 Inventory'!E38-15)*'[1]Summary - Pricing'!$D$12)))</f>
        <v>1050</v>
      </c>
      <c r="R38" s="8">
        <f>SUM(O38:Q38)</f>
        <v>1800</v>
      </c>
      <c r="S38" s="9">
        <f>R38*L38</f>
        <v>8190000</v>
      </c>
      <c r="T38" s="9">
        <v>750000</v>
      </c>
      <c r="U38" s="9">
        <f>HLOOKUP(F38,'[1]Summary - Pricing'!$D$3:$L$20,18,FALSE)*100000</f>
        <v>2250000</v>
      </c>
      <c r="V38" s="9">
        <f>SUM('[1]Summary - Pricing'!$D$18,'[1]Summary - Pricing'!$D$21)*'TR 01 Inventory'!L38</f>
        <v>2871050</v>
      </c>
      <c r="W38" s="9">
        <f>'[1]Summary - Pricing'!$D$7*'TR 01 Inventory'!L38</f>
        <v>61425000</v>
      </c>
      <c r="X38" s="8">
        <f>W38+V38+U38+T38+S38</f>
        <v>75486050</v>
      </c>
    </row>
    <row r="39" spans="2:24" x14ac:dyDescent="0.3">
      <c r="B39" s="10" t="s">
        <v>5</v>
      </c>
      <c r="C39" s="10" t="s">
        <v>4</v>
      </c>
      <c r="D39" s="10" t="s">
        <v>107</v>
      </c>
      <c r="E39" s="10">
        <v>37</v>
      </c>
      <c r="F39" s="10" t="s">
        <v>97</v>
      </c>
      <c r="G39" s="11">
        <v>263.85899999999998</v>
      </c>
      <c r="H39" s="11">
        <v>2840.1518900999995</v>
      </c>
      <c r="I39" s="11">
        <v>592.0145</v>
      </c>
      <c r="J39" s="11">
        <v>358.76100000000002</v>
      </c>
      <c r="K39" s="11">
        <v>3861.6675279000001</v>
      </c>
      <c r="L39" s="10">
        <v>4550</v>
      </c>
      <c r="M39" s="5" t="str">
        <f>HLOOKUP($F39,'[1]Summary - Pricing'!$D$3:$L$16,13,FALSE)</f>
        <v>Y</v>
      </c>
      <c r="N39" s="5" t="str">
        <f>HLOOKUP($F39,'[1]Summary - Pricing'!$D$3:$L$16,14,FALSE)</f>
        <v>N</v>
      </c>
      <c r="O39" s="9">
        <f>IF(M39="Y",'[1]Summary - Pricing'!$D$10,0)</f>
        <v>750</v>
      </c>
      <c r="P39" s="9">
        <f>IF(N39="Y",'[1]Summary - Pricing'!$D$13,0)</f>
        <v>0</v>
      </c>
      <c r="Q39" s="9">
        <f>IF(AND(E39&gt;5,E39&lt;16),0,IF(E39&lt;6,'[1]Summary - Pricing'!$D$11,IF('TR 01 Inventory'!E39&gt;15,('TR 01 Inventory'!E39-15)*'[1]Summary - Pricing'!$D$12)))</f>
        <v>1100</v>
      </c>
      <c r="R39" s="8">
        <f>SUM(O39:Q39)</f>
        <v>1850</v>
      </c>
      <c r="S39" s="9">
        <f>R39*L39</f>
        <v>8417500</v>
      </c>
      <c r="T39" s="9">
        <v>750000</v>
      </c>
      <c r="U39" s="9">
        <f>HLOOKUP(F39,'[1]Summary - Pricing'!$D$3:$L$20,18,FALSE)*100000</f>
        <v>2250000</v>
      </c>
      <c r="V39" s="9">
        <f>SUM('[1]Summary - Pricing'!$D$18,'[1]Summary - Pricing'!$D$21)*'TR 01 Inventory'!L39</f>
        <v>2871050</v>
      </c>
      <c r="W39" s="9">
        <f>'[1]Summary - Pricing'!$D$7*'TR 01 Inventory'!L39</f>
        <v>61425000</v>
      </c>
      <c r="X39" s="8">
        <f>W39+V39+U39+T39+S39</f>
        <v>75713550</v>
      </c>
    </row>
    <row r="40" spans="2:24" x14ac:dyDescent="0.3">
      <c r="B40" s="10" t="s">
        <v>5</v>
      </c>
      <c r="C40" s="10" t="s">
        <v>4</v>
      </c>
      <c r="D40" s="10" t="s">
        <v>106</v>
      </c>
      <c r="E40" s="10">
        <v>38</v>
      </c>
      <c r="F40" s="10" t="s">
        <v>97</v>
      </c>
      <c r="G40" s="11">
        <v>263.85899999999998</v>
      </c>
      <c r="H40" s="11">
        <v>2840.1518900999995</v>
      </c>
      <c r="I40" s="11">
        <v>592.0145</v>
      </c>
      <c r="J40" s="11">
        <v>358.76100000000002</v>
      </c>
      <c r="K40" s="11">
        <v>3861.6675279000001</v>
      </c>
      <c r="L40" s="10">
        <v>4550</v>
      </c>
      <c r="M40" s="5" t="str">
        <f>HLOOKUP($F40,'[1]Summary - Pricing'!$D$3:$L$16,13,FALSE)</f>
        <v>Y</v>
      </c>
      <c r="N40" s="5" t="str">
        <f>HLOOKUP($F40,'[1]Summary - Pricing'!$D$3:$L$16,14,FALSE)</f>
        <v>N</v>
      </c>
      <c r="O40" s="9">
        <f>IF(M40="Y",'[1]Summary - Pricing'!$D$10,0)</f>
        <v>750</v>
      </c>
      <c r="P40" s="9">
        <f>IF(N40="Y",'[1]Summary - Pricing'!$D$13,0)</f>
        <v>0</v>
      </c>
      <c r="Q40" s="9">
        <f>IF(AND(E40&gt;5,E40&lt;16),0,IF(E40&lt;6,'[1]Summary - Pricing'!$D$11,IF('TR 01 Inventory'!E40&gt;15,('TR 01 Inventory'!E40-15)*'[1]Summary - Pricing'!$D$12)))</f>
        <v>1150</v>
      </c>
      <c r="R40" s="8">
        <f>SUM(O40:Q40)</f>
        <v>1900</v>
      </c>
      <c r="S40" s="9">
        <f>R40*L40</f>
        <v>8645000</v>
      </c>
      <c r="T40" s="9">
        <v>750000</v>
      </c>
      <c r="U40" s="9">
        <f>HLOOKUP(F40,'[1]Summary - Pricing'!$D$3:$L$20,18,FALSE)*100000</f>
        <v>2250000</v>
      </c>
      <c r="V40" s="9">
        <f>SUM('[1]Summary - Pricing'!$D$18,'[1]Summary - Pricing'!$D$21)*'TR 01 Inventory'!L40</f>
        <v>2871050</v>
      </c>
      <c r="W40" s="9">
        <f>'[1]Summary - Pricing'!$D$7*'TR 01 Inventory'!L40</f>
        <v>61425000</v>
      </c>
      <c r="X40" s="8">
        <f>W40+V40+U40+T40+S40</f>
        <v>75941050</v>
      </c>
    </row>
    <row r="41" spans="2:24" x14ac:dyDescent="0.3">
      <c r="B41" s="10" t="s">
        <v>5</v>
      </c>
      <c r="C41" s="10" t="s">
        <v>4</v>
      </c>
      <c r="D41" s="10" t="s">
        <v>105</v>
      </c>
      <c r="E41" s="10">
        <v>39</v>
      </c>
      <c r="F41" s="10" t="s">
        <v>97</v>
      </c>
      <c r="G41" s="11">
        <v>263.85899999999998</v>
      </c>
      <c r="H41" s="11">
        <v>2840.1518900999995</v>
      </c>
      <c r="I41" s="11">
        <v>592.0145</v>
      </c>
      <c r="J41" s="11">
        <v>358.76100000000002</v>
      </c>
      <c r="K41" s="11">
        <v>3861.6675279000001</v>
      </c>
      <c r="L41" s="10">
        <v>4550</v>
      </c>
      <c r="M41" s="5" t="str">
        <f>HLOOKUP($F41,'[1]Summary - Pricing'!$D$3:$L$16,13,FALSE)</f>
        <v>Y</v>
      </c>
      <c r="N41" s="5" t="str">
        <f>HLOOKUP($F41,'[1]Summary - Pricing'!$D$3:$L$16,14,FALSE)</f>
        <v>N</v>
      </c>
      <c r="O41" s="9">
        <f>IF(M41="Y",'[1]Summary - Pricing'!$D$10,0)</f>
        <v>750</v>
      </c>
      <c r="P41" s="9">
        <f>IF(N41="Y",'[1]Summary - Pricing'!$D$13,0)</f>
        <v>0</v>
      </c>
      <c r="Q41" s="9">
        <f>IF(AND(E41&gt;5,E41&lt;16),0,IF(E41&lt;6,'[1]Summary - Pricing'!$D$11,IF('TR 01 Inventory'!E41&gt;15,('TR 01 Inventory'!E41-15)*'[1]Summary - Pricing'!$D$12)))</f>
        <v>1200</v>
      </c>
      <c r="R41" s="8">
        <f>SUM(O41:Q41)</f>
        <v>1950</v>
      </c>
      <c r="S41" s="9">
        <f>R41*L41</f>
        <v>8872500</v>
      </c>
      <c r="T41" s="9">
        <v>750000</v>
      </c>
      <c r="U41" s="9">
        <f>HLOOKUP(F41,'[1]Summary - Pricing'!$D$3:$L$20,18,FALSE)*100000</f>
        <v>2250000</v>
      </c>
      <c r="V41" s="9">
        <f>SUM('[1]Summary - Pricing'!$D$18,'[1]Summary - Pricing'!$D$21)*'TR 01 Inventory'!L41</f>
        <v>2871050</v>
      </c>
      <c r="W41" s="9">
        <f>'[1]Summary - Pricing'!$D$7*'TR 01 Inventory'!L41</f>
        <v>61425000</v>
      </c>
      <c r="X41" s="8">
        <f>W41+V41+U41+T41+S41</f>
        <v>76168550</v>
      </c>
    </row>
    <row r="42" spans="2:24" x14ac:dyDescent="0.3">
      <c r="B42" s="10" t="s">
        <v>5</v>
      </c>
      <c r="C42" s="10" t="s">
        <v>4</v>
      </c>
      <c r="D42" s="10" t="s">
        <v>104</v>
      </c>
      <c r="E42" s="10">
        <v>40</v>
      </c>
      <c r="F42" s="10" t="s">
        <v>97</v>
      </c>
      <c r="G42" s="11">
        <v>263.85899999999998</v>
      </c>
      <c r="H42" s="11">
        <v>2840.1518900999995</v>
      </c>
      <c r="I42" s="11">
        <v>592.0145</v>
      </c>
      <c r="J42" s="11">
        <v>358.76100000000002</v>
      </c>
      <c r="K42" s="11">
        <v>3861.6675279000001</v>
      </c>
      <c r="L42" s="10">
        <v>4550</v>
      </c>
      <c r="M42" s="5" t="str">
        <f>HLOOKUP($F42,'[1]Summary - Pricing'!$D$3:$L$16,13,FALSE)</f>
        <v>Y</v>
      </c>
      <c r="N42" s="5" t="str">
        <f>HLOOKUP($F42,'[1]Summary - Pricing'!$D$3:$L$16,14,FALSE)</f>
        <v>N</v>
      </c>
      <c r="O42" s="9">
        <f>IF(M42="Y",'[1]Summary - Pricing'!$D$10,0)</f>
        <v>750</v>
      </c>
      <c r="P42" s="9">
        <f>IF(N42="Y",'[1]Summary - Pricing'!$D$13,0)</f>
        <v>0</v>
      </c>
      <c r="Q42" s="9">
        <f>IF(AND(E42&gt;5,E42&lt;16),0,IF(E42&lt;6,'[1]Summary - Pricing'!$D$11,IF('TR 01 Inventory'!E42&gt;15,('TR 01 Inventory'!E42-15)*'[1]Summary - Pricing'!$D$12)))</f>
        <v>1250</v>
      </c>
      <c r="R42" s="8">
        <f>SUM(O42:Q42)</f>
        <v>2000</v>
      </c>
      <c r="S42" s="9">
        <f>R42*L42</f>
        <v>9100000</v>
      </c>
      <c r="T42" s="9">
        <v>750000</v>
      </c>
      <c r="U42" s="9">
        <f>HLOOKUP(F42,'[1]Summary - Pricing'!$D$3:$L$20,18,FALSE)*100000</f>
        <v>2250000</v>
      </c>
      <c r="V42" s="9">
        <f>SUM('[1]Summary - Pricing'!$D$18,'[1]Summary - Pricing'!$D$21)*'TR 01 Inventory'!L42</f>
        <v>2871050</v>
      </c>
      <c r="W42" s="9">
        <f>'[1]Summary - Pricing'!$D$7*'TR 01 Inventory'!L42</f>
        <v>61425000</v>
      </c>
      <c r="X42" s="8">
        <f>W42+V42+U42+T42+S42</f>
        <v>76396050</v>
      </c>
    </row>
    <row r="43" spans="2:24" x14ac:dyDescent="0.3">
      <c r="B43" s="10" t="s">
        <v>5</v>
      </c>
      <c r="C43" s="10" t="s">
        <v>4</v>
      </c>
      <c r="D43" s="10" t="s">
        <v>103</v>
      </c>
      <c r="E43" s="10">
        <v>41</v>
      </c>
      <c r="F43" s="10" t="s">
        <v>97</v>
      </c>
      <c r="G43" s="11">
        <v>263.85899999999998</v>
      </c>
      <c r="H43" s="11">
        <v>2840.1518900999995</v>
      </c>
      <c r="I43" s="11">
        <v>592.0145</v>
      </c>
      <c r="J43" s="11">
        <v>358.76100000000002</v>
      </c>
      <c r="K43" s="11">
        <v>3861.6675279000001</v>
      </c>
      <c r="L43" s="10">
        <v>4550</v>
      </c>
      <c r="M43" s="5" t="str">
        <f>HLOOKUP($F43,'[1]Summary - Pricing'!$D$3:$L$16,13,FALSE)</f>
        <v>Y</v>
      </c>
      <c r="N43" s="5" t="str">
        <f>HLOOKUP($F43,'[1]Summary - Pricing'!$D$3:$L$16,14,FALSE)</f>
        <v>N</v>
      </c>
      <c r="O43" s="9">
        <f>IF(M43="Y",'[1]Summary - Pricing'!$D$10,0)</f>
        <v>750</v>
      </c>
      <c r="P43" s="9">
        <f>IF(N43="Y",'[1]Summary - Pricing'!$D$13,0)</f>
        <v>0</v>
      </c>
      <c r="Q43" s="9">
        <f>IF(AND(E43&gt;5,E43&lt;16),0,IF(E43&lt;6,'[1]Summary - Pricing'!$D$11,IF('TR 01 Inventory'!E43&gt;15,('TR 01 Inventory'!E43-15)*'[1]Summary - Pricing'!$D$12)))</f>
        <v>1300</v>
      </c>
      <c r="R43" s="8">
        <f>SUM(O43:Q43)</f>
        <v>2050</v>
      </c>
      <c r="S43" s="9">
        <f>R43*L43</f>
        <v>9327500</v>
      </c>
      <c r="T43" s="9">
        <v>750000</v>
      </c>
      <c r="U43" s="9">
        <f>HLOOKUP(F43,'[1]Summary - Pricing'!$D$3:$L$20,18,FALSE)*100000</f>
        <v>2250000</v>
      </c>
      <c r="V43" s="9">
        <f>SUM('[1]Summary - Pricing'!$D$18,'[1]Summary - Pricing'!$D$21)*'TR 01 Inventory'!L43</f>
        <v>2871050</v>
      </c>
      <c r="W43" s="9">
        <f>'[1]Summary - Pricing'!$D$7*'TR 01 Inventory'!L43</f>
        <v>61425000</v>
      </c>
      <c r="X43" s="8">
        <f>W43+V43+U43+T43+S43</f>
        <v>76623550</v>
      </c>
    </row>
    <row r="44" spans="2:24" x14ac:dyDescent="0.3">
      <c r="B44" s="10" t="s">
        <v>5</v>
      </c>
      <c r="C44" s="10" t="s">
        <v>4</v>
      </c>
      <c r="D44" s="10" t="s">
        <v>102</v>
      </c>
      <c r="E44" s="10">
        <v>42</v>
      </c>
      <c r="F44" s="10" t="s">
        <v>97</v>
      </c>
      <c r="G44" s="11">
        <v>263.85899999999998</v>
      </c>
      <c r="H44" s="11">
        <v>2840.1518900999995</v>
      </c>
      <c r="I44" s="11">
        <v>592.0145</v>
      </c>
      <c r="J44" s="11">
        <v>358.76100000000002</v>
      </c>
      <c r="K44" s="11">
        <v>3861.6675279000001</v>
      </c>
      <c r="L44" s="10">
        <v>4550</v>
      </c>
      <c r="M44" s="5" t="str">
        <f>HLOOKUP($F44,'[1]Summary - Pricing'!$D$3:$L$16,13,FALSE)</f>
        <v>Y</v>
      </c>
      <c r="N44" s="5" t="str">
        <f>HLOOKUP($F44,'[1]Summary - Pricing'!$D$3:$L$16,14,FALSE)</f>
        <v>N</v>
      </c>
      <c r="O44" s="9">
        <f>IF(M44="Y",'[1]Summary - Pricing'!$D$10,0)</f>
        <v>750</v>
      </c>
      <c r="P44" s="9">
        <f>IF(N44="Y",'[1]Summary - Pricing'!$D$13,0)</f>
        <v>0</v>
      </c>
      <c r="Q44" s="9">
        <f>IF(AND(E44&gt;5,E44&lt;16),0,IF(E44&lt;6,'[1]Summary - Pricing'!$D$11,IF('TR 01 Inventory'!E44&gt;15,('TR 01 Inventory'!E44-15)*'[1]Summary - Pricing'!$D$12)))</f>
        <v>1350</v>
      </c>
      <c r="R44" s="8">
        <f>SUM(O44:Q44)</f>
        <v>2100</v>
      </c>
      <c r="S44" s="9">
        <f>R44*L44</f>
        <v>9555000</v>
      </c>
      <c r="T44" s="9">
        <v>750000</v>
      </c>
      <c r="U44" s="9">
        <f>HLOOKUP(F44,'[1]Summary - Pricing'!$D$3:$L$20,18,FALSE)*100000</f>
        <v>2250000</v>
      </c>
      <c r="V44" s="9">
        <f>SUM('[1]Summary - Pricing'!$D$18,'[1]Summary - Pricing'!$D$21)*'TR 01 Inventory'!L44</f>
        <v>2871050</v>
      </c>
      <c r="W44" s="9">
        <f>'[1]Summary - Pricing'!$D$7*'TR 01 Inventory'!L44</f>
        <v>61425000</v>
      </c>
      <c r="X44" s="8">
        <f>W44+V44+U44+T44+S44</f>
        <v>76851050</v>
      </c>
    </row>
    <row r="45" spans="2:24" x14ac:dyDescent="0.3">
      <c r="B45" s="10" t="s">
        <v>5</v>
      </c>
      <c r="C45" s="10" t="s">
        <v>4</v>
      </c>
      <c r="D45" s="10" t="s">
        <v>101</v>
      </c>
      <c r="E45" s="10">
        <v>43</v>
      </c>
      <c r="F45" s="10" t="s">
        <v>97</v>
      </c>
      <c r="G45" s="11">
        <v>263.85899999999998</v>
      </c>
      <c r="H45" s="11">
        <v>2840.1518900999995</v>
      </c>
      <c r="I45" s="11">
        <v>592.0145</v>
      </c>
      <c r="J45" s="11">
        <v>358.76100000000002</v>
      </c>
      <c r="K45" s="11">
        <v>3861.6675279000001</v>
      </c>
      <c r="L45" s="10">
        <v>4550</v>
      </c>
      <c r="M45" s="5" t="str">
        <f>HLOOKUP($F45,'[1]Summary - Pricing'!$D$3:$L$16,13,FALSE)</f>
        <v>Y</v>
      </c>
      <c r="N45" s="5" t="str">
        <f>HLOOKUP($F45,'[1]Summary - Pricing'!$D$3:$L$16,14,FALSE)</f>
        <v>N</v>
      </c>
      <c r="O45" s="9">
        <f>IF(M45="Y",'[1]Summary - Pricing'!$D$10,0)</f>
        <v>750</v>
      </c>
      <c r="P45" s="9">
        <f>IF(N45="Y",'[1]Summary - Pricing'!$D$13,0)</f>
        <v>0</v>
      </c>
      <c r="Q45" s="9">
        <f>IF(AND(E45&gt;5,E45&lt;16),0,IF(E45&lt;6,'[1]Summary - Pricing'!$D$11,IF('TR 01 Inventory'!E45&gt;15,('TR 01 Inventory'!E45-15)*'[1]Summary - Pricing'!$D$12)))</f>
        <v>1400</v>
      </c>
      <c r="R45" s="8">
        <f>SUM(O45:Q45)</f>
        <v>2150</v>
      </c>
      <c r="S45" s="9">
        <f>R45*L45</f>
        <v>9782500</v>
      </c>
      <c r="T45" s="9">
        <v>750000</v>
      </c>
      <c r="U45" s="9">
        <f>HLOOKUP(F45,'[1]Summary - Pricing'!$D$3:$L$20,18,FALSE)*100000</f>
        <v>2250000</v>
      </c>
      <c r="V45" s="9">
        <f>SUM('[1]Summary - Pricing'!$D$18,'[1]Summary - Pricing'!$D$21)*'TR 01 Inventory'!L45</f>
        <v>2871050</v>
      </c>
      <c r="W45" s="9">
        <f>'[1]Summary - Pricing'!$D$7*'TR 01 Inventory'!L45</f>
        <v>61425000</v>
      </c>
      <c r="X45" s="8">
        <f>W45+V45+U45+T45+S45</f>
        <v>77078550</v>
      </c>
    </row>
    <row r="46" spans="2:24" x14ac:dyDescent="0.3">
      <c r="B46" s="10" t="s">
        <v>5</v>
      </c>
      <c r="C46" s="10" t="s">
        <v>4</v>
      </c>
      <c r="D46" s="10" t="s">
        <v>100</v>
      </c>
      <c r="E46" s="10">
        <v>44</v>
      </c>
      <c r="F46" s="10" t="s">
        <v>97</v>
      </c>
      <c r="G46" s="11">
        <v>263.85899999999998</v>
      </c>
      <c r="H46" s="11">
        <v>2840.1518900999995</v>
      </c>
      <c r="I46" s="11">
        <v>592.0145</v>
      </c>
      <c r="J46" s="11">
        <v>358.76100000000002</v>
      </c>
      <c r="K46" s="11">
        <v>3861.6675279000001</v>
      </c>
      <c r="L46" s="10">
        <v>4550</v>
      </c>
      <c r="M46" s="5" t="str">
        <f>HLOOKUP($F46,'[1]Summary - Pricing'!$D$3:$L$16,13,FALSE)</f>
        <v>Y</v>
      </c>
      <c r="N46" s="5" t="str">
        <f>HLOOKUP($F46,'[1]Summary - Pricing'!$D$3:$L$16,14,FALSE)</f>
        <v>N</v>
      </c>
      <c r="O46" s="9">
        <f>IF(M46="Y",'[1]Summary - Pricing'!$D$10,0)</f>
        <v>750</v>
      </c>
      <c r="P46" s="9">
        <f>IF(N46="Y",'[1]Summary - Pricing'!$D$13,0)</f>
        <v>0</v>
      </c>
      <c r="Q46" s="9">
        <f>IF(AND(E46&gt;5,E46&lt;16),0,IF(E46&lt;6,'[1]Summary - Pricing'!$D$11,IF('TR 01 Inventory'!E46&gt;15,('TR 01 Inventory'!E46-15)*'[1]Summary - Pricing'!$D$12)))</f>
        <v>1450</v>
      </c>
      <c r="R46" s="8">
        <f>SUM(O46:Q46)</f>
        <v>2200</v>
      </c>
      <c r="S46" s="9">
        <f>R46*L46</f>
        <v>10010000</v>
      </c>
      <c r="T46" s="9">
        <v>750000</v>
      </c>
      <c r="U46" s="9">
        <f>HLOOKUP(F46,'[1]Summary - Pricing'!$D$3:$L$20,18,FALSE)*100000</f>
        <v>2250000</v>
      </c>
      <c r="V46" s="9">
        <f>SUM('[1]Summary - Pricing'!$D$18,'[1]Summary - Pricing'!$D$21)*'TR 01 Inventory'!L46</f>
        <v>2871050</v>
      </c>
      <c r="W46" s="9">
        <f>'[1]Summary - Pricing'!$D$7*'TR 01 Inventory'!L46</f>
        <v>61425000</v>
      </c>
      <c r="X46" s="8">
        <f>W46+V46+U46+T46+S46</f>
        <v>77306050</v>
      </c>
    </row>
    <row r="47" spans="2:24" x14ac:dyDescent="0.3">
      <c r="B47" s="10" t="s">
        <v>5</v>
      </c>
      <c r="C47" s="10" t="s">
        <v>4</v>
      </c>
      <c r="D47" s="10" t="s">
        <v>99</v>
      </c>
      <c r="E47" s="10">
        <v>45</v>
      </c>
      <c r="F47" s="10" t="s">
        <v>97</v>
      </c>
      <c r="G47" s="11">
        <v>263.85899999999998</v>
      </c>
      <c r="H47" s="11">
        <v>2840.1518900999995</v>
      </c>
      <c r="I47" s="11">
        <v>592.0145</v>
      </c>
      <c r="J47" s="11">
        <v>358.76100000000002</v>
      </c>
      <c r="K47" s="11">
        <v>3861.6675279000001</v>
      </c>
      <c r="L47" s="10">
        <v>4550</v>
      </c>
      <c r="M47" s="5" t="str">
        <f>HLOOKUP($F47,'[1]Summary - Pricing'!$D$3:$L$16,13,FALSE)</f>
        <v>Y</v>
      </c>
      <c r="N47" s="5" t="str">
        <f>HLOOKUP($F47,'[1]Summary - Pricing'!$D$3:$L$16,14,FALSE)</f>
        <v>N</v>
      </c>
      <c r="O47" s="9">
        <f>IF(M47="Y",'[1]Summary - Pricing'!$D$10,0)</f>
        <v>750</v>
      </c>
      <c r="P47" s="9">
        <f>IF(N47="Y",'[1]Summary - Pricing'!$D$13,0)</f>
        <v>0</v>
      </c>
      <c r="Q47" s="9">
        <f>IF(AND(E47&gt;5,E47&lt;16),0,IF(E47&lt;6,'[1]Summary - Pricing'!$D$11,IF('TR 01 Inventory'!E47&gt;15,('TR 01 Inventory'!E47-15)*'[1]Summary - Pricing'!$D$12)))</f>
        <v>1500</v>
      </c>
      <c r="R47" s="8">
        <f>SUM(O47:Q47)</f>
        <v>2250</v>
      </c>
      <c r="S47" s="9">
        <f>R47*L47</f>
        <v>10237500</v>
      </c>
      <c r="T47" s="9">
        <v>750000</v>
      </c>
      <c r="U47" s="9">
        <f>HLOOKUP(F47,'[1]Summary - Pricing'!$D$3:$L$20,18,FALSE)*100000</f>
        <v>2250000</v>
      </c>
      <c r="V47" s="9">
        <f>SUM('[1]Summary - Pricing'!$D$18,'[1]Summary - Pricing'!$D$21)*'TR 01 Inventory'!L47</f>
        <v>2871050</v>
      </c>
      <c r="W47" s="9">
        <f>'[1]Summary - Pricing'!$D$7*'TR 01 Inventory'!L47</f>
        <v>61425000</v>
      </c>
      <c r="X47" s="8">
        <f>W47+V47+U47+T47+S47</f>
        <v>77533550</v>
      </c>
    </row>
    <row r="48" spans="2:24" x14ac:dyDescent="0.3">
      <c r="B48" s="10" t="s">
        <v>5</v>
      </c>
      <c r="C48" s="10" t="s">
        <v>4</v>
      </c>
      <c r="D48" s="10" t="s">
        <v>98</v>
      </c>
      <c r="E48" s="10">
        <v>46</v>
      </c>
      <c r="F48" s="10" t="s">
        <v>97</v>
      </c>
      <c r="G48" s="11">
        <v>263.85899999999998</v>
      </c>
      <c r="H48" s="11">
        <v>2840.1518900999995</v>
      </c>
      <c r="I48" s="11">
        <v>592.0145</v>
      </c>
      <c r="J48" s="11">
        <v>358.76100000000002</v>
      </c>
      <c r="K48" s="11">
        <v>3861.6675279000001</v>
      </c>
      <c r="L48" s="10">
        <v>4550</v>
      </c>
      <c r="M48" s="5" t="str">
        <f>HLOOKUP($F48,'[1]Summary - Pricing'!$D$3:$L$16,13,FALSE)</f>
        <v>Y</v>
      </c>
      <c r="N48" s="5" t="str">
        <f>HLOOKUP($F48,'[1]Summary - Pricing'!$D$3:$L$16,14,FALSE)</f>
        <v>N</v>
      </c>
      <c r="O48" s="9">
        <f>IF(M48="Y",'[1]Summary - Pricing'!$D$10,0)</f>
        <v>750</v>
      </c>
      <c r="P48" s="9">
        <f>IF(N48="Y",'[1]Summary - Pricing'!$D$13,0)</f>
        <v>0</v>
      </c>
      <c r="Q48" s="9">
        <f>IF(AND(E48&gt;5,E48&lt;16),0,IF(E48&lt;6,'[1]Summary - Pricing'!$D$11,IF('TR 01 Inventory'!E48&gt;15,('TR 01 Inventory'!E48-15)*'[1]Summary - Pricing'!$D$12)))</f>
        <v>1550</v>
      </c>
      <c r="R48" s="8">
        <f>SUM(O48:Q48)</f>
        <v>2300</v>
      </c>
      <c r="S48" s="9">
        <f>R48*L48</f>
        <v>10465000</v>
      </c>
      <c r="T48" s="9">
        <v>750000</v>
      </c>
      <c r="U48" s="9">
        <f>HLOOKUP(F48,'[1]Summary - Pricing'!$D$3:$L$20,18,FALSE)*100000</f>
        <v>2250000</v>
      </c>
      <c r="V48" s="9">
        <f>SUM('[1]Summary - Pricing'!$D$18,'[1]Summary - Pricing'!$D$21)*'TR 01 Inventory'!L48</f>
        <v>2871050</v>
      </c>
      <c r="W48" s="9">
        <f>'[1]Summary - Pricing'!$D$7*'TR 01 Inventory'!L48</f>
        <v>61425000</v>
      </c>
      <c r="X48" s="8">
        <f>W48+V48+U48+T48+S48</f>
        <v>77761050</v>
      </c>
    </row>
    <row r="49" spans="2:24" x14ac:dyDescent="0.3">
      <c r="B49" s="10" t="s">
        <v>5</v>
      </c>
      <c r="C49" s="10" t="s">
        <v>9</v>
      </c>
      <c r="D49" s="10" t="s">
        <v>96</v>
      </c>
      <c r="E49" s="10">
        <v>1</v>
      </c>
      <c r="F49" s="10" t="s">
        <v>95</v>
      </c>
      <c r="G49" s="11">
        <v>388.49299999999999</v>
      </c>
      <c r="H49" s="11">
        <v>4181.6998027</v>
      </c>
      <c r="I49" s="11">
        <v>742.1063216</v>
      </c>
      <c r="J49" s="11">
        <v>505.92699999999996</v>
      </c>
      <c r="K49" s="11">
        <v>5445.7476352999993</v>
      </c>
      <c r="L49" s="10">
        <v>6550</v>
      </c>
      <c r="M49" s="5" t="str">
        <f>HLOOKUP($F49,'[1]Summary - Pricing'!$D$3:$L$16,13,FALSE)</f>
        <v>Y</v>
      </c>
      <c r="N49" s="5" t="str">
        <f>HLOOKUP($F49,'[1]Summary - Pricing'!$D$3:$L$16,14,FALSE)</f>
        <v>Y</v>
      </c>
      <c r="O49" s="9">
        <f>IF(M49="Y",'[1]Summary - Pricing'!$D$10,0)</f>
        <v>750</v>
      </c>
      <c r="P49" s="9">
        <f>IF(N49="Y",'[1]Summary - Pricing'!$D$13,0)</f>
        <v>750</v>
      </c>
      <c r="Q49" s="9">
        <f>IF(AND(E49&gt;5,E49&lt;16),0,IF(E49&lt;6,'[1]Summary - Pricing'!$D$11,IF('TR 01 Inventory'!E49&gt;15,('TR 01 Inventory'!E49-15)*'[1]Summary - Pricing'!$D$12)))</f>
        <v>500</v>
      </c>
      <c r="R49" s="8">
        <f>SUM(O49:Q49)</f>
        <v>2000</v>
      </c>
      <c r="S49" s="9">
        <f>R49*L49</f>
        <v>13100000</v>
      </c>
      <c r="T49" s="9">
        <v>750000</v>
      </c>
      <c r="U49" s="9">
        <f>HLOOKUP(F49,'[1]Summary - Pricing'!$D$3:$L$20,18,FALSE)*100000</f>
        <v>2250000</v>
      </c>
      <c r="V49" s="9">
        <f>SUM('[1]Summary - Pricing'!$D$18,'[1]Summary - Pricing'!$D$21)*'TR 01 Inventory'!L49</f>
        <v>4133050</v>
      </c>
      <c r="W49" s="9">
        <f>'[1]Summary - Pricing'!$D$7*'TR 01 Inventory'!L49</f>
        <v>88425000</v>
      </c>
      <c r="X49" s="8">
        <f>W49+V49+U49+T49+S49</f>
        <v>108658050</v>
      </c>
    </row>
    <row r="50" spans="2:24" x14ac:dyDescent="0.3">
      <c r="B50" s="10" t="s">
        <v>5</v>
      </c>
      <c r="C50" s="10" t="s">
        <v>9</v>
      </c>
      <c r="D50" s="10" t="s">
        <v>94</v>
      </c>
      <c r="E50" s="10">
        <v>2</v>
      </c>
      <c r="F50" s="10" t="s">
        <v>54</v>
      </c>
      <c r="G50" s="11">
        <v>352.74900000000002</v>
      </c>
      <c r="H50" s="11">
        <v>3796.9549611000002</v>
      </c>
      <c r="I50" s="11">
        <v>742.1063216</v>
      </c>
      <c r="J50" s="11">
        <v>472.52499999999998</v>
      </c>
      <c r="K50" s="11">
        <v>5086.2118474999997</v>
      </c>
      <c r="L50" s="10">
        <v>6050</v>
      </c>
      <c r="M50" s="5" t="str">
        <f>HLOOKUP($F50,'[1]Summary - Pricing'!$D$3:$L$16,13,FALSE)</f>
        <v>Y</v>
      </c>
      <c r="N50" s="5" t="str">
        <f>HLOOKUP($F50,'[1]Summary - Pricing'!$D$3:$L$16,14,FALSE)</f>
        <v>Y</v>
      </c>
      <c r="O50" s="9">
        <f>IF(M50="Y",'[1]Summary - Pricing'!$D$10,0)</f>
        <v>750</v>
      </c>
      <c r="P50" s="9">
        <f>IF(N50="Y",'[1]Summary - Pricing'!$D$13,0)</f>
        <v>750</v>
      </c>
      <c r="Q50" s="9">
        <f>IF(AND(E50&gt;5,E50&lt;16),0,IF(E50&lt;6,'[1]Summary - Pricing'!$D$11,IF('TR 01 Inventory'!E50&gt;15,('TR 01 Inventory'!E50-15)*'[1]Summary - Pricing'!$D$12)))</f>
        <v>500</v>
      </c>
      <c r="R50" s="8">
        <f>SUM(O50:Q50)</f>
        <v>2000</v>
      </c>
      <c r="S50" s="9">
        <f>R50*L50</f>
        <v>12100000</v>
      </c>
      <c r="T50" s="9">
        <v>750000</v>
      </c>
      <c r="U50" s="9">
        <f>HLOOKUP(F50,'[1]Summary - Pricing'!$D$3:$L$20,18,FALSE)*100000</f>
        <v>2250000</v>
      </c>
      <c r="V50" s="9">
        <f>SUM('[1]Summary - Pricing'!$D$18,'[1]Summary - Pricing'!$D$21)*'TR 01 Inventory'!L50</f>
        <v>3817550</v>
      </c>
      <c r="W50" s="9">
        <f>'[1]Summary - Pricing'!$D$7*'TR 01 Inventory'!L50</f>
        <v>81675000</v>
      </c>
      <c r="X50" s="8">
        <f>W50+V50+U50+T50+S50</f>
        <v>100592550</v>
      </c>
    </row>
    <row r="51" spans="2:24" x14ac:dyDescent="0.3">
      <c r="B51" s="10" t="s">
        <v>5</v>
      </c>
      <c r="C51" s="10" t="s">
        <v>9</v>
      </c>
      <c r="D51" s="10" t="s">
        <v>93</v>
      </c>
      <c r="E51" s="10">
        <v>3</v>
      </c>
      <c r="F51" s="10" t="s">
        <v>62</v>
      </c>
      <c r="G51" s="11">
        <v>350.75099999999998</v>
      </c>
      <c r="H51" s="11">
        <v>3775.4486888999995</v>
      </c>
      <c r="I51" s="11">
        <v>742.1063216</v>
      </c>
      <c r="J51" s="11">
        <v>472.80500000000001</v>
      </c>
      <c r="K51" s="11">
        <v>5089.2257394999997</v>
      </c>
      <c r="L51" s="10">
        <v>6050</v>
      </c>
      <c r="M51" s="5" t="str">
        <f>HLOOKUP($F51,'[1]Summary - Pricing'!$D$3:$L$16,13,FALSE)</f>
        <v>Y</v>
      </c>
      <c r="N51" s="5" t="str">
        <f>HLOOKUP($F51,'[1]Summary - Pricing'!$D$3:$L$16,14,FALSE)</f>
        <v>Y</v>
      </c>
      <c r="O51" s="9">
        <f>IF(M51="Y",'[1]Summary - Pricing'!$D$10,0)</f>
        <v>750</v>
      </c>
      <c r="P51" s="9">
        <f>IF(N51="Y",'[1]Summary - Pricing'!$D$13,0)</f>
        <v>750</v>
      </c>
      <c r="Q51" s="9">
        <f>IF(AND(E51&gt;5,E51&lt;16),0,IF(E51&lt;6,'[1]Summary - Pricing'!$D$11,IF('TR 01 Inventory'!E51&gt;15,('TR 01 Inventory'!E51-15)*'[1]Summary - Pricing'!$D$12)))</f>
        <v>500</v>
      </c>
      <c r="R51" s="8">
        <f>SUM(O51:Q51)</f>
        <v>2000</v>
      </c>
      <c r="S51" s="9">
        <f>R51*L51</f>
        <v>12100000</v>
      </c>
      <c r="T51" s="9">
        <v>750000</v>
      </c>
      <c r="U51" s="9">
        <f>HLOOKUP(F51,'[1]Summary - Pricing'!$D$3:$L$20,18,FALSE)*100000</f>
        <v>2250000</v>
      </c>
      <c r="V51" s="9">
        <f>SUM('[1]Summary - Pricing'!$D$18,'[1]Summary - Pricing'!$D$21)*'TR 01 Inventory'!L51</f>
        <v>3817550</v>
      </c>
      <c r="W51" s="9">
        <f>'[1]Summary - Pricing'!$D$7*'TR 01 Inventory'!L51</f>
        <v>81675000</v>
      </c>
      <c r="X51" s="8">
        <f>W51+V51+U51+T51+S51</f>
        <v>100592550</v>
      </c>
    </row>
    <row r="52" spans="2:24" x14ac:dyDescent="0.3">
      <c r="B52" s="10" t="s">
        <v>5</v>
      </c>
      <c r="C52" s="10" t="s">
        <v>9</v>
      </c>
      <c r="D52" s="10" t="s">
        <v>92</v>
      </c>
      <c r="E52" s="10">
        <v>4</v>
      </c>
      <c r="F52" s="10" t="s">
        <v>54</v>
      </c>
      <c r="G52" s="11">
        <v>352.74900000000002</v>
      </c>
      <c r="H52" s="11">
        <v>3796.9549611000002</v>
      </c>
      <c r="I52" s="11">
        <v>742.1063216</v>
      </c>
      <c r="J52" s="11">
        <v>472.52499999999998</v>
      </c>
      <c r="K52" s="11">
        <v>5086.2118474999997</v>
      </c>
      <c r="L52" s="10">
        <v>6050</v>
      </c>
      <c r="M52" s="5" t="str">
        <f>HLOOKUP($F52,'[1]Summary - Pricing'!$D$3:$L$16,13,FALSE)</f>
        <v>Y</v>
      </c>
      <c r="N52" s="5" t="str">
        <f>HLOOKUP($F52,'[1]Summary - Pricing'!$D$3:$L$16,14,FALSE)</f>
        <v>Y</v>
      </c>
      <c r="O52" s="9">
        <f>IF(M52="Y",'[1]Summary - Pricing'!$D$10,0)</f>
        <v>750</v>
      </c>
      <c r="P52" s="9">
        <f>IF(N52="Y",'[1]Summary - Pricing'!$D$13,0)</f>
        <v>750</v>
      </c>
      <c r="Q52" s="9">
        <f>IF(AND(E52&gt;5,E52&lt;16),0,IF(E52&lt;6,'[1]Summary - Pricing'!$D$11,IF('TR 01 Inventory'!E52&gt;15,('TR 01 Inventory'!E52-15)*'[1]Summary - Pricing'!$D$12)))</f>
        <v>500</v>
      </c>
      <c r="R52" s="8">
        <f>SUM(O52:Q52)</f>
        <v>2000</v>
      </c>
      <c r="S52" s="9">
        <f>R52*L52</f>
        <v>12100000</v>
      </c>
      <c r="T52" s="9">
        <v>750000</v>
      </c>
      <c r="U52" s="9">
        <f>HLOOKUP(F52,'[1]Summary - Pricing'!$D$3:$L$20,18,FALSE)*100000</f>
        <v>2250000</v>
      </c>
      <c r="V52" s="9">
        <f>SUM('[1]Summary - Pricing'!$D$18,'[1]Summary - Pricing'!$D$21)*'TR 01 Inventory'!L52</f>
        <v>3817550</v>
      </c>
      <c r="W52" s="9">
        <f>'[1]Summary - Pricing'!$D$7*'TR 01 Inventory'!L52</f>
        <v>81675000</v>
      </c>
      <c r="X52" s="8">
        <f>W52+V52+U52+T52+S52</f>
        <v>100592550</v>
      </c>
    </row>
    <row r="53" spans="2:24" x14ac:dyDescent="0.3">
      <c r="B53" s="10" t="s">
        <v>5</v>
      </c>
      <c r="C53" s="10" t="s">
        <v>9</v>
      </c>
      <c r="D53" s="10" t="s">
        <v>91</v>
      </c>
      <c r="E53" s="10">
        <v>5</v>
      </c>
      <c r="F53" s="10" t="s">
        <v>62</v>
      </c>
      <c r="G53" s="11">
        <v>350.75099999999998</v>
      </c>
      <c r="H53" s="11">
        <v>3775.4486888999995</v>
      </c>
      <c r="I53" s="11">
        <v>742.1063216</v>
      </c>
      <c r="J53" s="11">
        <v>472.80500000000001</v>
      </c>
      <c r="K53" s="11">
        <v>5089.2257394999997</v>
      </c>
      <c r="L53" s="10">
        <v>6050</v>
      </c>
      <c r="M53" s="5" t="str">
        <f>HLOOKUP($F53,'[1]Summary - Pricing'!$D$3:$L$16,13,FALSE)</f>
        <v>Y</v>
      </c>
      <c r="N53" s="5" t="str">
        <f>HLOOKUP($F53,'[1]Summary - Pricing'!$D$3:$L$16,14,FALSE)</f>
        <v>Y</v>
      </c>
      <c r="O53" s="9">
        <f>IF(M53="Y",'[1]Summary - Pricing'!$D$10,0)</f>
        <v>750</v>
      </c>
      <c r="P53" s="9">
        <f>IF(N53="Y",'[1]Summary - Pricing'!$D$13,0)</f>
        <v>750</v>
      </c>
      <c r="Q53" s="9">
        <f>IF(AND(E53&gt;5,E53&lt;16),0,IF(E53&lt;6,'[1]Summary - Pricing'!$D$11,IF('TR 01 Inventory'!E53&gt;15,('TR 01 Inventory'!E53-15)*'[1]Summary - Pricing'!$D$12)))</f>
        <v>500</v>
      </c>
      <c r="R53" s="8">
        <f>SUM(O53:Q53)</f>
        <v>2000</v>
      </c>
      <c r="S53" s="9">
        <f>R53*L53</f>
        <v>12100000</v>
      </c>
      <c r="T53" s="9">
        <v>750000</v>
      </c>
      <c r="U53" s="9">
        <f>HLOOKUP(F53,'[1]Summary - Pricing'!$D$3:$L$20,18,FALSE)*100000</f>
        <v>2250000</v>
      </c>
      <c r="V53" s="9">
        <f>SUM('[1]Summary - Pricing'!$D$18,'[1]Summary - Pricing'!$D$21)*'TR 01 Inventory'!L53</f>
        <v>3817550</v>
      </c>
      <c r="W53" s="9">
        <f>'[1]Summary - Pricing'!$D$7*'TR 01 Inventory'!L53</f>
        <v>81675000</v>
      </c>
      <c r="X53" s="8">
        <f>W53+V53+U53+T53+S53</f>
        <v>100592550</v>
      </c>
    </row>
    <row r="54" spans="2:24" x14ac:dyDescent="0.3">
      <c r="B54" s="10" t="s">
        <v>5</v>
      </c>
      <c r="C54" s="10" t="s">
        <v>9</v>
      </c>
      <c r="D54" s="10" t="s">
        <v>90</v>
      </c>
      <c r="E54" s="10">
        <v>6</v>
      </c>
      <c r="F54" s="10" t="s">
        <v>54</v>
      </c>
      <c r="G54" s="11">
        <v>352.74900000000002</v>
      </c>
      <c r="H54" s="11">
        <v>3796.9549611000002</v>
      </c>
      <c r="I54" s="11">
        <v>742.1063216</v>
      </c>
      <c r="J54" s="11">
        <v>472.52499999999998</v>
      </c>
      <c r="K54" s="11">
        <v>5086.2118474999997</v>
      </c>
      <c r="L54" s="10">
        <v>6050</v>
      </c>
      <c r="M54" s="5" t="str">
        <f>HLOOKUP($F54,'[1]Summary - Pricing'!$D$3:$L$16,13,FALSE)</f>
        <v>Y</v>
      </c>
      <c r="N54" s="5" t="str">
        <f>HLOOKUP($F54,'[1]Summary - Pricing'!$D$3:$L$16,14,FALSE)</f>
        <v>Y</v>
      </c>
      <c r="O54" s="9">
        <f>IF(M54="Y",'[1]Summary - Pricing'!$D$10,0)</f>
        <v>750</v>
      </c>
      <c r="P54" s="9">
        <f>IF(N54="Y",'[1]Summary - Pricing'!$D$13,0)</f>
        <v>750</v>
      </c>
      <c r="Q54" s="9">
        <f>IF(AND(E54&gt;5,E54&lt;16),0,IF(E54&lt;6,'[1]Summary - Pricing'!$D$11,IF('TR 01 Inventory'!E54&gt;15,('TR 01 Inventory'!E54-15)*'[1]Summary - Pricing'!$D$12)))</f>
        <v>0</v>
      </c>
      <c r="R54" s="8">
        <f>SUM(O54:Q54)</f>
        <v>1500</v>
      </c>
      <c r="S54" s="9">
        <f>R54*L54</f>
        <v>9075000</v>
      </c>
      <c r="T54" s="9">
        <v>750000</v>
      </c>
      <c r="U54" s="9">
        <f>HLOOKUP(F54,'[1]Summary - Pricing'!$D$3:$L$20,18,FALSE)*100000</f>
        <v>2250000</v>
      </c>
      <c r="V54" s="9">
        <f>SUM('[1]Summary - Pricing'!$D$18,'[1]Summary - Pricing'!$D$21)*'TR 01 Inventory'!L54</f>
        <v>3817550</v>
      </c>
      <c r="W54" s="9">
        <f>'[1]Summary - Pricing'!$D$7*'TR 01 Inventory'!L54</f>
        <v>81675000</v>
      </c>
      <c r="X54" s="8">
        <f>W54+V54+U54+T54+S54</f>
        <v>97567550</v>
      </c>
    </row>
    <row r="55" spans="2:24" x14ac:dyDescent="0.3">
      <c r="B55" s="10" t="s">
        <v>5</v>
      </c>
      <c r="C55" s="10" t="s">
        <v>9</v>
      </c>
      <c r="D55" s="10" t="s">
        <v>89</v>
      </c>
      <c r="E55" s="10">
        <v>7</v>
      </c>
      <c r="F55" s="10" t="s">
        <v>62</v>
      </c>
      <c r="G55" s="11">
        <v>350.75099999999998</v>
      </c>
      <c r="H55" s="11">
        <v>3775.4486888999995</v>
      </c>
      <c r="I55" s="11">
        <v>742.1063216</v>
      </c>
      <c r="J55" s="11">
        <v>472.80500000000001</v>
      </c>
      <c r="K55" s="11">
        <v>5089.2257394999997</v>
      </c>
      <c r="L55" s="10">
        <v>6050</v>
      </c>
      <c r="M55" s="5" t="str">
        <f>HLOOKUP($F55,'[1]Summary - Pricing'!$D$3:$L$16,13,FALSE)</f>
        <v>Y</v>
      </c>
      <c r="N55" s="5" t="str">
        <f>HLOOKUP($F55,'[1]Summary - Pricing'!$D$3:$L$16,14,FALSE)</f>
        <v>Y</v>
      </c>
      <c r="O55" s="9">
        <f>IF(M55="Y",'[1]Summary - Pricing'!$D$10,0)</f>
        <v>750</v>
      </c>
      <c r="P55" s="9">
        <f>IF(N55="Y",'[1]Summary - Pricing'!$D$13,0)</f>
        <v>750</v>
      </c>
      <c r="Q55" s="9">
        <f>IF(AND(E55&gt;5,E55&lt;16),0,IF(E55&lt;6,'[1]Summary - Pricing'!$D$11,IF('TR 01 Inventory'!E55&gt;15,('TR 01 Inventory'!E55-15)*'[1]Summary - Pricing'!$D$12)))</f>
        <v>0</v>
      </c>
      <c r="R55" s="8">
        <f>SUM(O55:Q55)</f>
        <v>1500</v>
      </c>
      <c r="S55" s="9">
        <f>R55*L55</f>
        <v>9075000</v>
      </c>
      <c r="T55" s="9">
        <v>750000</v>
      </c>
      <c r="U55" s="9">
        <f>HLOOKUP(F55,'[1]Summary - Pricing'!$D$3:$L$20,18,FALSE)*100000</f>
        <v>2250000</v>
      </c>
      <c r="V55" s="9">
        <f>SUM('[1]Summary - Pricing'!$D$18,'[1]Summary - Pricing'!$D$21)*'TR 01 Inventory'!L55</f>
        <v>3817550</v>
      </c>
      <c r="W55" s="9">
        <f>'[1]Summary - Pricing'!$D$7*'TR 01 Inventory'!L55</f>
        <v>81675000</v>
      </c>
      <c r="X55" s="8">
        <f>W55+V55+U55+T55+S55</f>
        <v>97567550</v>
      </c>
    </row>
    <row r="56" spans="2:24" x14ac:dyDescent="0.3">
      <c r="B56" s="10" t="s">
        <v>5</v>
      </c>
      <c r="C56" s="10" t="s">
        <v>9</v>
      </c>
      <c r="D56" s="10" t="s">
        <v>88</v>
      </c>
      <c r="E56" s="10">
        <v>8</v>
      </c>
      <c r="F56" s="10" t="s">
        <v>54</v>
      </c>
      <c r="G56" s="11">
        <v>352.74900000000002</v>
      </c>
      <c r="H56" s="11">
        <v>3796.9549611000002</v>
      </c>
      <c r="I56" s="11">
        <v>742.1063216</v>
      </c>
      <c r="J56" s="11">
        <v>472.52499999999998</v>
      </c>
      <c r="K56" s="11">
        <v>5086.2118474999997</v>
      </c>
      <c r="L56" s="10">
        <v>6050</v>
      </c>
      <c r="M56" s="5" t="str">
        <f>HLOOKUP($F56,'[1]Summary - Pricing'!$D$3:$L$16,13,FALSE)</f>
        <v>Y</v>
      </c>
      <c r="N56" s="5" t="str">
        <f>HLOOKUP($F56,'[1]Summary - Pricing'!$D$3:$L$16,14,FALSE)</f>
        <v>Y</v>
      </c>
      <c r="O56" s="9">
        <f>IF(M56="Y",'[1]Summary - Pricing'!$D$10,0)</f>
        <v>750</v>
      </c>
      <c r="P56" s="9">
        <f>IF(N56="Y",'[1]Summary - Pricing'!$D$13,0)</f>
        <v>750</v>
      </c>
      <c r="Q56" s="9">
        <f>IF(AND(E56&gt;5,E56&lt;16),0,IF(E56&lt;6,'[1]Summary - Pricing'!$D$11,IF('TR 01 Inventory'!E56&gt;15,('TR 01 Inventory'!E56-15)*'[1]Summary - Pricing'!$D$12)))</f>
        <v>0</v>
      </c>
      <c r="R56" s="8">
        <f>SUM(O56:Q56)</f>
        <v>1500</v>
      </c>
      <c r="S56" s="9">
        <f>R56*L56</f>
        <v>9075000</v>
      </c>
      <c r="T56" s="9">
        <v>750000</v>
      </c>
      <c r="U56" s="9">
        <f>HLOOKUP(F56,'[1]Summary - Pricing'!$D$3:$L$20,18,FALSE)*100000</f>
        <v>2250000</v>
      </c>
      <c r="V56" s="9">
        <f>SUM('[1]Summary - Pricing'!$D$18,'[1]Summary - Pricing'!$D$21)*'TR 01 Inventory'!L56</f>
        <v>3817550</v>
      </c>
      <c r="W56" s="9">
        <f>'[1]Summary - Pricing'!$D$7*'TR 01 Inventory'!L56</f>
        <v>81675000</v>
      </c>
      <c r="X56" s="8">
        <f>W56+V56+U56+T56+S56</f>
        <v>97567550</v>
      </c>
    </row>
    <row r="57" spans="2:24" x14ac:dyDescent="0.3">
      <c r="B57" s="10" t="s">
        <v>5</v>
      </c>
      <c r="C57" s="10" t="s">
        <v>9</v>
      </c>
      <c r="D57" s="10" t="s">
        <v>87</v>
      </c>
      <c r="E57" s="10">
        <v>9</v>
      </c>
      <c r="F57" s="10" t="s">
        <v>62</v>
      </c>
      <c r="G57" s="11">
        <v>350.75099999999998</v>
      </c>
      <c r="H57" s="11">
        <v>3775.4486888999995</v>
      </c>
      <c r="I57" s="11">
        <v>742.1063216</v>
      </c>
      <c r="J57" s="11">
        <v>472.80500000000001</v>
      </c>
      <c r="K57" s="11">
        <v>5089.2257394999997</v>
      </c>
      <c r="L57" s="10">
        <v>6050</v>
      </c>
      <c r="M57" s="5" t="str">
        <f>HLOOKUP($F57,'[1]Summary - Pricing'!$D$3:$L$16,13,FALSE)</f>
        <v>Y</v>
      </c>
      <c r="N57" s="5" t="str">
        <f>HLOOKUP($F57,'[1]Summary - Pricing'!$D$3:$L$16,14,FALSE)</f>
        <v>Y</v>
      </c>
      <c r="O57" s="9">
        <f>IF(M57="Y",'[1]Summary - Pricing'!$D$10,0)</f>
        <v>750</v>
      </c>
      <c r="P57" s="9">
        <f>IF(N57="Y",'[1]Summary - Pricing'!$D$13,0)</f>
        <v>750</v>
      </c>
      <c r="Q57" s="9">
        <f>IF(AND(E57&gt;5,E57&lt;16),0,IF(E57&lt;6,'[1]Summary - Pricing'!$D$11,IF('TR 01 Inventory'!E57&gt;15,('TR 01 Inventory'!E57-15)*'[1]Summary - Pricing'!$D$12)))</f>
        <v>0</v>
      </c>
      <c r="R57" s="8">
        <f>SUM(O57:Q57)</f>
        <v>1500</v>
      </c>
      <c r="S57" s="9">
        <f>R57*L57</f>
        <v>9075000</v>
      </c>
      <c r="T57" s="9">
        <v>750000</v>
      </c>
      <c r="U57" s="9">
        <f>HLOOKUP(F57,'[1]Summary - Pricing'!$D$3:$L$20,18,FALSE)*100000</f>
        <v>2250000</v>
      </c>
      <c r="V57" s="9">
        <f>SUM('[1]Summary - Pricing'!$D$18,'[1]Summary - Pricing'!$D$21)*'TR 01 Inventory'!L57</f>
        <v>3817550</v>
      </c>
      <c r="W57" s="9">
        <f>'[1]Summary - Pricing'!$D$7*'TR 01 Inventory'!L57</f>
        <v>81675000</v>
      </c>
      <c r="X57" s="8">
        <f>W57+V57+U57+T57+S57</f>
        <v>97567550</v>
      </c>
    </row>
    <row r="58" spans="2:24" x14ac:dyDescent="0.3">
      <c r="B58" s="10" t="s">
        <v>5</v>
      </c>
      <c r="C58" s="10" t="s">
        <v>9</v>
      </c>
      <c r="D58" s="10" t="s">
        <v>86</v>
      </c>
      <c r="E58" s="10">
        <v>10</v>
      </c>
      <c r="F58" s="10" t="s">
        <v>54</v>
      </c>
      <c r="G58" s="11">
        <v>352.74900000000002</v>
      </c>
      <c r="H58" s="11">
        <v>3796.9549611000002</v>
      </c>
      <c r="I58" s="11">
        <v>742.1063216</v>
      </c>
      <c r="J58" s="11">
        <v>472.52499999999998</v>
      </c>
      <c r="K58" s="11">
        <v>5086.2118474999997</v>
      </c>
      <c r="L58" s="10">
        <v>6050</v>
      </c>
      <c r="M58" s="5" t="str">
        <f>HLOOKUP($F58,'[1]Summary - Pricing'!$D$3:$L$16,13,FALSE)</f>
        <v>Y</v>
      </c>
      <c r="N58" s="5" t="str">
        <f>HLOOKUP($F58,'[1]Summary - Pricing'!$D$3:$L$16,14,FALSE)</f>
        <v>Y</v>
      </c>
      <c r="O58" s="9">
        <f>IF(M58="Y",'[1]Summary - Pricing'!$D$10,0)</f>
        <v>750</v>
      </c>
      <c r="P58" s="9">
        <f>IF(N58="Y",'[1]Summary - Pricing'!$D$13,0)</f>
        <v>750</v>
      </c>
      <c r="Q58" s="9">
        <f>IF(AND(E58&gt;5,E58&lt;16),0,IF(E58&lt;6,'[1]Summary - Pricing'!$D$11,IF('TR 01 Inventory'!E58&gt;15,('TR 01 Inventory'!E58-15)*'[1]Summary - Pricing'!$D$12)))</f>
        <v>0</v>
      </c>
      <c r="R58" s="8">
        <f>SUM(O58:Q58)</f>
        <v>1500</v>
      </c>
      <c r="S58" s="9">
        <f>R58*L58</f>
        <v>9075000</v>
      </c>
      <c r="T58" s="9">
        <v>750000</v>
      </c>
      <c r="U58" s="9">
        <f>HLOOKUP(F58,'[1]Summary - Pricing'!$D$3:$L$20,18,FALSE)*100000</f>
        <v>2250000</v>
      </c>
      <c r="V58" s="9">
        <f>SUM('[1]Summary - Pricing'!$D$18,'[1]Summary - Pricing'!$D$21)*'TR 01 Inventory'!L58</f>
        <v>3817550</v>
      </c>
      <c r="W58" s="9">
        <f>'[1]Summary - Pricing'!$D$7*'TR 01 Inventory'!L58</f>
        <v>81675000</v>
      </c>
      <c r="X58" s="8">
        <f>W58+V58+U58+T58+S58</f>
        <v>97567550</v>
      </c>
    </row>
    <row r="59" spans="2:24" x14ac:dyDescent="0.3">
      <c r="B59" s="10" t="s">
        <v>5</v>
      </c>
      <c r="C59" s="10" t="s">
        <v>9</v>
      </c>
      <c r="D59" s="10" t="s">
        <v>85</v>
      </c>
      <c r="E59" s="10">
        <v>11</v>
      </c>
      <c r="F59" s="10" t="s">
        <v>62</v>
      </c>
      <c r="G59" s="11">
        <v>350.75099999999998</v>
      </c>
      <c r="H59" s="11">
        <v>3775.4486888999995</v>
      </c>
      <c r="I59" s="11">
        <v>742.1063216</v>
      </c>
      <c r="J59" s="11">
        <v>472.80500000000001</v>
      </c>
      <c r="K59" s="11">
        <v>5089.2257394999997</v>
      </c>
      <c r="L59" s="10">
        <v>6050</v>
      </c>
      <c r="M59" s="5" t="str">
        <f>HLOOKUP($F59,'[1]Summary - Pricing'!$D$3:$L$16,13,FALSE)</f>
        <v>Y</v>
      </c>
      <c r="N59" s="5" t="str">
        <f>HLOOKUP($F59,'[1]Summary - Pricing'!$D$3:$L$16,14,FALSE)</f>
        <v>Y</v>
      </c>
      <c r="O59" s="9">
        <f>IF(M59="Y",'[1]Summary - Pricing'!$D$10,0)</f>
        <v>750</v>
      </c>
      <c r="P59" s="9">
        <f>IF(N59="Y",'[1]Summary - Pricing'!$D$13,0)</f>
        <v>750</v>
      </c>
      <c r="Q59" s="9">
        <f>IF(AND(E59&gt;5,E59&lt;16),0,IF(E59&lt;6,'[1]Summary - Pricing'!$D$11,IF('TR 01 Inventory'!E59&gt;15,('TR 01 Inventory'!E59-15)*'[1]Summary - Pricing'!$D$12)))</f>
        <v>0</v>
      </c>
      <c r="R59" s="8">
        <f>SUM(O59:Q59)</f>
        <v>1500</v>
      </c>
      <c r="S59" s="9">
        <f>R59*L59</f>
        <v>9075000</v>
      </c>
      <c r="T59" s="9">
        <v>750000</v>
      </c>
      <c r="U59" s="9">
        <f>HLOOKUP(F59,'[1]Summary - Pricing'!$D$3:$L$20,18,FALSE)*100000</f>
        <v>2250000</v>
      </c>
      <c r="V59" s="9">
        <f>SUM('[1]Summary - Pricing'!$D$18,'[1]Summary - Pricing'!$D$21)*'TR 01 Inventory'!L59</f>
        <v>3817550</v>
      </c>
      <c r="W59" s="9">
        <f>'[1]Summary - Pricing'!$D$7*'TR 01 Inventory'!L59</f>
        <v>81675000</v>
      </c>
      <c r="X59" s="8">
        <f>W59+V59+U59+T59+S59</f>
        <v>97567550</v>
      </c>
    </row>
    <row r="60" spans="2:24" x14ac:dyDescent="0.3">
      <c r="B60" s="10" t="s">
        <v>5</v>
      </c>
      <c r="C60" s="10" t="s">
        <v>9</v>
      </c>
      <c r="D60" s="10" t="s">
        <v>84</v>
      </c>
      <c r="E60" s="10">
        <v>12</v>
      </c>
      <c r="F60" s="10" t="s">
        <v>54</v>
      </c>
      <c r="G60" s="11">
        <v>352.74900000000002</v>
      </c>
      <c r="H60" s="11">
        <v>3796.9549611000002</v>
      </c>
      <c r="I60" s="11">
        <v>742.1063216</v>
      </c>
      <c r="J60" s="11">
        <v>472.52499999999998</v>
      </c>
      <c r="K60" s="11">
        <v>5086.2118474999997</v>
      </c>
      <c r="L60" s="10">
        <v>6050</v>
      </c>
      <c r="M60" s="5" t="str">
        <f>HLOOKUP($F60,'[1]Summary - Pricing'!$D$3:$L$16,13,FALSE)</f>
        <v>Y</v>
      </c>
      <c r="N60" s="5" t="str">
        <f>HLOOKUP($F60,'[1]Summary - Pricing'!$D$3:$L$16,14,FALSE)</f>
        <v>Y</v>
      </c>
      <c r="O60" s="9">
        <f>IF(M60="Y",'[1]Summary - Pricing'!$D$10,0)</f>
        <v>750</v>
      </c>
      <c r="P60" s="9">
        <f>IF(N60="Y",'[1]Summary - Pricing'!$D$13,0)</f>
        <v>750</v>
      </c>
      <c r="Q60" s="9">
        <f>IF(AND(E60&gt;5,E60&lt;16),0,IF(E60&lt;6,'[1]Summary - Pricing'!$D$11,IF('TR 01 Inventory'!E60&gt;15,('TR 01 Inventory'!E60-15)*'[1]Summary - Pricing'!$D$12)))</f>
        <v>0</v>
      </c>
      <c r="R60" s="8">
        <f>SUM(O60:Q60)</f>
        <v>1500</v>
      </c>
      <c r="S60" s="9">
        <f>R60*L60</f>
        <v>9075000</v>
      </c>
      <c r="T60" s="9">
        <v>750000</v>
      </c>
      <c r="U60" s="9">
        <f>HLOOKUP(F60,'[1]Summary - Pricing'!$D$3:$L$20,18,FALSE)*100000</f>
        <v>2250000</v>
      </c>
      <c r="V60" s="9">
        <f>SUM('[1]Summary - Pricing'!$D$18,'[1]Summary - Pricing'!$D$21)*'TR 01 Inventory'!L60</f>
        <v>3817550</v>
      </c>
      <c r="W60" s="9">
        <f>'[1]Summary - Pricing'!$D$7*'TR 01 Inventory'!L60</f>
        <v>81675000</v>
      </c>
      <c r="X60" s="8">
        <f>W60+V60+U60+T60+S60</f>
        <v>97567550</v>
      </c>
    </row>
    <row r="61" spans="2:24" x14ac:dyDescent="0.3">
      <c r="B61" s="10" t="s">
        <v>5</v>
      </c>
      <c r="C61" s="10" t="s">
        <v>9</v>
      </c>
      <c r="D61" s="10" t="s">
        <v>83</v>
      </c>
      <c r="E61" s="10">
        <v>14</v>
      </c>
      <c r="F61" s="10" t="s">
        <v>62</v>
      </c>
      <c r="G61" s="11">
        <v>350.75099999999998</v>
      </c>
      <c r="H61" s="11">
        <v>3775.4486888999995</v>
      </c>
      <c r="I61" s="11">
        <v>742.1063216</v>
      </c>
      <c r="J61" s="11">
        <v>472.80500000000001</v>
      </c>
      <c r="K61" s="11">
        <v>5089.2257394999997</v>
      </c>
      <c r="L61" s="10">
        <v>6050</v>
      </c>
      <c r="M61" s="5" t="str">
        <f>HLOOKUP($F61,'[1]Summary - Pricing'!$D$3:$L$16,13,FALSE)</f>
        <v>Y</v>
      </c>
      <c r="N61" s="5" t="str">
        <f>HLOOKUP($F61,'[1]Summary - Pricing'!$D$3:$L$16,14,FALSE)</f>
        <v>Y</v>
      </c>
      <c r="O61" s="9">
        <f>IF(M61="Y",'[1]Summary - Pricing'!$D$10,0)</f>
        <v>750</v>
      </c>
      <c r="P61" s="9">
        <f>IF(N61="Y",'[1]Summary - Pricing'!$D$13,0)</f>
        <v>750</v>
      </c>
      <c r="Q61" s="9">
        <f>IF(AND(E61&gt;5,E61&lt;16),0,IF(E61&lt;6,'[1]Summary - Pricing'!$D$11,IF('TR 01 Inventory'!E61&gt;15,('TR 01 Inventory'!E61-15)*'[1]Summary - Pricing'!$D$12)))</f>
        <v>0</v>
      </c>
      <c r="R61" s="8">
        <f>SUM(O61:Q61)</f>
        <v>1500</v>
      </c>
      <c r="S61" s="9">
        <f>R61*L61</f>
        <v>9075000</v>
      </c>
      <c r="T61" s="9">
        <v>750000</v>
      </c>
      <c r="U61" s="9">
        <f>HLOOKUP(F61,'[1]Summary - Pricing'!$D$3:$L$20,18,FALSE)*100000</f>
        <v>2250000</v>
      </c>
      <c r="V61" s="9">
        <f>SUM('[1]Summary - Pricing'!$D$18,'[1]Summary - Pricing'!$D$21)*'TR 01 Inventory'!L61</f>
        <v>3817550</v>
      </c>
      <c r="W61" s="9">
        <f>'[1]Summary - Pricing'!$D$7*'TR 01 Inventory'!L61</f>
        <v>81675000</v>
      </c>
      <c r="X61" s="8">
        <f>W61+V61+U61+T61+S61</f>
        <v>97567550</v>
      </c>
    </row>
    <row r="62" spans="2:24" x14ac:dyDescent="0.3">
      <c r="B62" s="10" t="s">
        <v>5</v>
      </c>
      <c r="C62" s="10" t="s">
        <v>9</v>
      </c>
      <c r="D62" s="10" t="s">
        <v>82</v>
      </c>
      <c r="E62" s="10">
        <v>15</v>
      </c>
      <c r="F62" s="10" t="s">
        <v>54</v>
      </c>
      <c r="G62" s="11">
        <v>352.74900000000002</v>
      </c>
      <c r="H62" s="11">
        <v>3796.9549611000002</v>
      </c>
      <c r="I62" s="11">
        <v>742.1063216</v>
      </c>
      <c r="J62" s="11">
        <v>472.52499999999998</v>
      </c>
      <c r="K62" s="11">
        <v>5086.2118474999997</v>
      </c>
      <c r="L62" s="10">
        <v>6050</v>
      </c>
      <c r="M62" s="5" t="str">
        <f>HLOOKUP($F62,'[1]Summary - Pricing'!$D$3:$L$16,13,FALSE)</f>
        <v>Y</v>
      </c>
      <c r="N62" s="5" t="str">
        <f>HLOOKUP($F62,'[1]Summary - Pricing'!$D$3:$L$16,14,FALSE)</f>
        <v>Y</v>
      </c>
      <c r="O62" s="9">
        <f>IF(M62="Y",'[1]Summary - Pricing'!$D$10,0)</f>
        <v>750</v>
      </c>
      <c r="P62" s="9">
        <f>IF(N62="Y",'[1]Summary - Pricing'!$D$13,0)</f>
        <v>750</v>
      </c>
      <c r="Q62" s="9">
        <f>IF(AND(E62&gt;5,E62&lt;16),0,IF(E62&lt;6,'[1]Summary - Pricing'!$D$11,IF('TR 01 Inventory'!E62&gt;15,('TR 01 Inventory'!E62-15)*'[1]Summary - Pricing'!$D$12)))</f>
        <v>0</v>
      </c>
      <c r="R62" s="8">
        <f>SUM(O62:Q62)</f>
        <v>1500</v>
      </c>
      <c r="S62" s="9">
        <f>R62*L62</f>
        <v>9075000</v>
      </c>
      <c r="T62" s="9">
        <v>750000</v>
      </c>
      <c r="U62" s="9">
        <f>HLOOKUP(F62,'[1]Summary - Pricing'!$D$3:$L$20,18,FALSE)*100000</f>
        <v>2250000</v>
      </c>
      <c r="V62" s="9">
        <f>SUM('[1]Summary - Pricing'!$D$18,'[1]Summary - Pricing'!$D$21)*'TR 01 Inventory'!L62</f>
        <v>3817550</v>
      </c>
      <c r="W62" s="9">
        <f>'[1]Summary - Pricing'!$D$7*'TR 01 Inventory'!L62</f>
        <v>81675000</v>
      </c>
      <c r="X62" s="8">
        <f>W62+V62+U62+T62+S62</f>
        <v>97567550</v>
      </c>
    </row>
    <row r="63" spans="2:24" x14ac:dyDescent="0.3">
      <c r="B63" s="10" t="s">
        <v>5</v>
      </c>
      <c r="C63" s="10" t="s">
        <v>9</v>
      </c>
      <c r="D63" s="10" t="s">
        <v>81</v>
      </c>
      <c r="E63" s="10">
        <v>16</v>
      </c>
      <c r="F63" s="10" t="s">
        <v>62</v>
      </c>
      <c r="G63" s="11">
        <v>350.75099999999998</v>
      </c>
      <c r="H63" s="11">
        <v>3775.4486888999995</v>
      </c>
      <c r="I63" s="11">
        <v>742.1063216</v>
      </c>
      <c r="J63" s="11">
        <v>472.80500000000001</v>
      </c>
      <c r="K63" s="11">
        <v>5089.2257394999997</v>
      </c>
      <c r="L63" s="10">
        <v>6050</v>
      </c>
      <c r="M63" s="5" t="str">
        <f>HLOOKUP($F63,'[1]Summary - Pricing'!$D$3:$L$16,13,FALSE)</f>
        <v>Y</v>
      </c>
      <c r="N63" s="5" t="str">
        <f>HLOOKUP($F63,'[1]Summary - Pricing'!$D$3:$L$16,14,FALSE)</f>
        <v>Y</v>
      </c>
      <c r="O63" s="9">
        <f>IF(M63="Y",'[1]Summary - Pricing'!$D$10,0)</f>
        <v>750</v>
      </c>
      <c r="P63" s="9">
        <f>IF(N63="Y",'[1]Summary - Pricing'!$D$13,0)</f>
        <v>750</v>
      </c>
      <c r="Q63" s="9">
        <f>IF(AND(E63&gt;5,E63&lt;16),0,IF(E63&lt;6,'[1]Summary - Pricing'!$D$11,IF('TR 01 Inventory'!E63&gt;15,('TR 01 Inventory'!E63-15)*'[1]Summary - Pricing'!$D$12)))</f>
        <v>50</v>
      </c>
      <c r="R63" s="8">
        <f>SUM(O63:Q63)</f>
        <v>1550</v>
      </c>
      <c r="S63" s="9">
        <f>R63*L63</f>
        <v>9377500</v>
      </c>
      <c r="T63" s="9">
        <v>750000</v>
      </c>
      <c r="U63" s="9">
        <f>HLOOKUP(F63,'[1]Summary - Pricing'!$D$3:$L$20,18,FALSE)*100000</f>
        <v>2250000</v>
      </c>
      <c r="V63" s="9">
        <f>SUM('[1]Summary - Pricing'!$D$18,'[1]Summary - Pricing'!$D$21)*'TR 01 Inventory'!L63</f>
        <v>3817550</v>
      </c>
      <c r="W63" s="9">
        <f>'[1]Summary - Pricing'!$D$7*'TR 01 Inventory'!L63</f>
        <v>81675000</v>
      </c>
      <c r="X63" s="8">
        <f>W63+V63+U63+T63+S63</f>
        <v>97870050</v>
      </c>
    </row>
    <row r="64" spans="2:24" x14ac:dyDescent="0.3">
      <c r="B64" s="10" t="s">
        <v>5</v>
      </c>
      <c r="C64" s="10" t="s">
        <v>9</v>
      </c>
      <c r="D64" s="10" t="s">
        <v>80</v>
      </c>
      <c r="E64" s="10">
        <v>17</v>
      </c>
      <c r="F64" s="10" t="s">
        <v>54</v>
      </c>
      <c r="G64" s="11">
        <v>352.74900000000002</v>
      </c>
      <c r="H64" s="11">
        <v>3796.9549611000002</v>
      </c>
      <c r="I64" s="11">
        <v>742.1063216</v>
      </c>
      <c r="J64" s="11">
        <v>472.52499999999998</v>
      </c>
      <c r="K64" s="11">
        <v>5086.2118474999997</v>
      </c>
      <c r="L64" s="10">
        <v>6050</v>
      </c>
      <c r="M64" s="5" t="str">
        <f>HLOOKUP($F64,'[1]Summary - Pricing'!$D$3:$L$16,13,FALSE)</f>
        <v>Y</v>
      </c>
      <c r="N64" s="5" t="str">
        <f>HLOOKUP($F64,'[1]Summary - Pricing'!$D$3:$L$16,14,FALSE)</f>
        <v>Y</v>
      </c>
      <c r="O64" s="9">
        <f>IF(M64="Y",'[1]Summary - Pricing'!$D$10,0)</f>
        <v>750</v>
      </c>
      <c r="P64" s="9">
        <f>IF(N64="Y",'[1]Summary - Pricing'!$D$13,0)</f>
        <v>750</v>
      </c>
      <c r="Q64" s="9">
        <f>IF(AND(E64&gt;5,E64&lt;16),0,IF(E64&lt;6,'[1]Summary - Pricing'!$D$11,IF('TR 01 Inventory'!E64&gt;15,('TR 01 Inventory'!E64-15)*'[1]Summary - Pricing'!$D$12)))</f>
        <v>100</v>
      </c>
      <c r="R64" s="8">
        <f>SUM(O64:Q64)</f>
        <v>1600</v>
      </c>
      <c r="S64" s="9">
        <f>R64*L64</f>
        <v>9680000</v>
      </c>
      <c r="T64" s="9">
        <v>750000</v>
      </c>
      <c r="U64" s="9">
        <f>HLOOKUP(F64,'[1]Summary - Pricing'!$D$3:$L$20,18,FALSE)*100000</f>
        <v>2250000</v>
      </c>
      <c r="V64" s="9">
        <f>SUM('[1]Summary - Pricing'!$D$18,'[1]Summary - Pricing'!$D$21)*'TR 01 Inventory'!L64</f>
        <v>3817550</v>
      </c>
      <c r="W64" s="9">
        <f>'[1]Summary - Pricing'!$D$7*'TR 01 Inventory'!L64</f>
        <v>81675000</v>
      </c>
      <c r="X64" s="8">
        <f>W64+V64+U64+T64+S64</f>
        <v>98172550</v>
      </c>
    </row>
    <row r="65" spans="2:24" x14ac:dyDescent="0.3">
      <c r="B65" s="10" t="s">
        <v>5</v>
      </c>
      <c r="C65" s="10" t="s">
        <v>9</v>
      </c>
      <c r="D65" s="10" t="s">
        <v>79</v>
      </c>
      <c r="E65" s="10">
        <v>18</v>
      </c>
      <c r="F65" s="10" t="s">
        <v>62</v>
      </c>
      <c r="G65" s="11">
        <v>350.75099999999998</v>
      </c>
      <c r="H65" s="11">
        <v>3775.4486888999995</v>
      </c>
      <c r="I65" s="11">
        <v>742.1063216</v>
      </c>
      <c r="J65" s="11">
        <v>472.80500000000001</v>
      </c>
      <c r="K65" s="11">
        <v>5089.2257394999997</v>
      </c>
      <c r="L65" s="10">
        <v>6050</v>
      </c>
      <c r="M65" s="5" t="str">
        <f>HLOOKUP($F65,'[1]Summary - Pricing'!$D$3:$L$16,13,FALSE)</f>
        <v>Y</v>
      </c>
      <c r="N65" s="5" t="str">
        <f>HLOOKUP($F65,'[1]Summary - Pricing'!$D$3:$L$16,14,FALSE)</f>
        <v>Y</v>
      </c>
      <c r="O65" s="9">
        <f>IF(M65="Y",'[1]Summary - Pricing'!$D$10,0)</f>
        <v>750</v>
      </c>
      <c r="P65" s="9">
        <f>IF(N65="Y",'[1]Summary - Pricing'!$D$13,0)</f>
        <v>750</v>
      </c>
      <c r="Q65" s="9">
        <f>IF(AND(E65&gt;5,E65&lt;16),0,IF(E65&lt;6,'[1]Summary - Pricing'!$D$11,IF('TR 01 Inventory'!E65&gt;15,('TR 01 Inventory'!E65-15)*'[1]Summary - Pricing'!$D$12)))</f>
        <v>150</v>
      </c>
      <c r="R65" s="8">
        <f>SUM(O65:Q65)</f>
        <v>1650</v>
      </c>
      <c r="S65" s="9">
        <f>R65*L65</f>
        <v>9982500</v>
      </c>
      <c r="T65" s="9">
        <v>750000</v>
      </c>
      <c r="U65" s="9">
        <f>HLOOKUP(F65,'[1]Summary - Pricing'!$D$3:$L$20,18,FALSE)*100000</f>
        <v>2250000</v>
      </c>
      <c r="V65" s="9">
        <f>SUM('[1]Summary - Pricing'!$D$18,'[1]Summary - Pricing'!$D$21)*'TR 01 Inventory'!L65</f>
        <v>3817550</v>
      </c>
      <c r="W65" s="9">
        <f>'[1]Summary - Pricing'!$D$7*'TR 01 Inventory'!L65</f>
        <v>81675000</v>
      </c>
      <c r="X65" s="8">
        <f>W65+V65+U65+T65+S65</f>
        <v>98475050</v>
      </c>
    </row>
    <row r="66" spans="2:24" x14ac:dyDescent="0.3">
      <c r="B66" s="10" t="s">
        <v>5</v>
      </c>
      <c r="C66" s="10" t="s">
        <v>9</v>
      </c>
      <c r="D66" s="10" t="s">
        <v>78</v>
      </c>
      <c r="E66" s="10">
        <v>19</v>
      </c>
      <c r="F66" s="10" t="s">
        <v>54</v>
      </c>
      <c r="G66" s="11">
        <v>352.74900000000002</v>
      </c>
      <c r="H66" s="11">
        <v>3796.9549611000002</v>
      </c>
      <c r="I66" s="11">
        <v>742.1063216</v>
      </c>
      <c r="J66" s="11">
        <v>472.52499999999998</v>
      </c>
      <c r="K66" s="11">
        <v>5086.2118474999997</v>
      </c>
      <c r="L66" s="10">
        <v>6050</v>
      </c>
      <c r="M66" s="5" t="str">
        <f>HLOOKUP($F66,'[1]Summary - Pricing'!$D$3:$L$16,13,FALSE)</f>
        <v>Y</v>
      </c>
      <c r="N66" s="5" t="str">
        <f>HLOOKUP($F66,'[1]Summary - Pricing'!$D$3:$L$16,14,FALSE)</f>
        <v>Y</v>
      </c>
      <c r="O66" s="9">
        <f>IF(M66="Y",'[1]Summary - Pricing'!$D$10,0)</f>
        <v>750</v>
      </c>
      <c r="P66" s="9">
        <f>IF(N66="Y",'[1]Summary - Pricing'!$D$13,0)</f>
        <v>750</v>
      </c>
      <c r="Q66" s="9">
        <f>IF(AND(E66&gt;5,E66&lt;16),0,IF(E66&lt;6,'[1]Summary - Pricing'!$D$11,IF('TR 01 Inventory'!E66&gt;15,('TR 01 Inventory'!E66-15)*'[1]Summary - Pricing'!$D$12)))</f>
        <v>200</v>
      </c>
      <c r="R66" s="8">
        <f>SUM(O66:Q66)</f>
        <v>1700</v>
      </c>
      <c r="S66" s="9">
        <f>R66*L66</f>
        <v>10285000</v>
      </c>
      <c r="T66" s="9">
        <v>750000</v>
      </c>
      <c r="U66" s="9">
        <f>HLOOKUP(F66,'[1]Summary - Pricing'!$D$3:$L$20,18,FALSE)*100000</f>
        <v>2250000</v>
      </c>
      <c r="V66" s="9">
        <f>SUM('[1]Summary - Pricing'!$D$18,'[1]Summary - Pricing'!$D$21)*'TR 01 Inventory'!L66</f>
        <v>3817550</v>
      </c>
      <c r="W66" s="9">
        <f>'[1]Summary - Pricing'!$D$7*'TR 01 Inventory'!L66</f>
        <v>81675000</v>
      </c>
      <c r="X66" s="8">
        <f>W66+V66+U66+T66+S66</f>
        <v>98777550</v>
      </c>
    </row>
    <row r="67" spans="2:24" x14ac:dyDescent="0.3">
      <c r="B67" s="10" t="s">
        <v>5</v>
      </c>
      <c r="C67" s="10" t="s">
        <v>9</v>
      </c>
      <c r="D67" s="10" t="s">
        <v>77</v>
      </c>
      <c r="E67" s="10">
        <v>20</v>
      </c>
      <c r="F67" s="10" t="s">
        <v>62</v>
      </c>
      <c r="G67" s="11">
        <v>350.75099999999998</v>
      </c>
      <c r="H67" s="11">
        <v>3775.4486888999995</v>
      </c>
      <c r="I67" s="11">
        <v>742.1063216</v>
      </c>
      <c r="J67" s="11">
        <v>472.80500000000001</v>
      </c>
      <c r="K67" s="11">
        <v>5089.2257394999997</v>
      </c>
      <c r="L67" s="10">
        <v>6050</v>
      </c>
      <c r="M67" s="5" t="str">
        <f>HLOOKUP($F67,'[1]Summary - Pricing'!$D$3:$L$16,13,FALSE)</f>
        <v>Y</v>
      </c>
      <c r="N67" s="5" t="str">
        <f>HLOOKUP($F67,'[1]Summary - Pricing'!$D$3:$L$16,14,FALSE)</f>
        <v>Y</v>
      </c>
      <c r="O67" s="9">
        <f>IF(M67="Y",'[1]Summary - Pricing'!$D$10,0)</f>
        <v>750</v>
      </c>
      <c r="P67" s="9">
        <f>IF(N67="Y",'[1]Summary - Pricing'!$D$13,0)</f>
        <v>750</v>
      </c>
      <c r="Q67" s="9">
        <f>IF(AND(E67&gt;5,E67&lt;16),0,IF(E67&lt;6,'[1]Summary - Pricing'!$D$11,IF('TR 01 Inventory'!E67&gt;15,('TR 01 Inventory'!E67-15)*'[1]Summary - Pricing'!$D$12)))</f>
        <v>250</v>
      </c>
      <c r="R67" s="8">
        <f>SUM(O67:Q67)</f>
        <v>1750</v>
      </c>
      <c r="S67" s="9">
        <f>R67*L67</f>
        <v>10587500</v>
      </c>
      <c r="T67" s="9">
        <v>750000</v>
      </c>
      <c r="U67" s="9">
        <f>HLOOKUP(F67,'[1]Summary - Pricing'!$D$3:$L$20,18,FALSE)*100000</f>
        <v>2250000</v>
      </c>
      <c r="V67" s="9">
        <f>SUM('[1]Summary - Pricing'!$D$18,'[1]Summary - Pricing'!$D$21)*'TR 01 Inventory'!L67</f>
        <v>3817550</v>
      </c>
      <c r="W67" s="9">
        <f>'[1]Summary - Pricing'!$D$7*'TR 01 Inventory'!L67</f>
        <v>81675000</v>
      </c>
      <c r="X67" s="8">
        <f>W67+V67+U67+T67+S67</f>
        <v>99080050</v>
      </c>
    </row>
    <row r="68" spans="2:24" x14ac:dyDescent="0.3">
      <c r="B68" s="10" t="s">
        <v>5</v>
      </c>
      <c r="C68" s="10" t="s">
        <v>9</v>
      </c>
      <c r="D68" s="10" t="s">
        <v>76</v>
      </c>
      <c r="E68" s="10">
        <v>21</v>
      </c>
      <c r="F68" s="10" t="s">
        <v>54</v>
      </c>
      <c r="G68" s="11">
        <v>352.74900000000002</v>
      </c>
      <c r="H68" s="11">
        <v>3796.9549611000002</v>
      </c>
      <c r="I68" s="11">
        <v>742.1063216</v>
      </c>
      <c r="J68" s="11">
        <v>472.52499999999998</v>
      </c>
      <c r="K68" s="11">
        <v>5086.2118474999997</v>
      </c>
      <c r="L68" s="10">
        <v>6050</v>
      </c>
      <c r="M68" s="5" t="str">
        <f>HLOOKUP($F68,'[1]Summary - Pricing'!$D$3:$L$16,13,FALSE)</f>
        <v>Y</v>
      </c>
      <c r="N68" s="5" t="str">
        <f>HLOOKUP($F68,'[1]Summary - Pricing'!$D$3:$L$16,14,FALSE)</f>
        <v>Y</v>
      </c>
      <c r="O68" s="9">
        <f>IF(M68="Y",'[1]Summary - Pricing'!$D$10,0)</f>
        <v>750</v>
      </c>
      <c r="P68" s="9">
        <f>IF(N68="Y",'[1]Summary - Pricing'!$D$13,0)</f>
        <v>750</v>
      </c>
      <c r="Q68" s="9">
        <f>IF(AND(E68&gt;5,E68&lt;16),0,IF(E68&lt;6,'[1]Summary - Pricing'!$D$11,IF('TR 01 Inventory'!E68&gt;15,('TR 01 Inventory'!E68-15)*'[1]Summary - Pricing'!$D$12)))</f>
        <v>300</v>
      </c>
      <c r="R68" s="8">
        <f>SUM(O68:Q68)</f>
        <v>1800</v>
      </c>
      <c r="S68" s="9">
        <f>R68*L68</f>
        <v>10890000</v>
      </c>
      <c r="T68" s="9">
        <v>750000</v>
      </c>
      <c r="U68" s="9">
        <f>HLOOKUP(F68,'[1]Summary - Pricing'!$D$3:$L$20,18,FALSE)*100000</f>
        <v>2250000</v>
      </c>
      <c r="V68" s="9">
        <f>SUM('[1]Summary - Pricing'!$D$18,'[1]Summary - Pricing'!$D$21)*'TR 01 Inventory'!L68</f>
        <v>3817550</v>
      </c>
      <c r="W68" s="9">
        <f>'[1]Summary - Pricing'!$D$7*'TR 01 Inventory'!L68</f>
        <v>81675000</v>
      </c>
      <c r="X68" s="8">
        <f>W68+V68+U68+T68+S68</f>
        <v>99382550</v>
      </c>
    </row>
    <row r="69" spans="2:24" x14ac:dyDescent="0.3">
      <c r="B69" s="10" t="s">
        <v>5</v>
      </c>
      <c r="C69" s="10" t="s">
        <v>9</v>
      </c>
      <c r="D69" s="10" t="s">
        <v>75</v>
      </c>
      <c r="E69" s="10">
        <v>22</v>
      </c>
      <c r="F69" s="10" t="s">
        <v>62</v>
      </c>
      <c r="G69" s="11">
        <v>350.75099999999998</v>
      </c>
      <c r="H69" s="11">
        <v>3775.4486888999995</v>
      </c>
      <c r="I69" s="11">
        <v>742.1063216</v>
      </c>
      <c r="J69" s="11">
        <v>472.80500000000001</v>
      </c>
      <c r="K69" s="11">
        <v>5089.2257394999997</v>
      </c>
      <c r="L69" s="10">
        <v>6050</v>
      </c>
      <c r="M69" s="5" t="str">
        <f>HLOOKUP($F69,'[1]Summary - Pricing'!$D$3:$L$16,13,FALSE)</f>
        <v>Y</v>
      </c>
      <c r="N69" s="5" t="str">
        <f>HLOOKUP($F69,'[1]Summary - Pricing'!$D$3:$L$16,14,FALSE)</f>
        <v>Y</v>
      </c>
      <c r="O69" s="9">
        <f>IF(M69="Y",'[1]Summary - Pricing'!$D$10,0)</f>
        <v>750</v>
      </c>
      <c r="P69" s="9">
        <f>IF(N69="Y",'[1]Summary - Pricing'!$D$13,0)</f>
        <v>750</v>
      </c>
      <c r="Q69" s="9">
        <f>IF(AND(E69&gt;5,E69&lt;16),0,IF(E69&lt;6,'[1]Summary - Pricing'!$D$11,IF('TR 01 Inventory'!E69&gt;15,('TR 01 Inventory'!E69-15)*'[1]Summary - Pricing'!$D$12)))</f>
        <v>350</v>
      </c>
      <c r="R69" s="8">
        <f>SUM(O69:Q69)</f>
        <v>1850</v>
      </c>
      <c r="S69" s="9">
        <f>R69*L69</f>
        <v>11192500</v>
      </c>
      <c r="T69" s="9">
        <v>750000</v>
      </c>
      <c r="U69" s="9">
        <f>HLOOKUP(F69,'[1]Summary - Pricing'!$D$3:$L$20,18,FALSE)*100000</f>
        <v>2250000</v>
      </c>
      <c r="V69" s="9">
        <f>SUM('[1]Summary - Pricing'!$D$18,'[1]Summary - Pricing'!$D$21)*'TR 01 Inventory'!L69</f>
        <v>3817550</v>
      </c>
      <c r="W69" s="9">
        <f>'[1]Summary - Pricing'!$D$7*'TR 01 Inventory'!L69</f>
        <v>81675000</v>
      </c>
      <c r="X69" s="8">
        <f>W69+V69+U69+T69+S69</f>
        <v>99685050</v>
      </c>
    </row>
    <row r="70" spans="2:24" x14ac:dyDescent="0.3">
      <c r="B70" s="10" t="s">
        <v>5</v>
      </c>
      <c r="C70" s="10" t="s">
        <v>9</v>
      </c>
      <c r="D70" s="10" t="s">
        <v>74</v>
      </c>
      <c r="E70" s="10">
        <v>23</v>
      </c>
      <c r="F70" s="10" t="s">
        <v>54</v>
      </c>
      <c r="G70" s="11">
        <v>352.74900000000002</v>
      </c>
      <c r="H70" s="11">
        <v>3796.9549611000002</v>
      </c>
      <c r="I70" s="11">
        <v>742.1063216</v>
      </c>
      <c r="J70" s="11">
        <v>472.52499999999998</v>
      </c>
      <c r="K70" s="11">
        <v>5086.2118474999997</v>
      </c>
      <c r="L70" s="10">
        <v>6050</v>
      </c>
      <c r="M70" s="5" t="str">
        <f>HLOOKUP($F70,'[1]Summary - Pricing'!$D$3:$L$16,13,FALSE)</f>
        <v>Y</v>
      </c>
      <c r="N70" s="5" t="str">
        <f>HLOOKUP($F70,'[1]Summary - Pricing'!$D$3:$L$16,14,FALSE)</f>
        <v>Y</v>
      </c>
      <c r="O70" s="9">
        <f>IF(M70="Y",'[1]Summary - Pricing'!$D$10,0)</f>
        <v>750</v>
      </c>
      <c r="P70" s="9">
        <f>IF(N70="Y",'[1]Summary - Pricing'!$D$13,0)</f>
        <v>750</v>
      </c>
      <c r="Q70" s="9">
        <f>IF(AND(E70&gt;5,E70&lt;16),0,IF(E70&lt;6,'[1]Summary - Pricing'!$D$11,IF('TR 01 Inventory'!E70&gt;15,('TR 01 Inventory'!E70-15)*'[1]Summary - Pricing'!$D$12)))</f>
        <v>400</v>
      </c>
      <c r="R70" s="8">
        <f>SUM(O70:Q70)</f>
        <v>1900</v>
      </c>
      <c r="S70" s="9">
        <f>R70*L70</f>
        <v>11495000</v>
      </c>
      <c r="T70" s="9">
        <v>750000</v>
      </c>
      <c r="U70" s="9">
        <f>HLOOKUP(F70,'[1]Summary - Pricing'!$D$3:$L$20,18,FALSE)*100000</f>
        <v>2250000</v>
      </c>
      <c r="V70" s="9">
        <f>SUM('[1]Summary - Pricing'!$D$18,'[1]Summary - Pricing'!$D$21)*'TR 01 Inventory'!L70</f>
        <v>3817550</v>
      </c>
      <c r="W70" s="9">
        <f>'[1]Summary - Pricing'!$D$7*'TR 01 Inventory'!L70</f>
        <v>81675000</v>
      </c>
      <c r="X70" s="8">
        <f>W70+V70+U70+T70+S70</f>
        <v>99987550</v>
      </c>
    </row>
    <row r="71" spans="2:24" x14ac:dyDescent="0.3">
      <c r="B71" s="10" t="s">
        <v>5</v>
      </c>
      <c r="C71" s="10" t="s">
        <v>9</v>
      </c>
      <c r="D71" s="10" t="s">
        <v>73</v>
      </c>
      <c r="E71" s="10">
        <v>24</v>
      </c>
      <c r="F71" s="10" t="s">
        <v>62</v>
      </c>
      <c r="G71" s="11">
        <v>350.75099999999998</v>
      </c>
      <c r="H71" s="11">
        <v>3775.4486888999995</v>
      </c>
      <c r="I71" s="11">
        <v>742.1063216</v>
      </c>
      <c r="J71" s="11">
        <v>472.80500000000001</v>
      </c>
      <c r="K71" s="11">
        <v>5089.2257394999997</v>
      </c>
      <c r="L71" s="10">
        <v>6050</v>
      </c>
      <c r="M71" s="5" t="str">
        <f>HLOOKUP($F71,'[1]Summary - Pricing'!$D$3:$L$16,13,FALSE)</f>
        <v>Y</v>
      </c>
      <c r="N71" s="5" t="str">
        <f>HLOOKUP($F71,'[1]Summary - Pricing'!$D$3:$L$16,14,FALSE)</f>
        <v>Y</v>
      </c>
      <c r="O71" s="9">
        <f>IF(M71="Y",'[1]Summary - Pricing'!$D$10,0)</f>
        <v>750</v>
      </c>
      <c r="P71" s="9">
        <f>IF(N71="Y",'[1]Summary - Pricing'!$D$13,0)</f>
        <v>750</v>
      </c>
      <c r="Q71" s="9">
        <f>IF(AND(E71&gt;5,E71&lt;16),0,IF(E71&lt;6,'[1]Summary - Pricing'!$D$11,IF('TR 01 Inventory'!E71&gt;15,('TR 01 Inventory'!E71-15)*'[1]Summary - Pricing'!$D$12)))</f>
        <v>450</v>
      </c>
      <c r="R71" s="8">
        <f>SUM(O71:Q71)</f>
        <v>1950</v>
      </c>
      <c r="S71" s="9">
        <f>R71*L71</f>
        <v>11797500</v>
      </c>
      <c r="T71" s="9">
        <v>750000</v>
      </c>
      <c r="U71" s="9">
        <f>HLOOKUP(F71,'[1]Summary - Pricing'!$D$3:$L$20,18,FALSE)*100000</f>
        <v>2250000</v>
      </c>
      <c r="V71" s="9">
        <f>SUM('[1]Summary - Pricing'!$D$18,'[1]Summary - Pricing'!$D$21)*'TR 01 Inventory'!L71</f>
        <v>3817550</v>
      </c>
      <c r="W71" s="9">
        <f>'[1]Summary - Pricing'!$D$7*'TR 01 Inventory'!L71</f>
        <v>81675000</v>
      </c>
      <c r="X71" s="8">
        <f>W71+V71+U71+T71+S71</f>
        <v>100290050</v>
      </c>
    </row>
    <row r="72" spans="2:24" x14ac:dyDescent="0.3">
      <c r="B72" s="10" t="s">
        <v>5</v>
      </c>
      <c r="C72" s="10" t="s">
        <v>9</v>
      </c>
      <c r="D72" s="10" t="s">
        <v>72</v>
      </c>
      <c r="E72" s="10">
        <v>25</v>
      </c>
      <c r="F72" s="10" t="s">
        <v>54</v>
      </c>
      <c r="G72" s="11">
        <v>352.74900000000002</v>
      </c>
      <c r="H72" s="11">
        <v>3796.9549611000002</v>
      </c>
      <c r="I72" s="11">
        <v>742.1063216</v>
      </c>
      <c r="J72" s="11">
        <v>472.52499999999998</v>
      </c>
      <c r="K72" s="11">
        <v>5086.2118474999997</v>
      </c>
      <c r="L72" s="10">
        <v>6050</v>
      </c>
      <c r="M72" s="5" t="str">
        <f>HLOOKUP($F72,'[1]Summary - Pricing'!$D$3:$L$16,13,FALSE)</f>
        <v>Y</v>
      </c>
      <c r="N72" s="5" t="str">
        <f>HLOOKUP($F72,'[1]Summary - Pricing'!$D$3:$L$16,14,FALSE)</f>
        <v>Y</v>
      </c>
      <c r="O72" s="9">
        <f>IF(M72="Y",'[1]Summary - Pricing'!$D$10,0)</f>
        <v>750</v>
      </c>
      <c r="P72" s="9">
        <f>IF(N72="Y",'[1]Summary - Pricing'!$D$13,0)</f>
        <v>750</v>
      </c>
      <c r="Q72" s="9">
        <f>IF(AND(E72&gt;5,E72&lt;16),0,IF(E72&lt;6,'[1]Summary - Pricing'!$D$11,IF('TR 01 Inventory'!E72&gt;15,('TR 01 Inventory'!E72-15)*'[1]Summary - Pricing'!$D$12)))</f>
        <v>500</v>
      </c>
      <c r="R72" s="8">
        <f>SUM(O72:Q72)</f>
        <v>2000</v>
      </c>
      <c r="S72" s="9">
        <f>R72*L72</f>
        <v>12100000</v>
      </c>
      <c r="T72" s="9">
        <v>750000</v>
      </c>
      <c r="U72" s="9">
        <f>HLOOKUP(F72,'[1]Summary - Pricing'!$D$3:$L$20,18,FALSE)*100000</f>
        <v>2250000</v>
      </c>
      <c r="V72" s="9">
        <f>SUM('[1]Summary - Pricing'!$D$18,'[1]Summary - Pricing'!$D$21)*'TR 01 Inventory'!L72</f>
        <v>3817550</v>
      </c>
      <c r="W72" s="9">
        <f>'[1]Summary - Pricing'!$D$7*'TR 01 Inventory'!L72</f>
        <v>81675000</v>
      </c>
      <c r="X72" s="8">
        <f>W72+V72+U72+T72+S72</f>
        <v>100592550</v>
      </c>
    </row>
    <row r="73" spans="2:24" x14ac:dyDescent="0.3">
      <c r="B73" s="10" t="s">
        <v>5</v>
      </c>
      <c r="C73" s="10" t="s">
        <v>9</v>
      </c>
      <c r="D73" s="10" t="s">
        <v>71</v>
      </c>
      <c r="E73" s="10">
        <v>26</v>
      </c>
      <c r="F73" s="10" t="s">
        <v>62</v>
      </c>
      <c r="G73" s="11">
        <v>350.75099999999998</v>
      </c>
      <c r="H73" s="11">
        <v>3775.4486888999995</v>
      </c>
      <c r="I73" s="11">
        <v>742.1063216</v>
      </c>
      <c r="J73" s="11">
        <v>472.80500000000001</v>
      </c>
      <c r="K73" s="11">
        <v>5089.2257394999997</v>
      </c>
      <c r="L73" s="10">
        <v>6050</v>
      </c>
      <c r="M73" s="5" t="str">
        <f>HLOOKUP($F73,'[1]Summary - Pricing'!$D$3:$L$16,13,FALSE)</f>
        <v>Y</v>
      </c>
      <c r="N73" s="5" t="str">
        <f>HLOOKUP($F73,'[1]Summary - Pricing'!$D$3:$L$16,14,FALSE)</f>
        <v>Y</v>
      </c>
      <c r="O73" s="9">
        <f>IF(M73="Y",'[1]Summary - Pricing'!$D$10,0)</f>
        <v>750</v>
      </c>
      <c r="P73" s="9">
        <f>IF(N73="Y",'[1]Summary - Pricing'!$D$13,0)</f>
        <v>750</v>
      </c>
      <c r="Q73" s="9">
        <f>IF(AND(E73&gt;5,E73&lt;16),0,IF(E73&lt;6,'[1]Summary - Pricing'!$D$11,IF('TR 01 Inventory'!E73&gt;15,('TR 01 Inventory'!E73-15)*'[1]Summary - Pricing'!$D$12)))</f>
        <v>550</v>
      </c>
      <c r="R73" s="8">
        <f>SUM(O73:Q73)</f>
        <v>2050</v>
      </c>
      <c r="S73" s="9">
        <f>R73*L73</f>
        <v>12402500</v>
      </c>
      <c r="T73" s="9">
        <v>750000</v>
      </c>
      <c r="U73" s="9">
        <f>HLOOKUP(F73,'[1]Summary - Pricing'!$D$3:$L$20,18,FALSE)*100000</f>
        <v>2250000</v>
      </c>
      <c r="V73" s="9">
        <f>SUM('[1]Summary - Pricing'!$D$18,'[1]Summary - Pricing'!$D$21)*'TR 01 Inventory'!L73</f>
        <v>3817550</v>
      </c>
      <c r="W73" s="9">
        <f>'[1]Summary - Pricing'!$D$7*'TR 01 Inventory'!L73</f>
        <v>81675000</v>
      </c>
      <c r="X73" s="8">
        <f>W73+V73+U73+T73+S73</f>
        <v>100895050</v>
      </c>
    </row>
    <row r="74" spans="2:24" x14ac:dyDescent="0.3">
      <c r="B74" s="10" t="s">
        <v>5</v>
      </c>
      <c r="C74" s="10" t="s">
        <v>9</v>
      </c>
      <c r="D74" s="10" t="s">
        <v>70</v>
      </c>
      <c r="E74" s="10">
        <v>27</v>
      </c>
      <c r="F74" s="10" t="s">
        <v>54</v>
      </c>
      <c r="G74" s="11">
        <v>352.74900000000002</v>
      </c>
      <c r="H74" s="11">
        <v>3796.9549611000002</v>
      </c>
      <c r="I74" s="11">
        <v>742.1063216</v>
      </c>
      <c r="J74" s="11">
        <v>472.52499999999998</v>
      </c>
      <c r="K74" s="11">
        <v>5086.2118474999997</v>
      </c>
      <c r="L74" s="10">
        <v>6050</v>
      </c>
      <c r="M74" s="5" t="str">
        <f>HLOOKUP($F74,'[1]Summary - Pricing'!$D$3:$L$16,13,FALSE)</f>
        <v>Y</v>
      </c>
      <c r="N74" s="5" t="str">
        <f>HLOOKUP($F74,'[1]Summary - Pricing'!$D$3:$L$16,14,FALSE)</f>
        <v>Y</v>
      </c>
      <c r="O74" s="9">
        <f>IF(M74="Y",'[1]Summary - Pricing'!$D$10,0)</f>
        <v>750</v>
      </c>
      <c r="P74" s="9">
        <f>IF(N74="Y",'[1]Summary - Pricing'!$D$13,0)</f>
        <v>750</v>
      </c>
      <c r="Q74" s="9">
        <f>IF(AND(E74&gt;5,E74&lt;16),0,IF(E74&lt;6,'[1]Summary - Pricing'!$D$11,IF('TR 01 Inventory'!E74&gt;15,('TR 01 Inventory'!E74-15)*'[1]Summary - Pricing'!$D$12)))</f>
        <v>600</v>
      </c>
      <c r="R74" s="8">
        <f>SUM(O74:Q74)</f>
        <v>2100</v>
      </c>
      <c r="S74" s="9">
        <f>R74*L74</f>
        <v>12705000</v>
      </c>
      <c r="T74" s="9">
        <v>750000</v>
      </c>
      <c r="U74" s="9">
        <f>HLOOKUP(F74,'[1]Summary - Pricing'!$D$3:$L$20,18,FALSE)*100000</f>
        <v>2250000</v>
      </c>
      <c r="V74" s="9">
        <f>SUM('[1]Summary - Pricing'!$D$18,'[1]Summary - Pricing'!$D$21)*'TR 01 Inventory'!L74</f>
        <v>3817550</v>
      </c>
      <c r="W74" s="9">
        <f>'[1]Summary - Pricing'!$D$7*'TR 01 Inventory'!L74</f>
        <v>81675000</v>
      </c>
      <c r="X74" s="8">
        <f>W74+V74+U74+T74+S74</f>
        <v>101197550</v>
      </c>
    </row>
    <row r="75" spans="2:24" x14ac:dyDescent="0.3">
      <c r="B75" s="10" t="s">
        <v>5</v>
      </c>
      <c r="C75" s="10" t="s">
        <v>9</v>
      </c>
      <c r="D75" s="10" t="s">
        <v>69</v>
      </c>
      <c r="E75" s="10">
        <v>28</v>
      </c>
      <c r="F75" s="10" t="s">
        <v>62</v>
      </c>
      <c r="G75" s="11">
        <v>350.75099999999998</v>
      </c>
      <c r="H75" s="11">
        <v>3775.4486888999995</v>
      </c>
      <c r="I75" s="11">
        <v>742.1063216</v>
      </c>
      <c r="J75" s="11">
        <v>472.80500000000001</v>
      </c>
      <c r="K75" s="11">
        <v>5089.2257394999997</v>
      </c>
      <c r="L75" s="10">
        <v>6050</v>
      </c>
      <c r="M75" s="5" t="str">
        <f>HLOOKUP($F75,'[1]Summary - Pricing'!$D$3:$L$16,13,FALSE)</f>
        <v>Y</v>
      </c>
      <c r="N75" s="5" t="str">
        <f>HLOOKUP($F75,'[1]Summary - Pricing'!$D$3:$L$16,14,FALSE)</f>
        <v>Y</v>
      </c>
      <c r="O75" s="9">
        <f>IF(M75="Y",'[1]Summary - Pricing'!$D$10,0)</f>
        <v>750</v>
      </c>
      <c r="P75" s="9">
        <f>IF(N75="Y",'[1]Summary - Pricing'!$D$13,0)</f>
        <v>750</v>
      </c>
      <c r="Q75" s="9">
        <f>IF(AND(E75&gt;5,E75&lt;16),0,IF(E75&lt;6,'[1]Summary - Pricing'!$D$11,IF('TR 01 Inventory'!E75&gt;15,('TR 01 Inventory'!E75-15)*'[1]Summary - Pricing'!$D$12)))</f>
        <v>650</v>
      </c>
      <c r="R75" s="8">
        <f>SUM(O75:Q75)</f>
        <v>2150</v>
      </c>
      <c r="S75" s="9">
        <f>R75*L75</f>
        <v>13007500</v>
      </c>
      <c r="T75" s="9">
        <v>750000</v>
      </c>
      <c r="U75" s="9">
        <f>HLOOKUP(F75,'[1]Summary - Pricing'!$D$3:$L$20,18,FALSE)*100000</f>
        <v>2250000</v>
      </c>
      <c r="V75" s="9">
        <f>SUM('[1]Summary - Pricing'!$D$18,'[1]Summary - Pricing'!$D$21)*'TR 01 Inventory'!L75</f>
        <v>3817550</v>
      </c>
      <c r="W75" s="9">
        <f>'[1]Summary - Pricing'!$D$7*'TR 01 Inventory'!L75</f>
        <v>81675000</v>
      </c>
      <c r="X75" s="8">
        <f>W75+V75+U75+T75+S75</f>
        <v>101500050</v>
      </c>
    </row>
    <row r="76" spans="2:24" x14ac:dyDescent="0.3">
      <c r="B76" s="10" t="s">
        <v>5</v>
      </c>
      <c r="C76" s="10" t="s">
        <v>9</v>
      </c>
      <c r="D76" s="10" t="s">
        <v>68</v>
      </c>
      <c r="E76" s="10">
        <v>29</v>
      </c>
      <c r="F76" s="10" t="s">
        <v>54</v>
      </c>
      <c r="G76" s="11">
        <v>352.74900000000002</v>
      </c>
      <c r="H76" s="11">
        <v>3796.9549611000002</v>
      </c>
      <c r="I76" s="11">
        <v>742.1063216</v>
      </c>
      <c r="J76" s="11">
        <v>472.52499999999998</v>
      </c>
      <c r="K76" s="11">
        <v>5086.2118474999997</v>
      </c>
      <c r="L76" s="10">
        <v>6050</v>
      </c>
      <c r="M76" s="5" t="str">
        <f>HLOOKUP($F76,'[1]Summary - Pricing'!$D$3:$L$16,13,FALSE)</f>
        <v>Y</v>
      </c>
      <c r="N76" s="5" t="str">
        <f>HLOOKUP($F76,'[1]Summary - Pricing'!$D$3:$L$16,14,FALSE)</f>
        <v>Y</v>
      </c>
      <c r="O76" s="9">
        <f>IF(M76="Y",'[1]Summary - Pricing'!$D$10,0)</f>
        <v>750</v>
      </c>
      <c r="P76" s="9">
        <f>IF(N76="Y",'[1]Summary - Pricing'!$D$13,0)</f>
        <v>750</v>
      </c>
      <c r="Q76" s="9">
        <f>IF(AND(E76&gt;5,E76&lt;16),0,IF(E76&lt;6,'[1]Summary - Pricing'!$D$11,IF('TR 01 Inventory'!E76&gt;15,('TR 01 Inventory'!E76-15)*'[1]Summary - Pricing'!$D$12)))</f>
        <v>700</v>
      </c>
      <c r="R76" s="8">
        <f>SUM(O76:Q76)</f>
        <v>2200</v>
      </c>
      <c r="S76" s="9">
        <f>R76*L76</f>
        <v>13310000</v>
      </c>
      <c r="T76" s="9">
        <v>750000</v>
      </c>
      <c r="U76" s="9">
        <f>HLOOKUP(F76,'[1]Summary - Pricing'!$D$3:$L$20,18,FALSE)*100000</f>
        <v>2250000</v>
      </c>
      <c r="V76" s="9">
        <f>SUM('[1]Summary - Pricing'!$D$18,'[1]Summary - Pricing'!$D$21)*'TR 01 Inventory'!L76</f>
        <v>3817550</v>
      </c>
      <c r="W76" s="9">
        <f>'[1]Summary - Pricing'!$D$7*'TR 01 Inventory'!L76</f>
        <v>81675000</v>
      </c>
      <c r="X76" s="8">
        <f>W76+V76+U76+T76+S76</f>
        <v>101802550</v>
      </c>
    </row>
    <row r="77" spans="2:24" x14ac:dyDescent="0.3">
      <c r="B77" s="10" t="s">
        <v>5</v>
      </c>
      <c r="C77" s="10" t="s">
        <v>9</v>
      </c>
      <c r="D77" s="10" t="s">
        <v>67</v>
      </c>
      <c r="E77" s="10">
        <v>30</v>
      </c>
      <c r="F77" s="10" t="s">
        <v>62</v>
      </c>
      <c r="G77" s="11">
        <v>350.75099999999998</v>
      </c>
      <c r="H77" s="11">
        <v>3775.4486888999995</v>
      </c>
      <c r="I77" s="11">
        <v>742.1063216</v>
      </c>
      <c r="J77" s="11">
        <v>472.80500000000001</v>
      </c>
      <c r="K77" s="11">
        <v>5089.2257394999997</v>
      </c>
      <c r="L77" s="10">
        <v>6050</v>
      </c>
      <c r="M77" s="5" t="str">
        <f>HLOOKUP($F77,'[1]Summary - Pricing'!$D$3:$L$16,13,FALSE)</f>
        <v>Y</v>
      </c>
      <c r="N77" s="5" t="str">
        <f>HLOOKUP($F77,'[1]Summary - Pricing'!$D$3:$L$16,14,FALSE)</f>
        <v>Y</v>
      </c>
      <c r="O77" s="9">
        <f>IF(M77="Y",'[1]Summary - Pricing'!$D$10,0)</f>
        <v>750</v>
      </c>
      <c r="P77" s="9">
        <f>IF(N77="Y",'[1]Summary - Pricing'!$D$13,0)</f>
        <v>750</v>
      </c>
      <c r="Q77" s="9">
        <f>IF(AND(E77&gt;5,E77&lt;16),0,IF(E77&lt;6,'[1]Summary - Pricing'!$D$11,IF('TR 01 Inventory'!E77&gt;15,('TR 01 Inventory'!E77-15)*'[1]Summary - Pricing'!$D$12)))</f>
        <v>750</v>
      </c>
      <c r="R77" s="8">
        <f>SUM(O77:Q77)</f>
        <v>2250</v>
      </c>
      <c r="S77" s="9">
        <f>R77*L77</f>
        <v>13612500</v>
      </c>
      <c r="T77" s="9">
        <v>750000</v>
      </c>
      <c r="U77" s="9">
        <f>HLOOKUP(F77,'[1]Summary - Pricing'!$D$3:$L$20,18,FALSE)*100000</f>
        <v>2250000</v>
      </c>
      <c r="V77" s="9">
        <f>SUM('[1]Summary - Pricing'!$D$18,'[1]Summary - Pricing'!$D$21)*'TR 01 Inventory'!L77</f>
        <v>3817550</v>
      </c>
      <c r="W77" s="9">
        <f>'[1]Summary - Pricing'!$D$7*'TR 01 Inventory'!L77</f>
        <v>81675000</v>
      </c>
      <c r="X77" s="8">
        <f>W77+V77+U77+T77+S77</f>
        <v>102105050</v>
      </c>
    </row>
    <row r="78" spans="2:24" x14ac:dyDescent="0.3">
      <c r="B78" s="10" t="s">
        <v>5</v>
      </c>
      <c r="C78" s="10" t="s">
        <v>9</v>
      </c>
      <c r="D78" s="10" t="s">
        <v>66</v>
      </c>
      <c r="E78" s="10">
        <v>31</v>
      </c>
      <c r="F78" s="10" t="s">
        <v>54</v>
      </c>
      <c r="G78" s="11">
        <v>352.74900000000002</v>
      </c>
      <c r="H78" s="11">
        <v>3796.9549611000002</v>
      </c>
      <c r="I78" s="11">
        <v>742.1063216</v>
      </c>
      <c r="J78" s="11">
        <v>472.52499999999998</v>
      </c>
      <c r="K78" s="11">
        <v>5086.2118474999997</v>
      </c>
      <c r="L78" s="10">
        <v>6050</v>
      </c>
      <c r="M78" s="5" t="str">
        <f>HLOOKUP($F78,'[1]Summary - Pricing'!$D$3:$L$16,13,FALSE)</f>
        <v>Y</v>
      </c>
      <c r="N78" s="5" t="str">
        <f>HLOOKUP($F78,'[1]Summary - Pricing'!$D$3:$L$16,14,FALSE)</f>
        <v>Y</v>
      </c>
      <c r="O78" s="9">
        <f>IF(M78="Y",'[1]Summary - Pricing'!$D$10,0)</f>
        <v>750</v>
      </c>
      <c r="P78" s="9">
        <f>IF(N78="Y",'[1]Summary - Pricing'!$D$13,0)</f>
        <v>750</v>
      </c>
      <c r="Q78" s="9">
        <f>IF(AND(E78&gt;5,E78&lt;16),0,IF(E78&lt;6,'[1]Summary - Pricing'!$D$11,IF('TR 01 Inventory'!E78&gt;15,('TR 01 Inventory'!E78-15)*'[1]Summary - Pricing'!$D$12)))</f>
        <v>800</v>
      </c>
      <c r="R78" s="8">
        <f>SUM(O78:Q78)</f>
        <v>2300</v>
      </c>
      <c r="S78" s="9">
        <f>R78*L78</f>
        <v>13915000</v>
      </c>
      <c r="T78" s="9">
        <v>750000</v>
      </c>
      <c r="U78" s="9">
        <f>HLOOKUP(F78,'[1]Summary - Pricing'!$D$3:$L$20,18,FALSE)*100000</f>
        <v>2250000</v>
      </c>
      <c r="V78" s="9">
        <f>SUM('[1]Summary - Pricing'!$D$18,'[1]Summary - Pricing'!$D$21)*'TR 01 Inventory'!L78</f>
        <v>3817550</v>
      </c>
      <c r="W78" s="9">
        <f>'[1]Summary - Pricing'!$D$7*'TR 01 Inventory'!L78</f>
        <v>81675000</v>
      </c>
      <c r="X78" s="8">
        <f>W78+V78+U78+T78+S78</f>
        <v>102407550</v>
      </c>
    </row>
    <row r="79" spans="2:24" x14ac:dyDescent="0.3">
      <c r="B79" s="10" t="s">
        <v>5</v>
      </c>
      <c r="C79" s="10" t="s">
        <v>9</v>
      </c>
      <c r="D79" s="10" t="s">
        <v>65</v>
      </c>
      <c r="E79" s="10">
        <v>32</v>
      </c>
      <c r="F79" s="10" t="s">
        <v>62</v>
      </c>
      <c r="G79" s="11">
        <v>350.75099999999998</v>
      </c>
      <c r="H79" s="11">
        <v>3775.4486888999995</v>
      </c>
      <c r="I79" s="11">
        <v>742.1063216</v>
      </c>
      <c r="J79" s="11">
        <v>472.80500000000001</v>
      </c>
      <c r="K79" s="11">
        <v>5089.2257394999997</v>
      </c>
      <c r="L79" s="10">
        <v>6050</v>
      </c>
      <c r="M79" s="5" t="str">
        <f>HLOOKUP($F79,'[1]Summary - Pricing'!$D$3:$L$16,13,FALSE)</f>
        <v>Y</v>
      </c>
      <c r="N79" s="5" t="str">
        <f>HLOOKUP($F79,'[1]Summary - Pricing'!$D$3:$L$16,14,FALSE)</f>
        <v>Y</v>
      </c>
      <c r="O79" s="9">
        <f>IF(M79="Y",'[1]Summary - Pricing'!$D$10,0)</f>
        <v>750</v>
      </c>
      <c r="P79" s="9">
        <f>IF(N79="Y",'[1]Summary - Pricing'!$D$13,0)</f>
        <v>750</v>
      </c>
      <c r="Q79" s="9">
        <f>IF(AND(E79&gt;5,E79&lt;16),0,IF(E79&lt;6,'[1]Summary - Pricing'!$D$11,IF('TR 01 Inventory'!E79&gt;15,('TR 01 Inventory'!E79-15)*'[1]Summary - Pricing'!$D$12)))</f>
        <v>850</v>
      </c>
      <c r="R79" s="8">
        <f>SUM(O79:Q79)</f>
        <v>2350</v>
      </c>
      <c r="S79" s="9">
        <f>R79*L79</f>
        <v>14217500</v>
      </c>
      <c r="T79" s="9">
        <v>750000</v>
      </c>
      <c r="U79" s="9">
        <f>HLOOKUP(F79,'[1]Summary - Pricing'!$D$3:$L$20,18,FALSE)*100000</f>
        <v>2250000</v>
      </c>
      <c r="V79" s="9">
        <f>SUM('[1]Summary - Pricing'!$D$18,'[1]Summary - Pricing'!$D$21)*'TR 01 Inventory'!L79</f>
        <v>3817550</v>
      </c>
      <c r="W79" s="9">
        <f>'[1]Summary - Pricing'!$D$7*'TR 01 Inventory'!L79</f>
        <v>81675000</v>
      </c>
      <c r="X79" s="8">
        <f>W79+V79+U79+T79+S79</f>
        <v>102710050</v>
      </c>
    </row>
    <row r="80" spans="2:24" x14ac:dyDescent="0.3">
      <c r="B80" s="10" t="s">
        <v>5</v>
      </c>
      <c r="C80" s="10" t="s">
        <v>9</v>
      </c>
      <c r="D80" s="10" t="s">
        <v>64</v>
      </c>
      <c r="E80" s="10">
        <v>33</v>
      </c>
      <c r="F80" s="10" t="s">
        <v>54</v>
      </c>
      <c r="G80" s="11">
        <v>352.74900000000002</v>
      </c>
      <c r="H80" s="11">
        <v>3796.9549611000002</v>
      </c>
      <c r="I80" s="11">
        <v>742.1063216</v>
      </c>
      <c r="J80" s="11">
        <v>472.52499999999998</v>
      </c>
      <c r="K80" s="11">
        <v>5086.2118474999997</v>
      </c>
      <c r="L80" s="10">
        <v>6050</v>
      </c>
      <c r="M80" s="5" t="str">
        <f>HLOOKUP($F80,'[1]Summary - Pricing'!$D$3:$L$16,13,FALSE)</f>
        <v>Y</v>
      </c>
      <c r="N80" s="5" t="str">
        <f>HLOOKUP($F80,'[1]Summary - Pricing'!$D$3:$L$16,14,FALSE)</f>
        <v>Y</v>
      </c>
      <c r="O80" s="9">
        <f>IF(M80="Y",'[1]Summary - Pricing'!$D$10,0)</f>
        <v>750</v>
      </c>
      <c r="P80" s="9">
        <f>IF(N80="Y",'[1]Summary - Pricing'!$D$13,0)</f>
        <v>750</v>
      </c>
      <c r="Q80" s="9">
        <f>IF(AND(E80&gt;5,E80&lt;16),0,IF(E80&lt;6,'[1]Summary - Pricing'!$D$11,IF('TR 01 Inventory'!E80&gt;15,('TR 01 Inventory'!E80-15)*'[1]Summary - Pricing'!$D$12)))</f>
        <v>900</v>
      </c>
      <c r="R80" s="8">
        <f>SUM(O80:Q80)</f>
        <v>2400</v>
      </c>
      <c r="S80" s="9">
        <f>R80*L80</f>
        <v>14520000</v>
      </c>
      <c r="T80" s="9">
        <v>750000</v>
      </c>
      <c r="U80" s="9">
        <f>HLOOKUP(F80,'[1]Summary - Pricing'!$D$3:$L$20,18,FALSE)*100000</f>
        <v>2250000</v>
      </c>
      <c r="V80" s="9">
        <f>SUM('[1]Summary - Pricing'!$D$18,'[1]Summary - Pricing'!$D$21)*'TR 01 Inventory'!L80</f>
        <v>3817550</v>
      </c>
      <c r="W80" s="9">
        <f>'[1]Summary - Pricing'!$D$7*'TR 01 Inventory'!L80</f>
        <v>81675000</v>
      </c>
      <c r="X80" s="8">
        <f>W80+V80+U80+T80+S80</f>
        <v>103012550</v>
      </c>
    </row>
    <row r="81" spans="2:24" x14ac:dyDescent="0.3">
      <c r="B81" s="10" t="s">
        <v>5</v>
      </c>
      <c r="C81" s="10" t="s">
        <v>9</v>
      </c>
      <c r="D81" s="10" t="s">
        <v>63</v>
      </c>
      <c r="E81" s="10">
        <v>34</v>
      </c>
      <c r="F81" s="10" t="s">
        <v>62</v>
      </c>
      <c r="G81" s="11">
        <v>350.75099999999998</v>
      </c>
      <c r="H81" s="11">
        <v>3775.4486888999995</v>
      </c>
      <c r="I81" s="11">
        <v>742.1063216</v>
      </c>
      <c r="J81" s="11">
        <v>472.80500000000001</v>
      </c>
      <c r="K81" s="11">
        <v>5089.2257394999997</v>
      </c>
      <c r="L81" s="10">
        <v>6050</v>
      </c>
      <c r="M81" s="5" t="str">
        <f>HLOOKUP($F81,'[1]Summary - Pricing'!$D$3:$L$16,13,FALSE)</f>
        <v>Y</v>
      </c>
      <c r="N81" s="5" t="str">
        <f>HLOOKUP($F81,'[1]Summary - Pricing'!$D$3:$L$16,14,FALSE)</f>
        <v>Y</v>
      </c>
      <c r="O81" s="9">
        <f>IF(M81="Y",'[1]Summary - Pricing'!$D$10,0)</f>
        <v>750</v>
      </c>
      <c r="P81" s="9">
        <f>IF(N81="Y",'[1]Summary - Pricing'!$D$13,0)</f>
        <v>750</v>
      </c>
      <c r="Q81" s="9">
        <f>IF(AND(E81&gt;5,E81&lt;16),0,IF(E81&lt;6,'[1]Summary - Pricing'!$D$11,IF('TR 01 Inventory'!E81&gt;15,('TR 01 Inventory'!E81-15)*'[1]Summary - Pricing'!$D$12)))</f>
        <v>950</v>
      </c>
      <c r="R81" s="8">
        <f>SUM(O81:Q81)</f>
        <v>2450</v>
      </c>
      <c r="S81" s="9">
        <f>R81*L81</f>
        <v>14822500</v>
      </c>
      <c r="T81" s="9">
        <v>750000</v>
      </c>
      <c r="U81" s="9">
        <f>HLOOKUP(F81,'[1]Summary - Pricing'!$D$3:$L$20,18,FALSE)*100000</f>
        <v>2250000</v>
      </c>
      <c r="V81" s="9">
        <f>SUM('[1]Summary - Pricing'!$D$18,'[1]Summary - Pricing'!$D$21)*'TR 01 Inventory'!L81</f>
        <v>3817550</v>
      </c>
      <c r="W81" s="9">
        <f>'[1]Summary - Pricing'!$D$7*'TR 01 Inventory'!L81</f>
        <v>81675000</v>
      </c>
      <c r="X81" s="8">
        <f>W81+V81+U81+T81+S81</f>
        <v>103315050</v>
      </c>
    </row>
    <row r="82" spans="2:24" x14ac:dyDescent="0.3">
      <c r="B82" s="10" t="s">
        <v>5</v>
      </c>
      <c r="C82" s="10" t="s">
        <v>9</v>
      </c>
      <c r="D82" s="10" t="s">
        <v>61</v>
      </c>
      <c r="E82" s="10">
        <v>35</v>
      </c>
      <c r="F82" s="10" t="s">
        <v>54</v>
      </c>
      <c r="G82" s="11">
        <v>352.74900000000002</v>
      </c>
      <c r="H82" s="11">
        <v>3796.9549611000002</v>
      </c>
      <c r="I82" s="11">
        <v>742.1063216</v>
      </c>
      <c r="J82" s="11">
        <v>472.52499999999998</v>
      </c>
      <c r="K82" s="11">
        <v>5086.2118474999997</v>
      </c>
      <c r="L82" s="10">
        <v>6050</v>
      </c>
      <c r="M82" s="5" t="str">
        <f>HLOOKUP($F82,'[1]Summary - Pricing'!$D$3:$L$16,13,FALSE)</f>
        <v>Y</v>
      </c>
      <c r="N82" s="5" t="str">
        <f>HLOOKUP($F82,'[1]Summary - Pricing'!$D$3:$L$16,14,FALSE)</f>
        <v>Y</v>
      </c>
      <c r="O82" s="9">
        <f>IF(M82="Y",'[1]Summary - Pricing'!$D$10,0)</f>
        <v>750</v>
      </c>
      <c r="P82" s="9">
        <f>IF(N82="Y",'[1]Summary - Pricing'!$D$13,0)</f>
        <v>750</v>
      </c>
      <c r="Q82" s="9">
        <f>IF(AND(E82&gt;5,E82&lt;16),0,IF(E82&lt;6,'[1]Summary - Pricing'!$D$11,IF('TR 01 Inventory'!E82&gt;15,('TR 01 Inventory'!E82-15)*'[1]Summary - Pricing'!$D$12)))</f>
        <v>1000</v>
      </c>
      <c r="R82" s="8">
        <f>SUM(O82:Q82)</f>
        <v>2500</v>
      </c>
      <c r="S82" s="9">
        <f>R82*L82</f>
        <v>15125000</v>
      </c>
      <c r="T82" s="9">
        <v>750000</v>
      </c>
      <c r="U82" s="9">
        <f>HLOOKUP(F82,'[1]Summary - Pricing'!$D$3:$L$20,18,FALSE)*100000</f>
        <v>2250000</v>
      </c>
      <c r="V82" s="9">
        <f>SUM('[1]Summary - Pricing'!$D$18,'[1]Summary - Pricing'!$D$21)*'TR 01 Inventory'!L82</f>
        <v>3817550</v>
      </c>
      <c r="W82" s="9">
        <f>'[1]Summary - Pricing'!$D$7*'TR 01 Inventory'!L82</f>
        <v>81675000</v>
      </c>
      <c r="X82" s="8">
        <f>W82+V82+U82+T82+S82</f>
        <v>103617550</v>
      </c>
    </row>
    <row r="83" spans="2:24" x14ac:dyDescent="0.3">
      <c r="B83" s="10" t="s">
        <v>5</v>
      </c>
      <c r="C83" s="10" t="s">
        <v>9</v>
      </c>
      <c r="D83" s="10" t="s">
        <v>60</v>
      </c>
      <c r="E83" s="10">
        <v>36</v>
      </c>
      <c r="F83" s="10" t="s">
        <v>52</v>
      </c>
      <c r="G83" s="11">
        <v>347.58</v>
      </c>
      <c r="H83" s="11">
        <v>3741.3163619999996</v>
      </c>
      <c r="I83" s="11">
        <v>486.14077959999992</v>
      </c>
      <c r="J83" s="11">
        <v>444.137</v>
      </c>
      <c r="K83" s="11">
        <v>4780.6462542999998</v>
      </c>
      <c r="L83" s="10">
        <v>5750</v>
      </c>
      <c r="M83" s="5" t="str">
        <f>HLOOKUP($F83,'[1]Summary - Pricing'!$D$3:$L$16,13,FALSE)</f>
        <v>Y</v>
      </c>
      <c r="N83" s="5" t="str">
        <f>HLOOKUP($F83,'[1]Summary - Pricing'!$D$3:$L$16,14,FALSE)</f>
        <v>Y</v>
      </c>
      <c r="O83" s="9">
        <f>IF(M83="Y",'[1]Summary - Pricing'!$D$10,0)</f>
        <v>750</v>
      </c>
      <c r="P83" s="9">
        <f>IF(N83="Y",'[1]Summary - Pricing'!$D$13,0)</f>
        <v>750</v>
      </c>
      <c r="Q83" s="9">
        <f>IF(AND(E83&gt;5,E83&lt;16),0,IF(E83&lt;6,'[1]Summary - Pricing'!$D$11,IF('TR 01 Inventory'!E83&gt;15,('TR 01 Inventory'!E83-15)*'[1]Summary - Pricing'!$D$12)))</f>
        <v>1050</v>
      </c>
      <c r="R83" s="8">
        <f>SUM(O83:Q83)</f>
        <v>2550</v>
      </c>
      <c r="S83" s="9">
        <f>R83*L83</f>
        <v>14662500</v>
      </c>
      <c r="T83" s="9">
        <v>750000</v>
      </c>
      <c r="U83" s="9">
        <f>HLOOKUP(F83,'[1]Summary - Pricing'!$D$3:$L$20,18,FALSE)*100000</f>
        <v>2250000</v>
      </c>
      <c r="V83" s="9">
        <f>SUM('[1]Summary - Pricing'!$D$18,'[1]Summary - Pricing'!$D$21)*'TR 01 Inventory'!L83</f>
        <v>3628250</v>
      </c>
      <c r="W83" s="9">
        <f>'[1]Summary - Pricing'!$D$7*'TR 01 Inventory'!L83</f>
        <v>77625000</v>
      </c>
      <c r="X83" s="8">
        <f>W83+V83+U83+T83+S83</f>
        <v>98915750</v>
      </c>
    </row>
    <row r="84" spans="2:24" x14ac:dyDescent="0.3">
      <c r="B84" s="10" t="s">
        <v>5</v>
      </c>
      <c r="C84" s="10" t="s">
        <v>9</v>
      </c>
      <c r="D84" s="10" t="s">
        <v>59</v>
      </c>
      <c r="E84" s="10">
        <v>37</v>
      </c>
      <c r="F84" s="10" t="s">
        <v>54</v>
      </c>
      <c r="G84" s="11">
        <v>352.74900000000002</v>
      </c>
      <c r="H84" s="11">
        <v>3796.9549611000002</v>
      </c>
      <c r="I84" s="11">
        <v>742.1063216</v>
      </c>
      <c r="J84" s="11">
        <v>472.52499999999998</v>
      </c>
      <c r="K84" s="11">
        <v>5086.2118474999997</v>
      </c>
      <c r="L84" s="10">
        <v>6050</v>
      </c>
      <c r="M84" s="5" t="str">
        <f>HLOOKUP($F84,'[1]Summary - Pricing'!$D$3:$L$16,13,FALSE)</f>
        <v>Y</v>
      </c>
      <c r="N84" s="5" t="str">
        <f>HLOOKUP($F84,'[1]Summary - Pricing'!$D$3:$L$16,14,FALSE)</f>
        <v>Y</v>
      </c>
      <c r="O84" s="9">
        <f>IF(M84="Y",'[1]Summary - Pricing'!$D$10,0)</f>
        <v>750</v>
      </c>
      <c r="P84" s="9">
        <f>IF(N84="Y",'[1]Summary - Pricing'!$D$13,0)</f>
        <v>750</v>
      </c>
      <c r="Q84" s="9">
        <f>IF(AND(E84&gt;5,E84&lt;16),0,IF(E84&lt;6,'[1]Summary - Pricing'!$D$11,IF('TR 01 Inventory'!E84&gt;15,('TR 01 Inventory'!E84-15)*'[1]Summary - Pricing'!$D$12)))</f>
        <v>1100</v>
      </c>
      <c r="R84" s="8">
        <f>SUM(O84:Q84)</f>
        <v>2600</v>
      </c>
      <c r="S84" s="9">
        <f>R84*L84</f>
        <v>15730000</v>
      </c>
      <c r="T84" s="9">
        <v>750000</v>
      </c>
      <c r="U84" s="9">
        <f>HLOOKUP(F84,'[1]Summary - Pricing'!$D$3:$L$20,18,FALSE)*100000</f>
        <v>2250000</v>
      </c>
      <c r="V84" s="9">
        <f>SUM('[1]Summary - Pricing'!$D$18,'[1]Summary - Pricing'!$D$21)*'TR 01 Inventory'!L84</f>
        <v>3817550</v>
      </c>
      <c r="W84" s="9">
        <f>'[1]Summary - Pricing'!$D$7*'TR 01 Inventory'!L84</f>
        <v>81675000</v>
      </c>
      <c r="X84" s="8">
        <f>W84+V84+U84+T84+S84</f>
        <v>104222550</v>
      </c>
    </row>
    <row r="85" spans="2:24" x14ac:dyDescent="0.3">
      <c r="B85" s="10" t="s">
        <v>5</v>
      </c>
      <c r="C85" s="10" t="s">
        <v>9</v>
      </c>
      <c r="D85" s="10" t="s">
        <v>58</v>
      </c>
      <c r="E85" s="10">
        <v>38</v>
      </c>
      <c r="F85" s="10" t="s">
        <v>52</v>
      </c>
      <c r="G85" s="11">
        <v>347.58</v>
      </c>
      <c r="H85" s="11">
        <v>3741.3163619999996</v>
      </c>
      <c r="I85" s="11">
        <v>486.14077959999992</v>
      </c>
      <c r="J85" s="11">
        <v>444.137</v>
      </c>
      <c r="K85" s="11">
        <v>4780.6462542999998</v>
      </c>
      <c r="L85" s="10">
        <v>5750</v>
      </c>
      <c r="M85" s="5" t="str">
        <f>HLOOKUP($F85,'[1]Summary - Pricing'!$D$3:$L$16,13,FALSE)</f>
        <v>Y</v>
      </c>
      <c r="N85" s="5" t="str">
        <f>HLOOKUP($F85,'[1]Summary - Pricing'!$D$3:$L$16,14,FALSE)</f>
        <v>Y</v>
      </c>
      <c r="O85" s="9">
        <f>IF(M85="Y",'[1]Summary - Pricing'!$D$10,0)</f>
        <v>750</v>
      </c>
      <c r="P85" s="9">
        <f>IF(N85="Y",'[1]Summary - Pricing'!$D$13,0)</f>
        <v>750</v>
      </c>
      <c r="Q85" s="9">
        <f>IF(AND(E85&gt;5,E85&lt;16),0,IF(E85&lt;6,'[1]Summary - Pricing'!$D$11,IF('TR 01 Inventory'!E85&gt;15,('TR 01 Inventory'!E85-15)*'[1]Summary - Pricing'!$D$12)))</f>
        <v>1150</v>
      </c>
      <c r="R85" s="8">
        <f>SUM(O85:Q85)</f>
        <v>2650</v>
      </c>
      <c r="S85" s="9">
        <f>R85*L85</f>
        <v>15237500</v>
      </c>
      <c r="T85" s="9">
        <v>750000</v>
      </c>
      <c r="U85" s="9">
        <f>HLOOKUP(F85,'[1]Summary - Pricing'!$D$3:$L$20,18,FALSE)*100000</f>
        <v>2250000</v>
      </c>
      <c r="V85" s="9">
        <f>SUM('[1]Summary - Pricing'!$D$18,'[1]Summary - Pricing'!$D$21)*'TR 01 Inventory'!L85</f>
        <v>3628250</v>
      </c>
      <c r="W85" s="9">
        <f>'[1]Summary - Pricing'!$D$7*'TR 01 Inventory'!L85</f>
        <v>77625000</v>
      </c>
      <c r="X85" s="8">
        <f>W85+V85+U85+T85+S85</f>
        <v>99490750</v>
      </c>
    </row>
    <row r="86" spans="2:24" x14ac:dyDescent="0.3">
      <c r="B86" s="10" t="s">
        <v>5</v>
      </c>
      <c r="C86" s="10" t="s">
        <v>9</v>
      </c>
      <c r="D86" s="10" t="s">
        <v>57</v>
      </c>
      <c r="E86" s="10">
        <v>39</v>
      </c>
      <c r="F86" s="10" t="s">
        <v>54</v>
      </c>
      <c r="G86" s="11">
        <v>352.74900000000002</v>
      </c>
      <c r="H86" s="11">
        <v>3796.9549611000002</v>
      </c>
      <c r="I86" s="11">
        <v>742.1063216</v>
      </c>
      <c r="J86" s="11">
        <v>472.52499999999998</v>
      </c>
      <c r="K86" s="11">
        <v>5086.2118474999997</v>
      </c>
      <c r="L86" s="10">
        <v>6050</v>
      </c>
      <c r="M86" s="5" t="str">
        <f>HLOOKUP($F86,'[1]Summary - Pricing'!$D$3:$L$16,13,FALSE)</f>
        <v>Y</v>
      </c>
      <c r="N86" s="5" t="str">
        <f>HLOOKUP($F86,'[1]Summary - Pricing'!$D$3:$L$16,14,FALSE)</f>
        <v>Y</v>
      </c>
      <c r="O86" s="9">
        <f>IF(M86="Y",'[1]Summary - Pricing'!$D$10,0)</f>
        <v>750</v>
      </c>
      <c r="P86" s="9">
        <f>IF(N86="Y",'[1]Summary - Pricing'!$D$13,0)</f>
        <v>750</v>
      </c>
      <c r="Q86" s="9">
        <f>IF(AND(E86&gt;5,E86&lt;16),0,IF(E86&lt;6,'[1]Summary - Pricing'!$D$11,IF('TR 01 Inventory'!E86&gt;15,('TR 01 Inventory'!E86-15)*'[1]Summary - Pricing'!$D$12)))</f>
        <v>1200</v>
      </c>
      <c r="R86" s="8">
        <f>SUM(O86:Q86)</f>
        <v>2700</v>
      </c>
      <c r="S86" s="9">
        <f>R86*L86</f>
        <v>16335000</v>
      </c>
      <c r="T86" s="9">
        <v>750000</v>
      </c>
      <c r="U86" s="9">
        <f>HLOOKUP(F86,'[1]Summary - Pricing'!$D$3:$L$20,18,FALSE)*100000</f>
        <v>2250000</v>
      </c>
      <c r="V86" s="9">
        <f>SUM('[1]Summary - Pricing'!$D$18,'[1]Summary - Pricing'!$D$21)*'TR 01 Inventory'!L86</f>
        <v>3817550</v>
      </c>
      <c r="W86" s="9">
        <f>'[1]Summary - Pricing'!$D$7*'TR 01 Inventory'!L86</f>
        <v>81675000</v>
      </c>
      <c r="X86" s="8">
        <f>W86+V86+U86+T86+S86</f>
        <v>104827550</v>
      </c>
    </row>
    <row r="87" spans="2:24" x14ac:dyDescent="0.3">
      <c r="B87" s="10" t="s">
        <v>5</v>
      </c>
      <c r="C87" s="10" t="s">
        <v>9</v>
      </c>
      <c r="D87" s="10" t="s">
        <v>56</v>
      </c>
      <c r="E87" s="10">
        <v>40</v>
      </c>
      <c r="F87" s="10" t="s">
        <v>52</v>
      </c>
      <c r="G87" s="11">
        <v>347.58</v>
      </c>
      <c r="H87" s="11">
        <v>3741.3163619999996</v>
      </c>
      <c r="I87" s="11">
        <v>486.14077959999992</v>
      </c>
      <c r="J87" s="11">
        <v>444.137</v>
      </c>
      <c r="K87" s="11">
        <v>4780.6462542999998</v>
      </c>
      <c r="L87" s="10">
        <v>5750</v>
      </c>
      <c r="M87" s="5" t="str">
        <f>HLOOKUP($F87,'[1]Summary - Pricing'!$D$3:$L$16,13,FALSE)</f>
        <v>Y</v>
      </c>
      <c r="N87" s="5" t="str">
        <f>HLOOKUP($F87,'[1]Summary - Pricing'!$D$3:$L$16,14,FALSE)</f>
        <v>Y</v>
      </c>
      <c r="O87" s="9">
        <f>IF(M87="Y",'[1]Summary - Pricing'!$D$10,0)</f>
        <v>750</v>
      </c>
      <c r="P87" s="9">
        <f>IF(N87="Y",'[1]Summary - Pricing'!$D$13,0)</f>
        <v>750</v>
      </c>
      <c r="Q87" s="9">
        <f>IF(AND(E87&gt;5,E87&lt;16),0,IF(E87&lt;6,'[1]Summary - Pricing'!$D$11,IF('TR 01 Inventory'!E87&gt;15,('TR 01 Inventory'!E87-15)*'[1]Summary - Pricing'!$D$12)))</f>
        <v>1250</v>
      </c>
      <c r="R87" s="8">
        <f>SUM(O87:Q87)</f>
        <v>2750</v>
      </c>
      <c r="S87" s="9">
        <f>R87*L87</f>
        <v>15812500</v>
      </c>
      <c r="T87" s="9">
        <v>750000</v>
      </c>
      <c r="U87" s="9">
        <f>HLOOKUP(F87,'[1]Summary - Pricing'!$D$3:$L$20,18,FALSE)*100000</f>
        <v>2250000</v>
      </c>
      <c r="V87" s="9">
        <f>SUM('[1]Summary - Pricing'!$D$18,'[1]Summary - Pricing'!$D$21)*'TR 01 Inventory'!L87</f>
        <v>3628250</v>
      </c>
      <c r="W87" s="9">
        <f>'[1]Summary - Pricing'!$D$7*'TR 01 Inventory'!L87</f>
        <v>77625000</v>
      </c>
      <c r="X87" s="8">
        <f>W87+V87+U87+T87+S87</f>
        <v>100065750</v>
      </c>
    </row>
    <row r="88" spans="2:24" x14ac:dyDescent="0.3">
      <c r="B88" s="10" t="s">
        <v>5</v>
      </c>
      <c r="C88" s="10" t="s">
        <v>9</v>
      </c>
      <c r="D88" s="10" t="s">
        <v>55</v>
      </c>
      <c r="E88" s="10">
        <v>41</v>
      </c>
      <c r="F88" s="10" t="s">
        <v>54</v>
      </c>
      <c r="G88" s="11">
        <v>352.74900000000002</v>
      </c>
      <c r="H88" s="11">
        <v>3796.9549611000002</v>
      </c>
      <c r="I88" s="11">
        <v>742.1063216</v>
      </c>
      <c r="J88" s="11">
        <v>472.52499999999998</v>
      </c>
      <c r="K88" s="11">
        <v>5086.2118474999997</v>
      </c>
      <c r="L88" s="10">
        <v>6050</v>
      </c>
      <c r="M88" s="5" t="str">
        <f>HLOOKUP($F88,'[1]Summary - Pricing'!$D$3:$L$16,13,FALSE)</f>
        <v>Y</v>
      </c>
      <c r="N88" s="5" t="str">
        <f>HLOOKUP($F88,'[1]Summary - Pricing'!$D$3:$L$16,14,FALSE)</f>
        <v>Y</v>
      </c>
      <c r="O88" s="9">
        <f>IF(M88="Y",'[1]Summary - Pricing'!$D$10,0)</f>
        <v>750</v>
      </c>
      <c r="P88" s="9">
        <f>IF(N88="Y",'[1]Summary - Pricing'!$D$13,0)</f>
        <v>750</v>
      </c>
      <c r="Q88" s="9">
        <f>IF(AND(E88&gt;5,E88&lt;16),0,IF(E88&lt;6,'[1]Summary - Pricing'!$D$11,IF('TR 01 Inventory'!E88&gt;15,('TR 01 Inventory'!E88-15)*'[1]Summary - Pricing'!$D$12)))</f>
        <v>1300</v>
      </c>
      <c r="R88" s="8">
        <f>SUM(O88:Q88)</f>
        <v>2800</v>
      </c>
      <c r="S88" s="9">
        <f>R88*L88</f>
        <v>16940000</v>
      </c>
      <c r="T88" s="9">
        <v>750000</v>
      </c>
      <c r="U88" s="9">
        <f>HLOOKUP(F88,'[1]Summary - Pricing'!$D$3:$L$20,18,FALSE)*100000</f>
        <v>2250000</v>
      </c>
      <c r="V88" s="9">
        <f>SUM('[1]Summary - Pricing'!$D$18,'[1]Summary - Pricing'!$D$21)*'TR 01 Inventory'!L88</f>
        <v>3817550</v>
      </c>
      <c r="W88" s="9">
        <f>'[1]Summary - Pricing'!$D$7*'TR 01 Inventory'!L88</f>
        <v>81675000</v>
      </c>
      <c r="X88" s="8">
        <f>W88+V88+U88+T88+S88</f>
        <v>105432550</v>
      </c>
    </row>
    <row r="89" spans="2:24" x14ac:dyDescent="0.3">
      <c r="B89" s="10" t="s">
        <v>5</v>
      </c>
      <c r="C89" s="10" t="s">
        <v>9</v>
      </c>
      <c r="D89" s="10" t="s">
        <v>53</v>
      </c>
      <c r="E89" s="10">
        <v>42</v>
      </c>
      <c r="F89" s="10" t="s">
        <v>52</v>
      </c>
      <c r="G89" s="11">
        <v>347.58</v>
      </c>
      <c r="H89" s="11">
        <v>3741.3163619999996</v>
      </c>
      <c r="I89" s="11">
        <v>486.14077959999992</v>
      </c>
      <c r="J89" s="11">
        <v>444.137</v>
      </c>
      <c r="K89" s="11">
        <v>4780.6462542999998</v>
      </c>
      <c r="L89" s="10">
        <v>5750</v>
      </c>
      <c r="M89" s="5" t="str">
        <f>HLOOKUP($F89,'[1]Summary - Pricing'!$D$3:$L$16,13,FALSE)</f>
        <v>Y</v>
      </c>
      <c r="N89" s="5" t="str">
        <f>HLOOKUP($F89,'[1]Summary - Pricing'!$D$3:$L$16,14,FALSE)</f>
        <v>Y</v>
      </c>
      <c r="O89" s="9">
        <f>IF(M89="Y",'[1]Summary - Pricing'!$D$10,0)</f>
        <v>750</v>
      </c>
      <c r="P89" s="9">
        <f>IF(N89="Y",'[1]Summary - Pricing'!$D$13,0)</f>
        <v>750</v>
      </c>
      <c r="Q89" s="9">
        <f>IF(AND(E89&gt;5,E89&lt;16),0,IF(E89&lt;6,'[1]Summary - Pricing'!$D$11,IF('TR 01 Inventory'!E89&gt;15,('TR 01 Inventory'!E89-15)*'[1]Summary - Pricing'!$D$12)))</f>
        <v>1350</v>
      </c>
      <c r="R89" s="8">
        <f>SUM(O89:Q89)</f>
        <v>2850</v>
      </c>
      <c r="S89" s="9">
        <f>R89*L89</f>
        <v>16387500</v>
      </c>
      <c r="T89" s="9">
        <v>750000</v>
      </c>
      <c r="U89" s="9">
        <f>HLOOKUP(F89,'[1]Summary - Pricing'!$D$3:$L$20,18,FALSE)*100000</f>
        <v>2250000</v>
      </c>
      <c r="V89" s="9">
        <f>SUM('[1]Summary - Pricing'!$D$18,'[1]Summary - Pricing'!$D$21)*'TR 01 Inventory'!L89</f>
        <v>3628250</v>
      </c>
      <c r="W89" s="9">
        <f>'[1]Summary - Pricing'!$D$7*'TR 01 Inventory'!L89</f>
        <v>77625000</v>
      </c>
      <c r="X89" s="8">
        <f>W89+V89+U89+T89+S89</f>
        <v>100640750</v>
      </c>
    </row>
    <row r="90" spans="2:24" x14ac:dyDescent="0.3">
      <c r="B90" s="10" t="s">
        <v>5</v>
      </c>
      <c r="C90" s="10" t="s">
        <v>12</v>
      </c>
      <c r="D90" s="10" t="s">
        <v>51</v>
      </c>
      <c r="E90" s="10">
        <v>1</v>
      </c>
      <c r="F90" s="10" t="s">
        <v>16</v>
      </c>
      <c r="G90" s="11">
        <v>214.428</v>
      </c>
      <c r="H90" s="11">
        <v>2308.0815491999997</v>
      </c>
      <c r="I90" s="11">
        <v>558.52800709999997</v>
      </c>
      <c r="J90" s="11">
        <v>290.23700000000002</v>
      </c>
      <c r="K90" s="11">
        <v>3124.0820443000002</v>
      </c>
      <c r="L90" s="10">
        <v>3525</v>
      </c>
      <c r="M90" s="5" t="str">
        <f>HLOOKUP($F90,'[1]Summary - Pricing'!$D$3:$L$16,13,FALSE)</f>
        <v>N</v>
      </c>
      <c r="N90" s="5" t="str">
        <f>HLOOKUP($F90,'[1]Summary - Pricing'!$D$3:$L$16,14,FALSE)</f>
        <v>N</v>
      </c>
      <c r="O90" s="9">
        <f>IF(M90="Y",'[1]Summary - Pricing'!$D$10,0)</f>
        <v>0</v>
      </c>
      <c r="P90" s="9">
        <f>IF(N90="Y",'[1]Summary - Pricing'!$D$13,0)</f>
        <v>0</v>
      </c>
      <c r="Q90" s="9">
        <f>IF(AND(E90&gt;5,E90&lt;16),0,IF(E90&lt;6,'[1]Summary - Pricing'!$D$11,IF('TR 01 Inventory'!E90&gt;15,('TR 01 Inventory'!E90-15)*'[1]Summary - Pricing'!$D$12)))</f>
        <v>500</v>
      </c>
      <c r="R90" s="8">
        <f>SUM(O90:Q90)</f>
        <v>500</v>
      </c>
      <c r="S90" s="9">
        <f>R90*L90</f>
        <v>1762500</v>
      </c>
      <c r="T90" s="9">
        <v>750000</v>
      </c>
      <c r="U90" s="9">
        <f>HLOOKUP(F90,'[1]Summary - Pricing'!$D$3:$L$20,18,FALSE)*100000</f>
        <v>1500000</v>
      </c>
      <c r="V90" s="9">
        <f>SUM('[1]Summary - Pricing'!$D$18,'[1]Summary - Pricing'!$D$21)*'TR 01 Inventory'!L90</f>
        <v>2224275</v>
      </c>
      <c r="W90" s="9">
        <f>'[1]Summary - Pricing'!$D$7*'TR 01 Inventory'!L90</f>
        <v>47587500</v>
      </c>
      <c r="X90" s="8">
        <f>W90+V90+U90+T90+S90</f>
        <v>53824275</v>
      </c>
    </row>
    <row r="91" spans="2:24" x14ac:dyDescent="0.3">
      <c r="B91" s="10" t="s">
        <v>5</v>
      </c>
      <c r="C91" s="10" t="s">
        <v>12</v>
      </c>
      <c r="D91" s="10" t="s">
        <v>50</v>
      </c>
      <c r="E91" s="10">
        <v>2</v>
      </c>
      <c r="F91" s="10" t="s">
        <v>16</v>
      </c>
      <c r="G91" s="11">
        <v>214.428</v>
      </c>
      <c r="H91" s="11">
        <v>2308.0815491999997</v>
      </c>
      <c r="I91" s="11">
        <v>558.52800709999997</v>
      </c>
      <c r="J91" s="11">
        <v>290.23700000000002</v>
      </c>
      <c r="K91" s="11">
        <v>3124.0820443000002</v>
      </c>
      <c r="L91" s="10">
        <v>3525</v>
      </c>
      <c r="M91" s="5" t="str">
        <f>HLOOKUP($F91,'[1]Summary - Pricing'!$D$3:$L$16,13,FALSE)</f>
        <v>N</v>
      </c>
      <c r="N91" s="5" t="str">
        <f>HLOOKUP($F91,'[1]Summary - Pricing'!$D$3:$L$16,14,FALSE)</f>
        <v>N</v>
      </c>
      <c r="O91" s="9">
        <f>IF(M91="Y",'[1]Summary - Pricing'!$D$10,0)</f>
        <v>0</v>
      </c>
      <c r="P91" s="9">
        <f>IF(N91="Y",'[1]Summary - Pricing'!$D$13,0)</f>
        <v>0</v>
      </c>
      <c r="Q91" s="9">
        <f>IF(AND(E91&gt;5,E91&lt;16),0,IF(E91&lt;6,'[1]Summary - Pricing'!$D$11,IF('TR 01 Inventory'!E91&gt;15,('TR 01 Inventory'!E91-15)*'[1]Summary - Pricing'!$D$12)))</f>
        <v>500</v>
      </c>
      <c r="R91" s="8">
        <f>SUM(O91:Q91)</f>
        <v>500</v>
      </c>
      <c r="S91" s="9">
        <f>R91*L91</f>
        <v>1762500</v>
      </c>
      <c r="T91" s="9">
        <v>750000</v>
      </c>
      <c r="U91" s="9">
        <f>HLOOKUP(F91,'[1]Summary - Pricing'!$D$3:$L$20,18,FALSE)*100000</f>
        <v>1500000</v>
      </c>
      <c r="V91" s="9">
        <f>SUM('[1]Summary - Pricing'!$D$18,'[1]Summary - Pricing'!$D$21)*'TR 01 Inventory'!L91</f>
        <v>2224275</v>
      </c>
      <c r="W91" s="9">
        <f>'[1]Summary - Pricing'!$D$7*'TR 01 Inventory'!L91</f>
        <v>47587500</v>
      </c>
      <c r="X91" s="8">
        <f>W91+V91+U91+T91+S91</f>
        <v>53824275</v>
      </c>
    </row>
    <row r="92" spans="2:24" x14ac:dyDescent="0.3">
      <c r="B92" s="10" t="s">
        <v>5</v>
      </c>
      <c r="C92" s="10" t="s">
        <v>12</v>
      </c>
      <c r="D92" s="10" t="s">
        <v>49</v>
      </c>
      <c r="E92" s="10">
        <v>3</v>
      </c>
      <c r="F92" s="10" t="s">
        <v>16</v>
      </c>
      <c r="G92" s="11">
        <v>214.428</v>
      </c>
      <c r="H92" s="11">
        <v>2308.0815491999997</v>
      </c>
      <c r="I92" s="11">
        <v>558.52800709999997</v>
      </c>
      <c r="J92" s="11">
        <v>290.23700000000002</v>
      </c>
      <c r="K92" s="11">
        <v>3124.0820443000002</v>
      </c>
      <c r="L92" s="10">
        <v>3525</v>
      </c>
      <c r="M92" s="5" t="str">
        <f>HLOOKUP($F92,'[1]Summary - Pricing'!$D$3:$L$16,13,FALSE)</f>
        <v>N</v>
      </c>
      <c r="N92" s="5" t="str">
        <f>HLOOKUP($F92,'[1]Summary - Pricing'!$D$3:$L$16,14,FALSE)</f>
        <v>N</v>
      </c>
      <c r="O92" s="9">
        <f>IF(M92="Y",'[1]Summary - Pricing'!$D$10,0)</f>
        <v>0</v>
      </c>
      <c r="P92" s="9">
        <f>IF(N92="Y",'[1]Summary - Pricing'!$D$13,0)</f>
        <v>0</v>
      </c>
      <c r="Q92" s="9">
        <f>IF(AND(E92&gt;5,E92&lt;16),0,IF(E92&lt;6,'[1]Summary - Pricing'!$D$11,IF('TR 01 Inventory'!E92&gt;15,('TR 01 Inventory'!E92-15)*'[1]Summary - Pricing'!$D$12)))</f>
        <v>500</v>
      </c>
      <c r="R92" s="8">
        <f>SUM(O92:Q92)</f>
        <v>500</v>
      </c>
      <c r="S92" s="9">
        <f>R92*L92</f>
        <v>1762500</v>
      </c>
      <c r="T92" s="9">
        <v>750000</v>
      </c>
      <c r="U92" s="9">
        <f>HLOOKUP(F92,'[1]Summary - Pricing'!$D$3:$L$20,18,FALSE)*100000</f>
        <v>1500000</v>
      </c>
      <c r="V92" s="9">
        <f>SUM('[1]Summary - Pricing'!$D$18,'[1]Summary - Pricing'!$D$21)*'TR 01 Inventory'!L92</f>
        <v>2224275</v>
      </c>
      <c r="W92" s="9">
        <f>'[1]Summary - Pricing'!$D$7*'TR 01 Inventory'!L92</f>
        <v>47587500</v>
      </c>
      <c r="X92" s="8">
        <f>W92+V92+U92+T92+S92</f>
        <v>53824275</v>
      </c>
    </row>
    <row r="93" spans="2:24" x14ac:dyDescent="0.3">
      <c r="B93" s="10" t="s">
        <v>5</v>
      </c>
      <c r="C93" s="10" t="s">
        <v>12</v>
      </c>
      <c r="D93" s="10" t="s">
        <v>48</v>
      </c>
      <c r="E93" s="10">
        <v>4</v>
      </c>
      <c r="F93" s="10" t="s">
        <v>16</v>
      </c>
      <c r="G93" s="11">
        <v>214.428</v>
      </c>
      <c r="H93" s="11">
        <v>2308.0815491999997</v>
      </c>
      <c r="I93" s="11">
        <v>558.52800709999997</v>
      </c>
      <c r="J93" s="11">
        <v>290.23700000000002</v>
      </c>
      <c r="K93" s="11">
        <v>3124.0820443000002</v>
      </c>
      <c r="L93" s="10">
        <v>3525</v>
      </c>
      <c r="M93" s="5" t="str">
        <f>HLOOKUP($F93,'[1]Summary - Pricing'!$D$3:$L$16,13,FALSE)</f>
        <v>N</v>
      </c>
      <c r="N93" s="5" t="str">
        <f>HLOOKUP($F93,'[1]Summary - Pricing'!$D$3:$L$16,14,FALSE)</f>
        <v>N</v>
      </c>
      <c r="O93" s="9">
        <f>IF(M93="Y",'[1]Summary - Pricing'!$D$10,0)</f>
        <v>0</v>
      </c>
      <c r="P93" s="9">
        <f>IF(N93="Y",'[1]Summary - Pricing'!$D$13,0)</f>
        <v>0</v>
      </c>
      <c r="Q93" s="9">
        <f>IF(AND(E93&gt;5,E93&lt;16),0,IF(E93&lt;6,'[1]Summary - Pricing'!$D$11,IF('TR 01 Inventory'!E93&gt;15,('TR 01 Inventory'!E93-15)*'[1]Summary - Pricing'!$D$12)))</f>
        <v>500</v>
      </c>
      <c r="R93" s="8">
        <f>SUM(O93:Q93)</f>
        <v>500</v>
      </c>
      <c r="S93" s="9">
        <f>R93*L93</f>
        <v>1762500</v>
      </c>
      <c r="T93" s="9">
        <v>750000</v>
      </c>
      <c r="U93" s="9">
        <f>HLOOKUP(F93,'[1]Summary - Pricing'!$D$3:$L$20,18,FALSE)*100000</f>
        <v>1500000</v>
      </c>
      <c r="V93" s="9">
        <f>SUM('[1]Summary - Pricing'!$D$18,'[1]Summary - Pricing'!$D$21)*'TR 01 Inventory'!L93</f>
        <v>2224275</v>
      </c>
      <c r="W93" s="9">
        <f>'[1]Summary - Pricing'!$D$7*'TR 01 Inventory'!L93</f>
        <v>47587500</v>
      </c>
      <c r="X93" s="8">
        <f>W93+V93+U93+T93+S93</f>
        <v>53824275</v>
      </c>
    </row>
    <row r="94" spans="2:24" x14ac:dyDescent="0.3">
      <c r="B94" s="10" t="s">
        <v>5</v>
      </c>
      <c r="C94" s="10" t="s">
        <v>12</v>
      </c>
      <c r="D94" s="10" t="s">
        <v>47</v>
      </c>
      <c r="E94" s="10">
        <v>5</v>
      </c>
      <c r="F94" s="10" t="s">
        <v>16</v>
      </c>
      <c r="G94" s="11">
        <v>214.428</v>
      </c>
      <c r="H94" s="11">
        <v>2308.0815491999997</v>
      </c>
      <c r="I94" s="11">
        <v>558.52800709999997</v>
      </c>
      <c r="J94" s="11">
        <v>290.23700000000002</v>
      </c>
      <c r="K94" s="11">
        <v>3124.0820443000002</v>
      </c>
      <c r="L94" s="10">
        <v>3525</v>
      </c>
      <c r="M94" s="5" t="str">
        <f>HLOOKUP($F94,'[1]Summary - Pricing'!$D$3:$L$16,13,FALSE)</f>
        <v>N</v>
      </c>
      <c r="N94" s="5" t="str">
        <f>HLOOKUP($F94,'[1]Summary - Pricing'!$D$3:$L$16,14,FALSE)</f>
        <v>N</v>
      </c>
      <c r="O94" s="9">
        <f>IF(M94="Y",'[1]Summary - Pricing'!$D$10,0)</f>
        <v>0</v>
      </c>
      <c r="P94" s="9">
        <f>IF(N94="Y",'[1]Summary - Pricing'!$D$13,0)</f>
        <v>0</v>
      </c>
      <c r="Q94" s="9">
        <f>IF(AND(E94&gt;5,E94&lt;16),0,IF(E94&lt;6,'[1]Summary - Pricing'!$D$11,IF('TR 01 Inventory'!E94&gt;15,('TR 01 Inventory'!E94-15)*'[1]Summary - Pricing'!$D$12)))</f>
        <v>500</v>
      </c>
      <c r="R94" s="8">
        <f>SUM(O94:Q94)</f>
        <v>500</v>
      </c>
      <c r="S94" s="9">
        <f>R94*L94</f>
        <v>1762500</v>
      </c>
      <c r="T94" s="9">
        <v>750000</v>
      </c>
      <c r="U94" s="9">
        <f>HLOOKUP(F94,'[1]Summary - Pricing'!$D$3:$L$20,18,FALSE)*100000</f>
        <v>1500000</v>
      </c>
      <c r="V94" s="9">
        <f>SUM('[1]Summary - Pricing'!$D$18,'[1]Summary - Pricing'!$D$21)*'TR 01 Inventory'!L94</f>
        <v>2224275</v>
      </c>
      <c r="W94" s="9">
        <f>'[1]Summary - Pricing'!$D$7*'TR 01 Inventory'!L94</f>
        <v>47587500</v>
      </c>
      <c r="X94" s="8">
        <f>W94+V94+U94+T94+S94</f>
        <v>53824275</v>
      </c>
    </row>
    <row r="95" spans="2:24" x14ac:dyDescent="0.3">
      <c r="B95" s="10" t="s">
        <v>5</v>
      </c>
      <c r="C95" s="10" t="s">
        <v>12</v>
      </c>
      <c r="D95" s="10" t="s">
        <v>46</v>
      </c>
      <c r="E95" s="10">
        <v>6</v>
      </c>
      <c r="F95" s="10" t="s">
        <v>16</v>
      </c>
      <c r="G95" s="11">
        <v>214.428</v>
      </c>
      <c r="H95" s="11">
        <v>2308.0815491999997</v>
      </c>
      <c r="I95" s="11">
        <v>558.52800709999997</v>
      </c>
      <c r="J95" s="11">
        <v>290.23700000000002</v>
      </c>
      <c r="K95" s="11">
        <v>3124.0820443000002</v>
      </c>
      <c r="L95" s="10">
        <v>3525</v>
      </c>
      <c r="M95" s="5" t="str">
        <f>HLOOKUP($F95,'[1]Summary - Pricing'!$D$3:$L$16,13,FALSE)</f>
        <v>N</v>
      </c>
      <c r="N95" s="5" t="str">
        <f>HLOOKUP($F95,'[1]Summary - Pricing'!$D$3:$L$16,14,FALSE)</f>
        <v>N</v>
      </c>
      <c r="O95" s="9">
        <f>IF(M95="Y",'[1]Summary - Pricing'!$D$10,0)</f>
        <v>0</v>
      </c>
      <c r="P95" s="9">
        <f>IF(N95="Y",'[1]Summary - Pricing'!$D$13,0)</f>
        <v>0</v>
      </c>
      <c r="Q95" s="9">
        <f>IF(AND(E95&gt;5,E95&lt;16),0,IF(E95&lt;6,'[1]Summary - Pricing'!$D$11,IF('TR 01 Inventory'!E95&gt;15,('TR 01 Inventory'!E95-15)*'[1]Summary - Pricing'!$D$12)))</f>
        <v>0</v>
      </c>
      <c r="R95" s="8">
        <f>SUM(O95:Q95)</f>
        <v>0</v>
      </c>
      <c r="S95" s="9">
        <f>R95*L95</f>
        <v>0</v>
      </c>
      <c r="T95" s="9">
        <v>750000</v>
      </c>
      <c r="U95" s="9">
        <f>HLOOKUP(F95,'[1]Summary - Pricing'!$D$3:$L$20,18,FALSE)*100000</f>
        <v>1500000</v>
      </c>
      <c r="V95" s="9">
        <f>SUM('[1]Summary - Pricing'!$D$18,'[1]Summary - Pricing'!$D$21)*'TR 01 Inventory'!L95</f>
        <v>2224275</v>
      </c>
      <c r="W95" s="9">
        <f>'[1]Summary - Pricing'!$D$7*'TR 01 Inventory'!L95</f>
        <v>47587500</v>
      </c>
      <c r="X95" s="8">
        <f>W95+V95+U95+T95+S95</f>
        <v>52061775</v>
      </c>
    </row>
    <row r="96" spans="2:24" x14ac:dyDescent="0.3">
      <c r="B96" s="10" t="s">
        <v>5</v>
      </c>
      <c r="C96" s="10" t="s">
        <v>12</v>
      </c>
      <c r="D96" s="10" t="s">
        <v>45</v>
      </c>
      <c r="E96" s="10">
        <v>7</v>
      </c>
      <c r="F96" s="10" t="s">
        <v>16</v>
      </c>
      <c r="G96" s="11">
        <v>214.428</v>
      </c>
      <c r="H96" s="11">
        <v>2308.0815491999997</v>
      </c>
      <c r="I96" s="11">
        <v>558.52800709999997</v>
      </c>
      <c r="J96" s="11">
        <v>290.23700000000002</v>
      </c>
      <c r="K96" s="11">
        <v>3124.0820443000002</v>
      </c>
      <c r="L96" s="10">
        <v>3525</v>
      </c>
      <c r="M96" s="5" t="str">
        <f>HLOOKUP($F96,'[1]Summary - Pricing'!$D$3:$L$16,13,FALSE)</f>
        <v>N</v>
      </c>
      <c r="N96" s="5" t="str">
        <f>HLOOKUP($F96,'[1]Summary - Pricing'!$D$3:$L$16,14,FALSE)</f>
        <v>N</v>
      </c>
      <c r="O96" s="9">
        <f>IF(M96="Y",'[1]Summary - Pricing'!$D$10,0)</f>
        <v>0</v>
      </c>
      <c r="P96" s="9">
        <f>IF(N96="Y",'[1]Summary - Pricing'!$D$13,0)</f>
        <v>0</v>
      </c>
      <c r="Q96" s="9">
        <f>IF(AND(E96&gt;5,E96&lt;16),0,IF(E96&lt;6,'[1]Summary - Pricing'!$D$11,IF('TR 01 Inventory'!E96&gt;15,('TR 01 Inventory'!E96-15)*'[1]Summary - Pricing'!$D$12)))</f>
        <v>0</v>
      </c>
      <c r="R96" s="8">
        <f>SUM(O96:Q96)</f>
        <v>0</v>
      </c>
      <c r="S96" s="9">
        <f>R96*L96</f>
        <v>0</v>
      </c>
      <c r="T96" s="9">
        <v>750000</v>
      </c>
      <c r="U96" s="9">
        <f>HLOOKUP(F96,'[1]Summary - Pricing'!$D$3:$L$20,18,FALSE)*100000</f>
        <v>1500000</v>
      </c>
      <c r="V96" s="9">
        <f>SUM('[1]Summary - Pricing'!$D$18,'[1]Summary - Pricing'!$D$21)*'TR 01 Inventory'!L96</f>
        <v>2224275</v>
      </c>
      <c r="W96" s="9">
        <f>'[1]Summary - Pricing'!$D$7*'TR 01 Inventory'!L96</f>
        <v>47587500</v>
      </c>
      <c r="X96" s="8">
        <f>W96+V96+U96+T96+S96</f>
        <v>52061775</v>
      </c>
    </row>
    <row r="97" spans="2:24" x14ac:dyDescent="0.3">
      <c r="B97" s="10" t="s">
        <v>5</v>
      </c>
      <c r="C97" s="10" t="s">
        <v>12</v>
      </c>
      <c r="D97" s="10" t="s">
        <v>44</v>
      </c>
      <c r="E97" s="10">
        <v>8</v>
      </c>
      <c r="F97" s="10" t="s">
        <v>16</v>
      </c>
      <c r="G97" s="11">
        <v>214.428</v>
      </c>
      <c r="H97" s="11">
        <v>2308.0815491999997</v>
      </c>
      <c r="I97" s="11">
        <v>558.52800709999997</v>
      </c>
      <c r="J97" s="11">
        <v>290.23700000000002</v>
      </c>
      <c r="K97" s="11">
        <v>3124.0820443000002</v>
      </c>
      <c r="L97" s="10">
        <v>3525</v>
      </c>
      <c r="M97" s="5" t="str">
        <f>HLOOKUP($F97,'[1]Summary - Pricing'!$D$3:$L$16,13,FALSE)</f>
        <v>N</v>
      </c>
      <c r="N97" s="5" t="str">
        <f>HLOOKUP($F97,'[1]Summary - Pricing'!$D$3:$L$16,14,FALSE)</f>
        <v>N</v>
      </c>
      <c r="O97" s="9">
        <f>IF(M97="Y",'[1]Summary - Pricing'!$D$10,0)</f>
        <v>0</v>
      </c>
      <c r="P97" s="9">
        <f>IF(N97="Y",'[1]Summary - Pricing'!$D$13,0)</f>
        <v>0</v>
      </c>
      <c r="Q97" s="9">
        <f>IF(AND(E97&gt;5,E97&lt;16),0,IF(E97&lt;6,'[1]Summary - Pricing'!$D$11,IF('TR 01 Inventory'!E97&gt;15,('TR 01 Inventory'!E97-15)*'[1]Summary - Pricing'!$D$12)))</f>
        <v>0</v>
      </c>
      <c r="R97" s="8">
        <f>SUM(O97:Q97)</f>
        <v>0</v>
      </c>
      <c r="S97" s="9">
        <f>R97*L97</f>
        <v>0</v>
      </c>
      <c r="T97" s="9">
        <v>750000</v>
      </c>
      <c r="U97" s="9">
        <f>HLOOKUP(F97,'[1]Summary - Pricing'!$D$3:$L$20,18,FALSE)*100000</f>
        <v>1500000</v>
      </c>
      <c r="V97" s="9">
        <f>SUM('[1]Summary - Pricing'!$D$18,'[1]Summary - Pricing'!$D$21)*'TR 01 Inventory'!L97</f>
        <v>2224275</v>
      </c>
      <c r="W97" s="9">
        <f>'[1]Summary - Pricing'!$D$7*'TR 01 Inventory'!L97</f>
        <v>47587500</v>
      </c>
      <c r="X97" s="8">
        <f>W97+V97+U97+T97+S97</f>
        <v>52061775</v>
      </c>
    </row>
    <row r="98" spans="2:24" x14ac:dyDescent="0.3">
      <c r="B98" s="10" t="s">
        <v>5</v>
      </c>
      <c r="C98" s="10" t="s">
        <v>12</v>
      </c>
      <c r="D98" s="10" t="s">
        <v>43</v>
      </c>
      <c r="E98" s="10">
        <v>9</v>
      </c>
      <c r="F98" s="10" t="s">
        <v>16</v>
      </c>
      <c r="G98" s="11">
        <v>214.428</v>
      </c>
      <c r="H98" s="11">
        <v>2308.0815491999997</v>
      </c>
      <c r="I98" s="11">
        <v>558.52800709999997</v>
      </c>
      <c r="J98" s="11">
        <v>290.23700000000002</v>
      </c>
      <c r="K98" s="11">
        <v>3124.0820443000002</v>
      </c>
      <c r="L98" s="10">
        <v>3525</v>
      </c>
      <c r="M98" s="5" t="str">
        <f>HLOOKUP($F98,'[1]Summary - Pricing'!$D$3:$L$16,13,FALSE)</f>
        <v>N</v>
      </c>
      <c r="N98" s="5" t="str">
        <f>HLOOKUP($F98,'[1]Summary - Pricing'!$D$3:$L$16,14,FALSE)</f>
        <v>N</v>
      </c>
      <c r="O98" s="9">
        <f>IF(M98="Y",'[1]Summary - Pricing'!$D$10,0)</f>
        <v>0</v>
      </c>
      <c r="P98" s="9">
        <f>IF(N98="Y",'[1]Summary - Pricing'!$D$13,0)</f>
        <v>0</v>
      </c>
      <c r="Q98" s="9">
        <f>IF(AND(E98&gt;5,E98&lt;16),0,IF(E98&lt;6,'[1]Summary - Pricing'!$D$11,IF('TR 01 Inventory'!E98&gt;15,('TR 01 Inventory'!E98-15)*'[1]Summary - Pricing'!$D$12)))</f>
        <v>0</v>
      </c>
      <c r="R98" s="8">
        <f>SUM(O98:Q98)</f>
        <v>0</v>
      </c>
      <c r="S98" s="9">
        <f>R98*L98</f>
        <v>0</v>
      </c>
      <c r="T98" s="9">
        <v>750000</v>
      </c>
      <c r="U98" s="9">
        <f>HLOOKUP(F98,'[1]Summary - Pricing'!$D$3:$L$20,18,FALSE)*100000</f>
        <v>1500000</v>
      </c>
      <c r="V98" s="9">
        <f>SUM('[1]Summary - Pricing'!$D$18,'[1]Summary - Pricing'!$D$21)*'TR 01 Inventory'!L98</f>
        <v>2224275</v>
      </c>
      <c r="W98" s="9">
        <f>'[1]Summary - Pricing'!$D$7*'TR 01 Inventory'!L98</f>
        <v>47587500</v>
      </c>
      <c r="X98" s="8">
        <f>W98+V98+U98+T98+S98</f>
        <v>52061775</v>
      </c>
    </row>
    <row r="99" spans="2:24" x14ac:dyDescent="0.3">
      <c r="B99" s="10" t="s">
        <v>5</v>
      </c>
      <c r="C99" s="10" t="s">
        <v>12</v>
      </c>
      <c r="D99" s="10" t="s">
        <v>42</v>
      </c>
      <c r="E99" s="10">
        <v>10</v>
      </c>
      <c r="F99" s="10" t="s">
        <v>16</v>
      </c>
      <c r="G99" s="11">
        <v>214.428</v>
      </c>
      <c r="H99" s="11">
        <v>2308.0815491999997</v>
      </c>
      <c r="I99" s="11">
        <v>558.52800709999997</v>
      </c>
      <c r="J99" s="11">
        <v>290.23700000000002</v>
      </c>
      <c r="K99" s="11">
        <v>3124.0820443000002</v>
      </c>
      <c r="L99" s="10">
        <v>3525</v>
      </c>
      <c r="M99" s="5" t="str">
        <f>HLOOKUP($F99,'[1]Summary - Pricing'!$D$3:$L$16,13,FALSE)</f>
        <v>N</v>
      </c>
      <c r="N99" s="5" t="str">
        <f>HLOOKUP($F99,'[1]Summary - Pricing'!$D$3:$L$16,14,FALSE)</f>
        <v>N</v>
      </c>
      <c r="O99" s="9">
        <f>IF(M99="Y",'[1]Summary - Pricing'!$D$10,0)</f>
        <v>0</v>
      </c>
      <c r="P99" s="9">
        <f>IF(N99="Y",'[1]Summary - Pricing'!$D$13,0)</f>
        <v>0</v>
      </c>
      <c r="Q99" s="9">
        <f>IF(AND(E99&gt;5,E99&lt;16),0,IF(E99&lt;6,'[1]Summary - Pricing'!$D$11,IF('TR 01 Inventory'!E99&gt;15,('TR 01 Inventory'!E99-15)*'[1]Summary - Pricing'!$D$12)))</f>
        <v>0</v>
      </c>
      <c r="R99" s="8">
        <f>SUM(O99:Q99)</f>
        <v>0</v>
      </c>
      <c r="S99" s="9">
        <f>R99*L99</f>
        <v>0</v>
      </c>
      <c r="T99" s="9">
        <v>750000</v>
      </c>
      <c r="U99" s="9">
        <f>HLOOKUP(F99,'[1]Summary - Pricing'!$D$3:$L$20,18,FALSE)*100000</f>
        <v>1500000</v>
      </c>
      <c r="V99" s="9">
        <f>SUM('[1]Summary - Pricing'!$D$18,'[1]Summary - Pricing'!$D$21)*'TR 01 Inventory'!L99</f>
        <v>2224275</v>
      </c>
      <c r="W99" s="9">
        <f>'[1]Summary - Pricing'!$D$7*'TR 01 Inventory'!L99</f>
        <v>47587500</v>
      </c>
      <c r="X99" s="8">
        <f>W99+V99+U99+T99+S99</f>
        <v>52061775</v>
      </c>
    </row>
    <row r="100" spans="2:24" x14ac:dyDescent="0.3">
      <c r="B100" s="10" t="s">
        <v>5</v>
      </c>
      <c r="C100" s="10" t="s">
        <v>12</v>
      </c>
      <c r="D100" s="10" t="s">
        <v>41</v>
      </c>
      <c r="E100" s="10">
        <v>11</v>
      </c>
      <c r="F100" s="10" t="s">
        <v>16</v>
      </c>
      <c r="G100" s="11">
        <v>214.428</v>
      </c>
      <c r="H100" s="11">
        <v>2308.0815491999997</v>
      </c>
      <c r="I100" s="11">
        <v>558.52800709999997</v>
      </c>
      <c r="J100" s="11">
        <v>290.23700000000002</v>
      </c>
      <c r="K100" s="11">
        <v>3124.0820443000002</v>
      </c>
      <c r="L100" s="10">
        <v>3525</v>
      </c>
      <c r="M100" s="5" t="str">
        <f>HLOOKUP($F100,'[1]Summary - Pricing'!$D$3:$L$16,13,FALSE)</f>
        <v>N</v>
      </c>
      <c r="N100" s="5" t="str">
        <f>HLOOKUP($F100,'[1]Summary - Pricing'!$D$3:$L$16,14,FALSE)</f>
        <v>N</v>
      </c>
      <c r="O100" s="9">
        <f>IF(M100="Y",'[1]Summary - Pricing'!$D$10,0)</f>
        <v>0</v>
      </c>
      <c r="P100" s="9">
        <f>IF(N100="Y",'[1]Summary - Pricing'!$D$13,0)</f>
        <v>0</v>
      </c>
      <c r="Q100" s="9">
        <f>IF(AND(E100&gt;5,E100&lt;16),0,IF(E100&lt;6,'[1]Summary - Pricing'!$D$11,IF('TR 01 Inventory'!E100&gt;15,('TR 01 Inventory'!E100-15)*'[1]Summary - Pricing'!$D$12)))</f>
        <v>0</v>
      </c>
      <c r="R100" s="8">
        <f>SUM(O100:Q100)</f>
        <v>0</v>
      </c>
      <c r="S100" s="9">
        <f>R100*L100</f>
        <v>0</v>
      </c>
      <c r="T100" s="9">
        <v>750000</v>
      </c>
      <c r="U100" s="9">
        <f>HLOOKUP(F100,'[1]Summary - Pricing'!$D$3:$L$20,18,FALSE)*100000</f>
        <v>1500000</v>
      </c>
      <c r="V100" s="9">
        <f>SUM('[1]Summary - Pricing'!$D$18,'[1]Summary - Pricing'!$D$21)*'TR 01 Inventory'!L100</f>
        <v>2224275</v>
      </c>
      <c r="W100" s="9">
        <f>'[1]Summary - Pricing'!$D$7*'TR 01 Inventory'!L100</f>
        <v>47587500</v>
      </c>
      <c r="X100" s="8">
        <f>W100+V100+U100+T100+S100</f>
        <v>52061775</v>
      </c>
    </row>
    <row r="101" spans="2:24" x14ac:dyDescent="0.3">
      <c r="B101" s="10" t="s">
        <v>5</v>
      </c>
      <c r="C101" s="10" t="s">
        <v>12</v>
      </c>
      <c r="D101" s="10" t="s">
        <v>40</v>
      </c>
      <c r="E101" s="10">
        <v>12</v>
      </c>
      <c r="F101" s="10" t="s">
        <v>16</v>
      </c>
      <c r="G101" s="11">
        <v>214.428</v>
      </c>
      <c r="H101" s="11">
        <v>2308.0815491999997</v>
      </c>
      <c r="I101" s="11">
        <v>558.52800709999997</v>
      </c>
      <c r="J101" s="11">
        <v>290.23700000000002</v>
      </c>
      <c r="K101" s="11">
        <v>3124.0820443000002</v>
      </c>
      <c r="L101" s="10">
        <v>3525</v>
      </c>
      <c r="M101" s="5" t="str">
        <f>HLOOKUP($F101,'[1]Summary - Pricing'!$D$3:$L$16,13,FALSE)</f>
        <v>N</v>
      </c>
      <c r="N101" s="5" t="str">
        <f>HLOOKUP($F101,'[1]Summary - Pricing'!$D$3:$L$16,14,FALSE)</f>
        <v>N</v>
      </c>
      <c r="O101" s="9">
        <f>IF(M101="Y",'[1]Summary - Pricing'!$D$10,0)</f>
        <v>0</v>
      </c>
      <c r="P101" s="9">
        <f>IF(N101="Y",'[1]Summary - Pricing'!$D$13,0)</f>
        <v>0</v>
      </c>
      <c r="Q101" s="9">
        <f>IF(AND(E101&gt;5,E101&lt;16),0,IF(E101&lt;6,'[1]Summary - Pricing'!$D$11,IF('TR 01 Inventory'!E101&gt;15,('TR 01 Inventory'!E101-15)*'[1]Summary - Pricing'!$D$12)))</f>
        <v>0</v>
      </c>
      <c r="R101" s="8">
        <f>SUM(O101:Q101)</f>
        <v>0</v>
      </c>
      <c r="S101" s="9">
        <f>R101*L101</f>
        <v>0</v>
      </c>
      <c r="T101" s="9">
        <v>750000</v>
      </c>
      <c r="U101" s="9">
        <f>HLOOKUP(F101,'[1]Summary - Pricing'!$D$3:$L$20,18,FALSE)*100000</f>
        <v>1500000</v>
      </c>
      <c r="V101" s="9">
        <f>SUM('[1]Summary - Pricing'!$D$18,'[1]Summary - Pricing'!$D$21)*'TR 01 Inventory'!L101</f>
        <v>2224275</v>
      </c>
      <c r="W101" s="9">
        <f>'[1]Summary - Pricing'!$D$7*'TR 01 Inventory'!L101</f>
        <v>47587500</v>
      </c>
      <c r="X101" s="8">
        <f>W101+V101+U101+T101+S101</f>
        <v>52061775</v>
      </c>
    </row>
    <row r="102" spans="2:24" x14ac:dyDescent="0.3">
      <c r="B102" s="10" t="s">
        <v>5</v>
      </c>
      <c r="C102" s="10" t="s">
        <v>12</v>
      </c>
      <c r="D102" s="10" t="s">
        <v>39</v>
      </c>
      <c r="E102" s="10">
        <v>14</v>
      </c>
      <c r="F102" s="10" t="s">
        <v>16</v>
      </c>
      <c r="G102" s="11">
        <v>214.428</v>
      </c>
      <c r="H102" s="11">
        <v>2308.0815491999997</v>
      </c>
      <c r="I102" s="11">
        <v>558.52800709999997</v>
      </c>
      <c r="J102" s="11">
        <v>290.23700000000002</v>
      </c>
      <c r="K102" s="11">
        <v>3124.0820443000002</v>
      </c>
      <c r="L102" s="10">
        <v>3525</v>
      </c>
      <c r="M102" s="5" t="str">
        <f>HLOOKUP($F102,'[1]Summary - Pricing'!$D$3:$L$16,13,FALSE)</f>
        <v>N</v>
      </c>
      <c r="N102" s="5" t="str">
        <f>HLOOKUP($F102,'[1]Summary - Pricing'!$D$3:$L$16,14,FALSE)</f>
        <v>N</v>
      </c>
      <c r="O102" s="9">
        <f>IF(M102="Y",'[1]Summary - Pricing'!$D$10,0)</f>
        <v>0</v>
      </c>
      <c r="P102" s="9">
        <f>IF(N102="Y",'[1]Summary - Pricing'!$D$13,0)</f>
        <v>0</v>
      </c>
      <c r="Q102" s="9">
        <f>IF(AND(E102&gt;5,E102&lt;16),0,IF(E102&lt;6,'[1]Summary - Pricing'!$D$11,IF('TR 01 Inventory'!E102&gt;15,('TR 01 Inventory'!E102-15)*'[1]Summary - Pricing'!$D$12)))</f>
        <v>0</v>
      </c>
      <c r="R102" s="8">
        <f>SUM(O102:Q102)</f>
        <v>0</v>
      </c>
      <c r="S102" s="9">
        <f>R102*L102</f>
        <v>0</v>
      </c>
      <c r="T102" s="9">
        <v>750000</v>
      </c>
      <c r="U102" s="9">
        <f>HLOOKUP(F102,'[1]Summary - Pricing'!$D$3:$L$20,18,FALSE)*100000</f>
        <v>1500000</v>
      </c>
      <c r="V102" s="9">
        <f>SUM('[1]Summary - Pricing'!$D$18,'[1]Summary - Pricing'!$D$21)*'TR 01 Inventory'!L102</f>
        <v>2224275</v>
      </c>
      <c r="W102" s="9">
        <f>'[1]Summary - Pricing'!$D$7*'TR 01 Inventory'!L102</f>
        <v>47587500</v>
      </c>
      <c r="X102" s="8">
        <f>W102+V102+U102+T102+S102</f>
        <v>52061775</v>
      </c>
    </row>
    <row r="103" spans="2:24" x14ac:dyDescent="0.3">
      <c r="B103" s="10" t="s">
        <v>5</v>
      </c>
      <c r="C103" s="10" t="s">
        <v>12</v>
      </c>
      <c r="D103" s="10" t="s">
        <v>38</v>
      </c>
      <c r="E103" s="10">
        <v>16</v>
      </c>
      <c r="F103" s="10" t="s">
        <v>16</v>
      </c>
      <c r="G103" s="11">
        <v>214.428</v>
      </c>
      <c r="H103" s="11">
        <v>2308.0815491999997</v>
      </c>
      <c r="I103" s="11">
        <v>558.52800709999997</v>
      </c>
      <c r="J103" s="11">
        <v>290.23700000000002</v>
      </c>
      <c r="K103" s="11">
        <v>3124.0820443000002</v>
      </c>
      <c r="L103" s="10">
        <v>3525</v>
      </c>
      <c r="M103" s="5" t="str">
        <f>HLOOKUP($F103,'[1]Summary - Pricing'!$D$3:$L$16,13,FALSE)</f>
        <v>N</v>
      </c>
      <c r="N103" s="5" t="str">
        <f>HLOOKUP($F103,'[1]Summary - Pricing'!$D$3:$L$16,14,FALSE)</f>
        <v>N</v>
      </c>
      <c r="O103" s="9">
        <f>IF(M103="Y",'[1]Summary - Pricing'!$D$10,0)</f>
        <v>0</v>
      </c>
      <c r="P103" s="9">
        <f>IF(N103="Y",'[1]Summary - Pricing'!$D$13,0)</f>
        <v>0</v>
      </c>
      <c r="Q103" s="9">
        <f>IF(AND(E103&gt;5,E103&lt;16),0,IF(E103&lt;6,'[1]Summary - Pricing'!$D$11,IF('TR 01 Inventory'!E103&gt;15,('TR 01 Inventory'!E103-15)*'[1]Summary - Pricing'!$D$12)))</f>
        <v>50</v>
      </c>
      <c r="R103" s="8">
        <f>SUM(O103:Q103)</f>
        <v>50</v>
      </c>
      <c r="S103" s="9">
        <f>R103*L103</f>
        <v>176250</v>
      </c>
      <c r="T103" s="9">
        <v>750000</v>
      </c>
      <c r="U103" s="9">
        <f>HLOOKUP(F103,'[1]Summary - Pricing'!$D$3:$L$20,18,FALSE)*100000</f>
        <v>1500000</v>
      </c>
      <c r="V103" s="9">
        <f>SUM('[1]Summary - Pricing'!$D$18,'[1]Summary - Pricing'!$D$21)*'TR 01 Inventory'!L103</f>
        <v>2224275</v>
      </c>
      <c r="W103" s="9">
        <f>'[1]Summary - Pricing'!$D$7*'TR 01 Inventory'!L103</f>
        <v>47587500</v>
      </c>
      <c r="X103" s="8">
        <f>W103+V103+U103+T103+S103</f>
        <v>52238025</v>
      </c>
    </row>
    <row r="104" spans="2:24" x14ac:dyDescent="0.3">
      <c r="B104" s="10" t="s">
        <v>5</v>
      </c>
      <c r="C104" s="10" t="s">
        <v>12</v>
      </c>
      <c r="D104" s="10" t="s">
        <v>37</v>
      </c>
      <c r="E104" s="10">
        <v>17</v>
      </c>
      <c r="F104" s="10" t="s">
        <v>16</v>
      </c>
      <c r="G104" s="11">
        <v>214.428</v>
      </c>
      <c r="H104" s="11">
        <v>2308.0815491999997</v>
      </c>
      <c r="I104" s="11">
        <v>558.52800709999997</v>
      </c>
      <c r="J104" s="11">
        <v>290.23700000000002</v>
      </c>
      <c r="K104" s="11">
        <v>3124.0820443000002</v>
      </c>
      <c r="L104" s="10">
        <v>3525</v>
      </c>
      <c r="M104" s="5" t="str">
        <f>HLOOKUP($F104,'[1]Summary - Pricing'!$D$3:$L$16,13,FALSE)</f>
        <v>N</v>
      </c>
      <c r="N104" s="5" t="str">
        <f>HLOOKUP($F104,'[1]Summary - Pricing'!$D$3:$L$16,14,FALSE)</f>
        <v>N</v>
      </c>
      <c r="O104" s="9">
        <f>IF(M104="Y",'[1]Summary - Pricing'!$D$10,0)</f>
        <v>0</v>
      </c>
      <c r="P104" s="9">
        <f>IF(N104="Y",'[1]Summary - Pricing'!$D$13,0)</f>
        <v>0</v>
      </c>
      <c r="Q104" s="9">
        <f>IF(AND(E104&gt;5,E104&lt;16),0,IF(E104&lt;6,'[1]Summary - Pricing'!$D$11,IF('TR 01 Inventory'!E104&gt;15,('TR 01 Inventory'!E104-15)*'[1]Summary - Pricing'!$D$12)))</f>
        <v>100</v>
      </c>
      <c r="R104" s="8">
        <f>SUM(O104:Q104)</f>
        <v>100</v>
      </c>
      <c r="S104" s="9">
        <f>R104*L104</f>
        <v>352500</v>
      </c>
      <c r="T104" s="9">
        <v>750000</v>
      </c>
      <c r="U104" s="9">
        <f>HLOOKUP(F104,'[1]Summary - Pricing'!$D$3:$L$20,18,FALSE)*100000</f>
        <v>1500000</v>
      </c>
      <c r="V104" s="9">
        <f>SUM('[1]Summary - Pricing'!$D$18,'[1]Summary - Pricing'!$D$21)*'TR 01 Inventory'!L104</f>
        <v>2224275</v>
      </c>
      <c r="W104" s="9">
        <f>'[1]Summary - Pricing'!$D$7*'TR 01 Inventory'!L104</f>
        <v>47587500</v>
      </c>
      <c r="X104" s="8">
        <f>W104+V104+U104+T104+S104</f>
        <v>52414275</v>
      </c>
    </row>
    <row r="105" spans="2:24" x14ac:dyDescent="0.3">
      <c r="B105" s="10" t="s">
        <v>5</v>
      </c>
      <c r="C105" s="10" t="s">
        <v>12</v>
      </c>
      <c r="D105" s="10" t="s">
        <v>36</v>
      </c>
      <c r="E105" s="10">
        <v>18</v>
      </c>
      <c r="F105" s="10" t="s">
        <v>16</v>
      </c>
      <c r="G105" s="11">
        <v>214.428</v>
      </c>
      <c r="H105" s="11">
        <v>2308.0815491999997</v>
      </c>
      <c r="I105" s="11">
        <v>558.52800709999997</v>
      </c>
      <c r="J105" s="11">
        <v>290.23700000000002</v>
      </c>
      <c r="K105" s="11">
        <v>3124.0820443000002</v>
      </c>
      <c r="L105" s="10">
        <v>3525</v>
      </c>
      <c r="M105" s="5" t="str">
        <f>HLOOKUP($F105,'[1]Summary - Pricing'!$D$3:$L$16,13,FALSE)</f>
        <v>N</v>
      </c>
      <c r="N105" s="5" t="str">
        <f>HLOOKUP($F105,'[1]Summary - Pricing'!$D$3:$L$16,14,FALSE)</f>
        <v>N</v>
      </c>
      <c r="O105" s="9">
        <f>IF(M105="Y",'[1]Summary - Pricing'!$D$10,0)</f>
        <v>0</v>
      </c>
      <c r="P105" s="9">
        <f>IF(N105="Y",'[1]Summary - Pricing'!$D$13,0)</f>
        <v>0</v>
      </c>
      <c r="Q105" s="9">
        <f>IF(AND(E105&gt;5,E105&lt;16),0,IF(E105&lt;6,'[1]Summary - Pricing'!$D$11,IF('TR 01 Inventory'!E105&gt;15,('TR 01 Inventory'!E105-15)*'[1]Summary - Pricing'!$D$12)))</f>
        <v>150</v>
      </c>
      <c r="R105" s="8">
        <f>SUM(O105:Q105)</f>
        <v>150</v>
      </c>
      <c r="S105" s="9">
        <f>R105*L105</f>
        <v>528750</v>
      </c>
      <c r="T105" s="9">
        <v>750000</v>
      </c>
      <c r="U105" s="9">
        <f>HLOOKUP(F105,'[1]Summary - Pricing'!$D$3:$L$20,18,FALSE)*100000</f>
        <v>1500000</v>
      </c>
      <c r="V105" s="9">
        <f>SUM('[1]Summary - Pricing'!$D$18,'[1]Summary - Pricing'!$D$21)*'TR 01 Inventory'!L105</f>
        <v>2224275</v>
      </c>
      <c r="W105" s="9">
        <f>'[1]Summary - Pricing'!$D$7*'TR 01 Inventory'!L105</f>
        <v>47587500</v>
      </c>
      <c r="X105" s="8">
        <f>W105+V105+U105+T105+S105</f>
        <v>52590525</v>
      </c>
    </row>
    <row r="106" spans="2:24" x14ac:dyDescent="0.3">
      <c r="B106" s="10" t="s">
        <v>5</v>
      </c>
      <c r="C106" s="10" t="s">
        <v>12</v>
      </c>
      <c r="D106" s="10" t="s">
        <v>35</v>
      </c>
      <c r="E106" s="10">
        <v>19</v>
      </c>
      <c r="F106" s="10" t="s">
        <v>16</v>
      </c>
      <c r="G106" s="11">
        <v>214.428</v>
      </c>
      <c r="H106" s="11">
        <v>2308.0815491999997</v>
      </c>
      <c r="I106" s="11">
        <v>558.52800709999997</v>
      </c>
      <c r="J106" s="11">
        <v>290.23700000000002</v>
      </c>
      <c r="K106" s="11">
        <v>3124.0820443000002</v>
      </c>
      <c r="L106" s="10">
        <v>3525</v>
      </c>
      <c r="M106" s="5" t="str">
        <f>HLOOKUP($F106,'[1]Summary - Pricing'!$D$3:$L$16,13,FALSE)</f>
        <v>N</v>
      </c>
      <c r="N106" s="5" t="str">
        <f>HLOOKUP($F106,'[1]Summary - Pricing'!$D$3:$L$16,14,FALSE)</f>
        <v>N</v>
      </c>
      <c r="O106" s="9">
        <f>IF(M106="Y",'[1]Summary - Pricing'!$D$10,0)</f>
        <v>0</v>
      </c>
      <c r="P106" s="9">
        <f>IF(N106="Y",'[1]Summary - Pricing'!$D$13,0)</f>
        <v>0</v>
      </c>
      <c r="Q106" s="9">
        <f>IF(AND(E106&gt;5,E106&lt;16),0,IF(E106&lt;6,'[1]Summary - Pricing'!$D$11,IF('TR 01 Inventory'!E106&gt;15,('TR 01 Inventory'!E106-15)*'[1]Summary - Pricing'!$D$12)))</f>
        <v>200</v>
      </c>
      <c r="R106" s="8">
        <f>SUM(O106:Q106)</f>
        <v>200</v>
      </c>
      <c r="S106" s="9">
        <f>R106*L106</f>
        <v>705000</v>
      </c>
      <c r="T106" s="9">
        <v>750000</v>
      </c>
      <c r="U106" s="9">
        <f>HLOOKUP(F106,'[1]Summary - Pricing'!$D$3:$L$20,18,FALSE)*100000</f>
        <v>1500000</v>
      </c>
      <c r="V106" s="9">
        <f>SUM('[1]Summary - Pricing'!$D$18,'[1]Summary - Pricing'!$D$21)*'TR 01 Inventory'!L106</f>
        <v>2224275</v>
      </c>
      <c r="W106" s="9">
        <f>'[1]Summary - Pricing'!$D$7*'TR 01 Inventory'!L106</f>
        <v>47587500</v>
      </c>
      <c r="X106" s="8">
        <f>W106+V106+U106+T106+S106</f>
        <v>52766775</v>
      </c>
    </row>
    <row r="107" spans="2:24" x14ac:dyDescent="0.3">
      <c r="B107" s="10" t="s">
        <v>5</v>
      </c>
      <c r="C107" s="10" t="s">
        <v>12</v>
      </c>
      <c r="D107" s="10" t="s">
        <v>34</v>
      </c>
      <c r="E107" s="10">
        <v>20</v>
      </c>
      <c r="F107" s="10" t="s">
        <v>16</v>
      </c>
      <c r="G107" s="11">
        <v>214.428</v>
      </c>
      <c r="H107" s="11">
        <v>2308.0815491999997</v>
      </c>
      <c r="I107" s="11">
        <v>558.52800709999997</v>
      </c>
      <c r="J107" s="11">
        <v>290.23700000000002</v>
      </c>
      <c r="K107" s="11">
        <v>3124.0820443000002</v>
      </c>
      <c r="L107" s="10">
        <v>3525</v>
      </c>
      <c r="M107" s="5" t="str">
        <f>HLOOKUP($F107,'[1]Summary - Pricing'!$D$3:$L$16,13,FALSE)</f>
        <v>N</v>
      </c>
      <c r="N107" s="5" t="str">
        <f>HLOOKUP($F107,'[1]Summary - Pricing'!$D$3:$L$16,14,FALSE)</f>
        <v>N</v>
      </c>
      <c r="O107" s="9">
        <f>IF(M107="Y",'[1]Summary - Pricing'!$D$10,0)</f>
        <v>0</v>
      </c>
      <c r="P107" s="9">
        <f>IF(N107="Y",'[1]Summary - Pricing'!$D$13,0)</f>
        <v>0</v>
      </c>
      <c r="Q107" s="9">
        <f>IF(AND(E107&gt;5,E107&lt;16),0,IF(E107&lt;6,'[1]Summary - Pricing'!$D$11,IF('TR 01 Inventory'!E107&gt;15,('TR 01 Inventory'!E107-15)*'[1]Summary - Pricing'!$D$12)))</f>
        <v>250</v>
      </c>
      <c r="R107" s="8">
        <f>SUM(O107:Q107)</f>
        <v>250</v>
      </c>
      <c r="S107" s="9">
        <f>R107*L107</f>
        <v>881250</v>
      </c>
      <c r="T107" s="9">
        <v>750000</v>
      </c>
      <c r="U107" s="9">
        <f>HLOOKUP(F107,'[1]Summary - Pricing'!$D$3:$L$20,18,FALSE)*100000</f>
        <v>1500000</v>
      </c>
      <c r="V107" s="9">
        <f>SUM('[1]Summary - Pricing'!$D$18,'[1]Summary - Pricing'!$D$21)*'TR 01 Inventory'!L107</f>
        <v>2224275</v>
      </c>
      <c r="W107" s="9">
        <f>'[1]Summary - Pricing'!$D$7*'TR 01 Inventory'!L107</f>
        <v>47587500</v>
      </c>
      <c r="X107" s="8">
        <f>W107+V107+U107+T107+S107</f>
        <v>52943025</v>
      </c>
    </row>
    <row r="108" spans="2:24" x14ac:dyDescent="0.3">
      <c r="B108" s="10" t="s">
        <v>5</v>
      </c>
      <c r="C108" s="10" t="s">
        <v>12</v>
      </c>
      <c r="D108" s="10" t="s">
        <v>33</v>
      </c>
      <c r="E108" s="10">
        <v>21</v>
      </c>
      <c r="F108" s="10" t="s">
        <v>16</v>
      </c>
      <c r="G108" s="11">
        <v>214.428</v>
      </c>
      <c r="H108" s="11">
        <v>2308.0815491999997</v>
      </c>
      <c r="I108" s="11">
        <v>558.52800709999997</v>
      </c>
      <c r="J108" s="11">
        <v>290.23700000000002</v>
      </c>
      <c r="K108" s="11">
        <v>3124.0820443000002</v>
      </c>
      <c r="L108" s="10">
        <v>3525</v>
      </c>
      <c r="M108" s="5" t="str">
        <f>HLOOKUP($F108,'[1]Summary - Pricing'!$D$3:$L$16,13,FALSE)</f>
        <v>N</v>
      </c>
      <c r="N108" s="5" t="str">
        <f>HLOOKUP($F108,'[1]Summary - Pricing'!$D$3:$L$16,14,FALSE)</f>
        <v>N</v>
      </c>
      <c r="O108" s="9">
        <f>IF(M108="Y",'[1]Summary - Pricing'!$D$10,0)</f>
        <v>0</v>
      </c>
      <c r="P108" s="9">
        <f>IF(N108="Y",'[1]Summary - Pricing'!$D$13,0)</f>
        <v>0</v>
      </c>
      <c r="Q108" s="9">
        <f>IF(AND(E108&gt;5,E108&lt;16),0,IF(E108&lt;6,'[1]Summary - Pricing'!$D$11,IF('TR 01 Inventory'!E108&gt;15,('TR 01 Inventory'!E108-15)*'[1]Summary - Pricing'!$D$12)))</f>
        <v>300</v>
      </c>
      <c r="R108" s="8">
        <f>SUM(O108:Q108)</f>
        <v>300</v>
      </c>
      <c r="S108" s="9">
        <f>R108*L108</f>
        <v>1057500</v>
      </c>
      <c r="T108" s="9">
        <v>750000</v>
      </c>
      <c r="U108" s="9">
        <f>HLOOKUP(F108,'[1]Summary - Pricing'!$D$3:$L$20,18,FALSE)*100000</f>
        <v>1500000</v>
      </c>
      <c r="V108" s="9">
        <f>SUM('[1]Summary - Pricing'!$D$18,'[1]Summary - Pricing'!$D$21)*'TR 01 Inventory'!L108</f>
        <v>2224275</v>
      </c>
      <c r="W108" s="9">
        <f>'[1]Summary - Pricing'!$D$7*'TR 01 Inventory'!L108</f>
        <v>47587500</v>
      </c>
      <c r="X108" s="8">
        <f>W108+V108+U108+T108+S108</f>
        <v>53119275</v>
      </c>
    </row>
    <row r="109" spans="2:24" x14ac:dyDescent="0.3">
      <c r="B109" s="10" t="s">
        <v>5</v>
      </c>
      <c r="C109" s="10" t="s">
        <v>12</v>
      </c>
      <c r="D109" s="10" t="s">
        <v>32</v>
      </c>
      <c r="E109" s="10">
        <v>22</v>
      </c>
      <c r="F109" s="10" t="s">
        <v>16</v>
      </c>
      <c r="G109" s="11">
        <v>214.428</v>
      </c>
      <c r="H109" s="11">
        <v>2308.0815491999997</v>
      </c>
      <c r="I109" s="11">
        <v>558.52800709999997</v>
      </c>
      <c r="J109" s="11">
        <v>290.23700000000002</v>
      </c>
      <c r="K109" s="11">
        <v>3124.0820443000002</v>
      </c>
      <c r="L109" s="10">
        <v>3525</v>
      </c>
      <c r="M109" s="5" t="str">
        <f>HLOOKUP($F109,'[1]Summary - Pricing'!$D$3:$L$16,13,FALSE)</f>
        <v>N</v>
      </c>
      <c r="N109" s="5" t="str">
        <f>HLOOKUP($F109,'[1]Summary - Pricing'!$D$3:$L$16,14,FALSE)</f>
        <v>N</v>
      </c>
      <c r="O109" s="9">
        <f>IF(M109="Y",'[1]Summary - Pricing'!$D$10,0)</f>
        <v>0</v>
      </c>
      <c r="P109" s="9">
        <f>IF(N109="Y",'[1]Summary - Pricing'!$D$13,0)</f>
        <v>0</v>
      </c>
      <c r="Q109" s="9">
        <f>IF(AND(E109&gt;5,E109&lt;16),0,IF(E109&lt;6,'[1]Summary - Pricing'!$D$11,IF('TR 01 Inventory'!E109&gt;15,('TR 01 Inventory'!E109-15)*'[1]Summary - Pricing'!$D$12)))</f>
        <v>350</v>
      </c>
      <c r="R109" s="8">
        <f>SUM(O109:Q109)</f>
        <v>350</v>
      </c>
      <c r="S109" s="9">
        <f>R109*L109</f>
        <v>1233750</v>
      </c>
      <c r="T109" s="9">
        <v>750000</v>
      </c>
      <c r="U109" s="9">
        <f>HLOOKUP(F109,'[1]Summary - Pricing'!$D$3:$L$20,18,FALSE)*100000</f>
        <v>1500000</v>
      </c>
      <c r="V109" s="9">
        <f>SUM('[1]Summary - Pricing'!$D$18,'[1]Summary - Pricing'!$D$21)*'TR 01 Inventory'!L109</f>
        <v>2224275</v>
      </c>
      <c r="W109" s="9">
        <f>'[1]Summary - Pricing'!$D$7*'TR 01 Inventory'!L109</f>
        <v>47587500</v>
      </c>
      <c r="X109" s="8">
        <f>W109+V109+U109+T109+S109</f>
        <v>53295525</v>
      </c>
    </row>
    <row r="110" spans="2:24" x14ac:dyDescent="0.3">
      <c r="B110" s="10" t="s">
        <v>5</v>
      </c>
      <c r="C110" s="10" t="s">
        <v>12</v>
      </c>
      <c r="D110" s="10" t="s">
        <v>31</v>
      </c>
      <c r="E110" s="10">
        <v>24</v>
      </c>
      <c r="F110" s="10" t="s">
        <v>16</v>
      </c>
      <c r="G110" s="11">
        <v>214.428</v>
      </c>
      <c r="H110" s="11">
        <v>2308.0815491999997</v>
      </c>
      <c r="I110" s="11">
        <v>558.52800709999997</v>
      </c>
      <c r="J110" s="11">
        <v>290.23700000000002</v>
      </c>
      <c r="K110" s="11">
        <v>3124.0820443000002</v>
      </c>
      <c r="L110" s="10">
        <v>3525</v>
      </c>
      <c r="M110" s="5" t="str">
        <f>HLOOKUP($F110,'[1]Summary - Pricing'!$D$3:$L$16,13,FALSE)</f>
        <v>N</v>
      </c>
      <c r="N110" s="5" t="str">
        <f>HLOOKUP($F110,'[1]Summary - Pricing'!$D$3:$L$16,14,FALSE)</f>
        <v>N</v>
      </c>
      <c r="O110" s="9">
        <f>IF(M110="Y",'[1]Summary - Pricing'!$D$10,0)</f>
        <v>0</v>
      </c>
      <c r="P110" s="9">
        <f>IF(N110="Y",'[1]Summary - Pricing'!$D$13,0)</f>
        <v>0</v>
      </c>
      <c r="Q110" s="9">
        <f>IF(AND(E110&gt;5,E110&lt;16),0,IF(E110&lt;6,'[1]Summary - Pricing'!$D$11,IF('TR 01 Inventory'!E110&gt;15,('TR 01 Inventory'!E110-15)*'[1]Summary - Pricing'!$D$12)))</f>
        <v>450</v>
      </c>
      <c r="R110" s="8">
        <f>SUM(O110:Q110)</f>
        <v>450</v>
      </c>
      <c r="S110" s="9">
        <f>R110*L110</f>
        <v>1586250</v>
      </c>
      <c r="T110" s="9">
        <v>750000</v>
      </c>
      <c r="U110" s="9">
        <f>HLOOKUP(F110,'[1]Summary - Pricing'!$D$3:$L$20,18,FALSE)*100000</f>
        <v>1500000</v>
      </c>
      <c r="V110" s="9">
        <f>SUM('[1]Summary - Pricing'!$D$18,'[1]Summary - Pricing'!$D$21)*'TR 01 Inventory'!L110</f>
        <v>2224275</v>
      </c>
      <c r="W110" s="9">
        <f>'[1]Summary - Pricing'!$D$7*'TR 01 Inventory'!L110</f>
        <v>47587500</v>
      </c>
      <c r="X110" s="8">
        <f>W110+V110+U110+T110+S110</f>
        <v>53648025</v>
      </c>
    </row>
    <row r="111" spans="2:24" x14ac:dyDescent="0.3">
      <c r="B111" s="10" t="s">
        <v>5</v>
      </c>
      <c r="C111" s="10" t="s">
        <v>12</v>
      </c>
      <c r="D111" s="10" t="s">
        <v>30</v>
      </c>
      <c r="E111" s="10">
        <v>25</v>
      </c>
      <c r="F111" s="10" t="s">
        <v>16</v>
      </c>
      <c r="G111" s="11">
        <v>214.428</v>
      </c>
      <c r="H111" s="11">
        <v>2308.0815491999997</v>
      </c>
      <c r="I111" s="11">
        <v>558.52800709999997</v>
      </c>
      <c r="J111" s="11">
        <v>290.23700000000002</v>
      </c>
      <c r="K111" s="11">
        <v>3124.0820443000002</v>
      </c>
      <c r="L111" s="10">
        <v>3525</v>
      </c>
      <c r="M111" s="5" t="str">
        <f>HLOOKUP($F111,'[1]Summary - Pricing'!$D$3:$L$16,13,FALSE)</f>
        <v>N</v>
      </c>
      <c r="N111" s="5" t="str">
        <f>HLOOKUP($F111,'[1]Summary - Pricing'!$D$3:$L$16,14,FALSE)</f>
        <v>N</v>
      </c>
      <c r="O111" s="9">
        <f>IF(M111="Y",'[1]Summary - Pricing'!$D$10,0)</f>
        <v>0</v>
      </c>
      <c r="P111" s="9">
        <f>IF(N111="Y",'[1]Summary - Pricing'!$D$13,0)</f>
        <v>0</v>
      </c>
      <c r="Q111" s="9">
        <f>IF(AND(E111&gt;5,E111&lt;16),0,IF(E111&lt;6,'[1]Summary - Pricing'!$D$11,IF('TR 01 Inventory'!E111&gt;15,('TR 01 Inventory'!E111-15)*'[1]Summary - Pricing'!$D$12)))</f>
        <v>500</v>
      </c>
      <c r="R111" s="8">
        <f>SUM(O111:Q111)</f>
        <v>500</v>
      </c>
      <c r="S111" s="9">
        <f>R111*L111</f>
        <v>1762500</v>
      </c>
      <c r="T111" s="9">
        <v>750000</v>
      </c>
      <c r="U111" s="9">
        <f>HLOOKUP(F111,'[1]Summary - Pricing'!$D$3:$L$20,18,FALSE)*100000</f>
        <v>1500000</v>
      </c>
      <c r="V111" s="9">
        <f>SUM('[1]Summary - Pricing'!$D$18,'[1]Summary - Pricing'!$D$21)*'TR 01 Inventory'!L111</f>
        <v>2224275</v>
      </c>
      <c r="W111" s="9">
        <f>'[1]Summary - Pricing'!$D$7*'TR 01 Inventory'!L111</f>
        <v>47587500</v>
      </c>
      <c r="X111" s="8">
        <f>W111+V111+U111+T111+S111</f>
        <v>53824275</v>
      </c>
    </row>
    <row r="112" spans="2:24" x14ac:dyDescent="0.3">
      <c r="B112" s="10" t="s">
        <v>5</v>
      </c>
      <c r="C112" s="10" t="s">
        <v>12</v>
      </c>
      <c r="D112" s="10" t="s">
        <v>29</v>
      </c>
      <c r="E112" s="10">
        <v>26</v>
      </c>
      <c r="F112" s="10" t="s">
        <v>16</v>
      </c>
      <c r="G112" s="11">
        <v>214.428</v>
      </c>
      <c r="H112" s="11">
        <v>2308.0815491999997</v>
      </c>
      <c r="I112" s="11">
        <v>558.52800709999997</v>
      </c>
      <c r="J112" s="11">
        <v>290.23700000000002</v>
      </c>
      <c r="K112" s="11">
        <v>3124.0820443000002</v>
      </c>
      <c r="L112" s="10">
        <v>3525</v>
      </c>
      <c r="M112" s="5" t="str">
        <f>HLOOKUP($F112,'[1]Summary - Pricing'!$D$3:$L$16,13,FALSE)</f>
        <v>N</v>
      </c>
      <c r="N112" s="5" t="str">
        <f>HLOOKUP($F112,'[1]Summary - Pricing'!$D$3:$L$16,14,FALSE)</f>
        <v>N</v>
      </c>
      <c r="O112" s="9">
        <f>IF(M112="Y",'[1]Summary - Pricing'!$D$10,0)</f>
        <v>0</v>
      </c>
      <c r="P112" s="9">
        <f>IF(N112="Y",'[1]Summary - Pricing'!$D$13,0)</f>
        <v>0</v>
      </c>
      <c r="Q112" s="9">
        <f>IF(AND(E112&gt;5,E112&lt;16),0,IF(E112&lt;6,'[1]Summary - Pricing'!$D$11,IF('TR 01 Inventory'!E112&gt;15,('TR 01 Inventory'!E112-15)*'[1]Summary - Pricing'!$D$12)))</f>
        <v>550</v>
      </c>
      <c r="R112" s="8">
        <f>SUM(O112:Q112)</f>
        <v>550</v>
      </c>
      <c r="S112" s="9">
        <f>R112*L112</f>
        <v>1938750</v>
      </c>
      <c r="T112" s="9">
        <v>750000</v>
      </c>
      <c r="U112" s="9">
        <f>HLOOKUP(F112,'[1]Summary - Pricing'!$D$3:$L$20,18,FALSE)*100000</f>
        <v>1500000</v>
      </c>
      <c r="V112" s="9">
        <f>SUM('[1]Summary - Pricing'!$D$18,'[1]Summary - Pricing'!$D$21)*'TR 01 Inventory'!L112</f>
        <v>2224275</v>
      </c>
      <c r="W112" s="9">
        <f>'[1]Summary - Pricing'!$D$7*'TR 01 Inventory'!L112</f>
        <v>47587500</v>
      </c>
      <c r="X112" s="8">
        <f>W112+V112+U112+T112+S112</f>
        <v>54000525</v>
      </c>
    </row>
    <row r="113" spans="2:24" x14ac:dyDescent="0.3">
      <c r="B113" s="10" t="s">
        <v>5</v>
      </c>
      <c r="C113" s="10" t="s">
        <v>12</v>
      </c>
      <c r="D113" s="10" t="s">
        <v>28</v>
      </c>
      <c r="E113" s="10">
        <v>27</v>
      </c>
      <c r="F113" s="10" t="s">
        <v>16</v>
      </c>
      <c r="G113" s="11">
        <v>214.428</v>
      </c>
      <c r="H113" s="11">
        <v>2308.0815491999997</v>
      </c>
      <c r="I113" s="11">
        <v>558.52800709999997</v>
      </c>
      <c r="J113" s="11">
        <v>290.23700000000002</v>
      </c>
      <c r="K113" s="11">
        <v>3124.0820443000002</v>
      </c>
      <c r="L113" s="10">
        <v>3525</v>
      </c>
      <c r="M113" s="5" t="str">
        <f>HLOOKUP($F113,'[1]Summary - Pricing'!$D$3:$L$16,13,FALSE)</f>
        <v>N</v>
      </c>
      <c r="N113" s="5" t="str">
        <f>HLOOKUP($F113,'[1]Summary - Pricing'!$D$3:$L$16,14,FALSE)</f>
        <v>N</v>
      </c>
      <c r="O113" s="9">
        <f>IF(M113="Y",'[1]Summary - Pricing'!$D$10,0)</f>
        <v>0</v>
      </c>
      <c r="P113" s="9">
        <f>IF(N113="Y",'[1]Summary - Pricing'!$D$13,0)</f>
        <v>0</v>
      </c>
      <c r="Q113" s="9">
        <f>IF(AND(E113&gt;5,E113&lt;16),0,IF(E113&lt;6,'[1]Summary - Pricing'!$D$11,IF('TR 01 Inventory'!E113&gt;15,('TR 01 Inventory'!E113-15)*'[1]Summary - Pricing'!$D$12)))</f>
        <v>600</v>
      </c>
      <c r="R113" s="8">
        <f>SUM(O113:Q113)</f>
        <v>600</v>
      </c>
      <c r="S113" s="9">
        <f>R113*L113</f>
        <v>2115000</v>
      </c>
      <c r="T113" s="9">
        <v>750000</v>
      </c>
      <c r="U113" s="9">
        <f>HLOOKUP(F113,'[1]Summary - Pricing'!$D$3:$L$20,18,FALSE)*100000</f>
        <v>1500000</v>
      </c>
      <c r="V113" s="9">
        <f>SUM('[1]Summary - Pricing'!$D$18,'[1]Summary - Pricing'!$D$21)*'TR 01 Inventory'!L113</f>
        <v>2224275</v>
      </c>
      <c r="W113" s="9">
        <f>'[1]Summary - Pricing'!$D$7*'TR 01 Inventory'!L113</f>
        <v>47587500</v>
      </c>
      <c r="X113" s="8">
        <f>W113+V113+U113+T113+S113</f>
        <v>54176775</v>
      </c>
    </row>
    <row r="114" spans="2:24" x14ac:dyDescent="0.3">
      <c r="B114" s="10" t="s">
        <v>5</v>
      </c>
      <c r="C114" s="10" t="s">
        <v>12</v>
      </c>
      <c r="D114" s="10" t="s">
        <v>27</v>
      </c>
      <c r="E114" s="10">
        <v>28</v>
      </c>
      <c r="F114" s="10" t="s">
        <v>16</v>
      </c>
      <c r="G114" s="11">
        <v>214.428</v>
      </c>
      <c r="H114" s="11">
        <v>2308.0815491999997</v>
      </c>
      <c r="I114" s="11">
        <v>558.52800709999997</v>
      </c>
      <c r="J114" s="11">
        <v>290.23700000000002</v>
      </c>
      <c r="K114" s="11">
        <v>3124.0820443000002</v>
      </c>
      <c r="L114" s="10">
        <v>3525</v>
      </c>
      <c r="M114" s="5" t="str">
        <f>HLOOKUP($F114,'[1]Summary - Pricing'!$D$3:$L$16,13,FALSE)</f>
        <v>N</v>
      </c>
      <c r="N114" s="5" t="str">
        <f>HLOOKUP($F114,'[1]Summary - Pricing'!$D$3:$L$16,14,FALSE)</f>
        <v>N</v>
      </c>
      <c r="O114" s="9">
        <f>IF(M114="Y",'[1]Summary - Pricing'!$D$10,0)</f>
        <v>0</v>
      </c>
      <c r="P114" s="9">
        <f>IF(N114="Y",'[1]Summary - Pricing'!$D$13,0)</f>
        <v>0</v>
      </c>
      <c r="Q114" s="9">
        <f>IF(AND(E114&gt;5,E114&lt;16),0,IF(E114&lt;6,'[1]Summary - Pricing'!$D$11,IF('TR 01 Inventory'!E114&gt;15,('TR 01 Inventory'!E114-15)*'[1]Summary - Pricing'!$D$12)))</f>
        <v>650</v>
      </c>
      <c r="R114" s="8">
        <f>SUM(O114:Q114)</f>
        <v>650</v>
      </c>
      <c r="S114" s="9">
        <f>R114*L114</f>
        <v>2291250</v>
      </c>
      <c r="T114" s="9">
        <v>750000</v>
      </c>
      <c r="U114" s="9">
        <f>HLOOKUP(F114,'[1]Summary - Pricing'!$D$3:$L$20,18,FALSE)*100000</f>
        <v>1500000</v>
      </c>
      <c r="V114" s="9">
        <f>SUM('[1]Summary - Pricing'!$D$18,'[1]Summary - Pricing'!$D$21)*'TR 01 Inventory'!L114</f>
        <v>2224275</v>
      </c>
      <c r="W114" s="9">
        <f>'[1]Summary - Pricing'!$D$7*'TR 01 Inventory'!L114</f>
        <v>47587500</v>
      </c>
      <c r="X114" s="8">
        <f>W114+V114+U114+T114+S114</f>
        <v>54353025</v>
      </c>
    </row>
    <row r="115" spans="2:24" x14ac:dyDescent="0.3">
      <c r="B115" s="10" t="s">
        <v>5</v>
      </c>
      <c r="C115" s="10" t="s">
        <v>12</v>
      </c>
      <c r="D115" s="10" t="s">
        <v>26</v>
      </c>
      <c r="E115" s="10">
        <v>29</v>
      </c>
      <c r="F115" s="10" t="s">
        <v>16</v>
      </c>
      <c r="G115" s="11">
        <v>214.428</v>
      </c>
      <c r="H115" s="11">
        <v>2308.0815491999997</v>
      </c>
      <c r="I115" s="11">
        <v>558.52800709999997</v>
      </c>
      <c r="J115" s="11">
        <v>290.23700000000002</v>
      </c>
      <c r="K115" s="11">
        <v>3124.0820443000002</v>
      </c>
      <c r="L115" s="10">
        <v>3525</v>
      </c>
      <c r="M115" s="5" t="str">
        <f>HLOOKUP($F115,'[1]Summary - Pricing'!$D$3:$L$16,13,FALSE)</f>
        <v>N</v>
      </c>
      <c r="N115" s="5" t="str">
        <f>HLOOKUP($F115,'[1]Summary - Pricing'!$D$3:$L$16,14,FALSE)</f>
        <v>N</v>
      </c>
      <c r="O115" s="9">
        <f>IF(M115="Y",'[1]Summary - Pricing'!$D$10,0)</f>
        <v>0</v>
      </c>
      <c r="P115" s="9">
        <f>IF(N115="Y",'[1]Summary - Pricing'!$D$13,0)</f>
        <v>0</v>
      </c>
      <c r="Q115" s="9">
        <f>IF(AND(E115&gt;5,E115&lt;16),0,IF(E115&lt;6,'[1]Summary - Pricing'!$D$11,IF('TR 01 Inventory'!E115&gt;15,('TR 01 Inventory'!E115-15)*'[1]Summary - Pricing'!$D$12)))</f>
        <v>700</v>
      </c>
      <c r="R115" s="8">
        <f>SUM(O115:Q115)</f>
        <v>700</v>
      </c>
      <c r="S115" s="9">
        <f>R115*L115</f>
        <v>2467500</v>
      </c>
      <c r="T115" s="9">
        <v>750000</v>
      </c>
      <c r="U115" s="9">
        <f>HLOOKUP(F115,'[1]Summary - Pricing'!$D$3:$L$20,18,FALSE)*100000</f>
        <v>1500000</v>
      </c>
      <c r="V115" s="9">
        <f>SUM('[1]Summary - Pricing'!$D$18,'[1]Summary - Pricing'!$D$21)*'TR 01 Inventory'!L115</f>
        <v>2224275</v>
      </c>
      <c r="W115" s="9">
        <f>'[1]Summary - Pricing'!$D$7*'TR 01 Inventory'!L115</f>
        <v>47587500</v>
      </c>
      <c r="X115" s="8">
        <f>W115+V115+U115+T115+S115</f>
        <v>54529275</v>
      </c>
    </row>
    <row r="116" spans="2:24" x14ac:dyDescent="0.3">
      <c r="B116" s="10" t="s">
        <v>5</v>
      </c>
      <c r="C116" s="10" t="s">
        <v>12</v>
      </c>
      <c r="D116" s="10" t="s">
        <v>25</v>
      </c>
      <c r="E116" s="10">
        <v>30</v>
      </c>
      <c r="F116" s="10" t="s">
        <v>16</v>
      </c>
      <c r="G116" s="11">
        <v>214.428</v>
      </c>
      <c r="H116" s="11">
        <v>2308.0815491999997</v>
      </c>
      <c r="I116" s="11">
        <v>558.52800709999997</v>
      </c>
      <c r="J116" s="11">
        <v>290.23700000000002</v>
      </c>
      <c r="K116" s="11">
        <v>3124.0820443000002</v>
      </c>
      <c r="L116" s="10">
        <v>3525</v>
      </c>
      <c r="M116" s="5" t="str">
        <f>HLOOKUP($F116,'[1]Summary - Pricing'!$D$3:$L$16,13,FALSE)</f>
        <v>N</v>
      </c>
      <c r="N116" s="5" t="str">
        <f>HLOOKUP($F116,'[1]Summary - Pricing'!$D$3:$L$16,14,FALSE)</f>
        <v>N</v>
      </c>
      <c r="O116" s="9">
        <f>IF(M116="Y",'[1]Summary - Pricing'!$D$10,0)</f>
        <v>0</v>
      </c>
      <c r="P116" s="9">
        <f>IF(N116="Y",'[1]Summary - Pricing'!$D$13,0)</f>
        <v>0</v>
      </c>
      <c r="Q116" s="9">
        <f>IF(AND(E116&gt;5,E116&lt;16),0,IF(E116&lt;6,'[1]Summary - Pricing'!$D$11,IF('TR 01 Inventory'!E116&gt;15,('TR 01 Inventory'!E116-15)*'[1]Summary - Pricing'!$D$12)))</f>
        <v>750</v>
      </c>
      <c r="R116" s="8">
        <f>SUM(O116:Q116)</f>
        <v>750</v>
      </c>
      <c r="S116" s="9">
        <f>R116*L116</f>
        <v>2643750</v>
      </c>
      <c r="T116" s="9">
        <v>750000</v>
      </c>
      <c r="U116" s="9">
        <f>HLOOKUP(F116,'[1]Summary - Pricing'!$D$3:$L$20,18,FALSE)*100000</f>
        <v>1500000</v>
      </c>
      <c r="V116" s="9">
        <f>SUM('[1]Summary - Pricing'!$D$18,'[1]Summary - Pricing'!$D$21)*'TR 01 Inventory'!L116</f>
        <v>2224275</v>
      </c>
      <c r="W116" s="9">
        <f>'[1]Summary - Pricing'!$D$7*'TR 01 Inventory'!L116</f>
        <v>47587500</v>
      </c>
      <c r="X116" s="8">
        <f>W116+V116+U116+T116+S116</f>
        <v>54705525</v>
      </c>
    </row>
    <row r="117" spans="2:24" x14ac:dyDescent="0.3">
      <c r="B117" s="10" t="s">
        <v>5</v>
      </c>
      <c r="C117" s="10" t="s">
        <v>12</v>
      </c>
      <c r="D117" s="10" t="s">
        <v>24</v>
      </c>
      <c r="E117" s="10">
        <v>32</v>
      </c>
      <c r="F117" s="10" t="s">
        <v>16</v>
      </c>
      <c r="G117" s="11">
        <v>214.428</v>
      </c>
      <c r="H117" s="11">
        <v>2308.0815491999997</v>
      </c>
      <c r="I117" s="11">
        <v>558.52800709999997</v>
      </c>
      <c r="J117" s="11">
        <v>290.23700000000002</v>
      </c>
      <c r="K117" s="11">
        <v>3124.0820443000002</v>
      </c>
      <c r="L117" s="10">
        <v>3525</v>
      </c>
      <c r="M117" s="5" t="str">
        <f>HLOOKUP($F117,'[1]Summary - Pricing'!$D$3:$L$16,13,FALSE)</f>
        <v>N</v>
      </c>
      <c r="N117" s="5" t="str">
        <f>HLOOKUP($F117,'[1]Summary - Pricing'!$D$3:$L$16,14,FALSE)</f>
        <v>N</v>
      </c>
      <c r="O117" s="9">
        <f>IF(M117="Y",'[1]Summary - Pricing'!$D$10,0)</f>
        <v>0</v>
      </c>
      <c r="P117" s="9">
        <f>IF(N117="Y",'[1]Summary - Pricing'!$D$13,0)</f>
        <v>0</v>
      </c>
      <c r="Q117" s="9">
        <f>IF(AND(E117&gt;5,E117&lt;16),0,IF(E117&lt;6,'[1]Summary - Pricing'!$D$11,IF('TR 01 Inventory'!E117&gt;15,('TR 01 Inventory'!E117-15)*'[1]Summary - Pricing'!$D$12)))</f>
        <v>850</v>
      </c>
      <c r="R117" s="8">
        <f>SUM(O117:Q117)</f>
        <v>850</v>
      </c>
      <c r="S117" s="9">
        <f>R117*L117</f>
        <v>2996250</v>
      </c>
      <c r="T117" s="9">
        <v>750000</v>
      </c>
      <c r="U117" s="9">
        <f>HLOOKUP(F117,'[1]Summary - Pricing'!$D$3:$L$20,18,FALSE)*100000</f>
        <v>1500000</v>
      </c>
      <c r="V117" s="9">
        <f>SUM('[1]Summary - Pricing'!$D$18,'[1]Summary - Pricing'!$D$21)*'TR 01 Inventory'!L117</f>
        <v>2224275</v>
      </c>
      <c r="W117" s="9">
        <f>'[1]Summary - Pricing'!$D$7*'TR 01 Inventory'!L117</f>
        <v>47587500</v>
      </c>
      <c r="X117" s="8">
        <f>W117+V117+U117+T117+S117</f>
        <v>55058025</v>
      </c>
    </row>
    <row r="118" spans="2:24" x14ac:dyDescent="0.3">
      <c r="B118" s="10" t="s">
        <v>5</v>
      </c>
      <c r="C118" s="10" t="s">
        <v>12</v>
      </c>
      <c r="D118" s="10" t="s">
        <v>23</v>
      </c>
      <c r="E118" s="10">
        <v>33</v>
      </c>
      <c r="F118" s="10" t="s">
        <v>16</v>
      </c>
      <c r="G118" s="11">
        <v>214.428</v>
      </c>
      <c r="H118" s="11">
        <v>2308.0815491999997</v>
      </c>
      <c r="I118" s="11">
        <v>558.52800709999997</v>
      </c>
      <c r="J118" s="11">
        <v>290.23700000000002</v>
      </c>
      <c r="K118" s="11">
        <v>3124.0820443000002</v>
      </c>
      <c r="L118" s="10">
        <v>3525</v>
      </c>
      <c r="M118" s="5" t="str">
        <f>HLOOKUP($F118,'[1]Summary - Pricing'!$D$3:$L$16,13,FALSE)</f>
        <v>N</v>
      </c>
      <c r="N118" s="5" t="str">
        <f>HLOOKUP($F118,'[1]Summary - Pricing'!$D$3:$L$16,14,FALSE)</f>
        <v>N</v>
      </c>
      <c r="O118" s="9">
        <f>IF(M118="Y",'[1]Summary - Pricing'!$D$10,0)</f>
        <v>0</v>
      </c>
      <c r="P118" s="9">
        <f>IF(N118="Y",'[1]Summary - Pricing'!$D$13,0)</f>
        <v>0</v>
      </c>
      <c r="Q118" s="9">
        <f>IF(AND(E118&gt;5,E118&lt;16),0,IF(E118&lt;6,'[1]Summary - Pricing'!$D$11,IF('TR 01 Inventory'!E118&gt;15,('TR 01 Inventory'!E118-15)*'[1]Summary - Pricing'!$D$12)))</f>
        <v>900</v>
      </c>
      <c r="R118" s="8">
        <f>SUM(O118:Q118)</f>
        <v>900</v>
      </c>
      <c r="S118" s="9">
        <f>R118*L118</f>
        <v>3172500</v>
      </c>
      <c r="T118" s="9">
        <v>750000</v>
      </c>
      <c r="U118" s="9">
        <f>HLOOKUP(F118,'[1]Summary - Pricing'!$D$3:$L$20,18,FALSE)*100000</f>
        <v>1500000</v>
      </c>
      <c r="V118" s="9">
        <f>SUM('[1]Summary - Pricing'!$D$18,'[1]Summary - Pricing'!$D$21)*'TR 01 Inventory'!L118</f>
        <v>2224275</v>
      </c>
      <c r="W118" s="9">
        <f>'[1]Summary - Pricing'!$D$7*'TR 01 Inventory'!L118</f>
        <v>47587500</v>
      </c>
      <c r="X118" s="8">
        <f>W118+V118+U118+T118+S118</f>
        <v>55234275</v>
      </c>
    </row>
    <row r="119" spans="2:24" x14ac:dyDescent="0.3">
      <c r="B119" s="10" t="s">
        <v>5</v>
      </c>
      <c r="C119" s="10" t="s">
        <v>12</v>
      </c>
      <c r="D119" s="10" t="s">
        <v>22</v>
      </c>
      <c r="E119" s="10">
        <v>34</v>
      </c>
      <c r="F119" s="10" t="s">
        <v>16</v>
      </c>
      <c r="G119" s="11">
        <v>214.428</v>
      </c>
      <c r="H119" s="11">
        <v>2308.0815491999997</v>
      </c>
      <c r="I119" s="11">
        <v>558.52800709999997</v>
      </c>
      <c r="J119" s="11">
        <v>290.23700000000002</v>
      </c>
      <c r="K119" s="11">
        <v>3124.0820443000002</v>
      </c>
      <c r="L119" s="10">
        <v>3525</v>
      </c>
      <c r="M119" s="5" t="str">
        <f>HLOOKUP($F119,'[1]Summary - Pricing'!$D$3:$L$16,13,FALSE)</f>
        <v>N</v>
      </c>
      <c r="N119" s="5" t="str">
        <f>HLOOKUP($F119,'[1]Summary - Pricing'!$D$3:$L$16,14,FALSE)</f>
        <v>N</v>
      </c>
      <c r="O119" s="9">
        <f>IF(M119="Y",'[1]Summary - Pricing'!$D$10,0)</f>
        <v>0</v>
      </c>
      <c r="P119" s="9">
        <f>IF(N119="Y",'[1]Summary - Pricing'!$D$13,0)</f>
        <v>0</v>
      </c>
      <c r="Q119" s="9">
        <f>IF(AND(E119&gt;5,E119&lt;16),0,IF(E119&lt;6,'[1]Summary - Pricing'!$D$11,IF('TR 01 Inventory'!E119&gt;15,('TR 01 Inventory'!E119-15)*'[1]Summary - Pricing'!$D$12)))</f>
        <v>950</v>
      </c>
      <c r="R119" s="8">
        <f>SUM(O119:Q119)</f>
        <v>950</v>
      </c>
      <c r="S119" s="9">
        <f>R119*L119</f>
        <v>3348750</v>
      </c>
      <c r="T119" s="9">
        <v>750000</v>
      </c>
      <c r="U119" s="9">
        <f>HLOOKUP(F119,'[1]Summary - Pricing'!$D$3:$L$20,18,FALSE)*100000</f>
        <v>1500000</v>
      </c>
      <c r="V119" s="9">
        <f>SUM('[1]Summary - Pricing'!$D$18,'[1]Summary - Pricing'!$D$21)*'TR 01 Inventory'!L119</f>
        <v>2224275</v>
      </c>
      <c r="W119" s="9">
        <f>'[1]Summary - Pricing'!$D$7*'TR 01 Inventory'!L119</f>
        <v>47587500</v>
      </c>
      <c r="X119" s="8">
        <f>W119+V119+U119+T119+S119</f>
        <v>55410525</v>
      </c>
    </row>
    <row r="120" spans="2:24" x14ac:dyDescent="0.3">
      <c r="B120" s="10" t="s">
        <v>5</v>
      </c>
      <c r="C120" s="10" t="s">
        <v>12</v>
      </c>
      <c r="D120" s="10" t="s">
        <v>21</v>
      </c>
      <c r="E120" s="10">
        <v>35</v>
      </c>
      <c r="F120" s="10" t="s">
        <v>16</v>
      </c>
      <c r="G120" s="11">
        <v>214.428</v>
      </c>
      <c r="H120" s="11">
        <v>2308.0815491999997</v>
      </c>
      <c r="I120" s="11">
        <v>558.52800709999997</v>
      </c>
      <c r="J120" s="11">
        <v>290.23700000000002</v>
      </c>
      <c r="K120" s="11">
        <v>3124.0820443000002</v>
      </c>
      <c r="L120" s="10">
        <v>3525</v>
      </c>
      <c r="M120" s="5" t="str">
        <f>HLOOKUP($F120,'[1]Summary - Pricing'!$D$3:$L$16,13,FALSE)</f>
        <v>N</v>
      </c>
      <c r="N120" s="5" t="str">
        <f>HLOOKUP($F120,'[1]Summary - Pricing'!$D$3:$L$16,14,FALSE)</f>
        <v>N</v>
      </c>
      <c r="O120" s="9">
        <f>IF(M120="Y",'[1]Summary - Pricing'!$D$10,0)</f>
        <v>0</v>
      </c>
      <c r="P120" s="9">
        <f>IF(N120="Y",'[1]Summary - Pricing'!$D$13,0)</f>
        <v>0</v>
      </c>
      <c r="Q120" s="9">
        <f>IF(AND(E120&gt;5,E120&lt;16),0,IF(E120&lt;6,'[1]Summary - Pricing'!$D$11,IF('TR 01 Inventory'!E120&gt;15,('TR 01 Inventory'!E120-15)*'[1]Summary - Pricing'!$D$12)))</f>
        <v>1000</v>
      </c>
      <c r="R120" s="8">
        <f>SUM(O120:Q120)</f>
        <v>1000</v>
      </c>
      <c r="S120" s="9">
        <f>R120*L120</f>
        <v>3525000</v>
      </c>
      <c r="T120" s="9">
        <v>750000</v>
      </c>
      <c r="U120" s="9">
        <f>HLOOKUP(F120,'[1]Summary - Pricing'!$D$3:$L$20,18,FALSE)*100000</f>
        <v>1500000</v>
      </c>
      <c r="V120" s="9">
        <f>SUM('[1]Summary - Pricing'!$D$18,'[1]Summary - Pricing'!$D$21)*'TR 01 Inventory'!L120</f>
        <v>2224275</v>
      </c>
      <c r="W120" s="9">
        <f>'[1]Summary - Pricing'!$D$7*'TR 01 Inventory'!L120</f>
        <v>47587500</v>
      </c>
      <c r="X120" s="8">
        <f>W120+V120+U120+T120+S120</f>
        <v>55586775</v>
      </c>
    </row>
    <row r="121" spans="2:24" x14ac:dyDescent="0.3">
      <c r="B121" s="10" t="s">
        <v>5</v>
      </c>
      <c r="C121" s="10" t="s">
        <v>12</v>
      </c>
      <c r="D121" s="10" t="s">
        <v>20</v>
      </c>
      <c r="E121" s="10">
        <v>36</v>
      </c>
      <c r="F121" s="10" t="s">
        <v>16</v>
      </c>
      <c r="G121" s="11">
        <v>214.428</v>
      </c>
      <c r="H121" s="11">
        <v>2308.0815491999997</v>
      </c>
      <c r="I121" s="11">
        <v>558.52800709999997</v>
      </c>
      <c r="J121" s="11">
        <v>290.23700000000002</v>
      </c>
      <c r="K121" s="11">
        <v>3124.0820443000002</v>
      </c>
      <c r="L121" s="10">
        <v>3525</v>
      </c>
      <c r="M121" s="5" t="str">
        <f>HLOOKUP($F121,'[1]Summary - Pricing'!$D$3:$L$16,13,FALSE)</f>
        <v>N</v>
      </c>
      <c r="N121" s="5" t="str">
        <f>HLOOKUP($F121,'[1]Summary - Pricing'!$D$3:$L$16,14,FALSE)</f>
        <v>N</v>
      </c>
      <c r="O121" s="9">
        <f>IF(M121="Y",'[1]Summary - Pricing'!$D$10,0)</f>
        <v>0</v>
      </c>
      <c r="P121" s="9">
        <f>IF(N121="Y",'[1]Summary - Pricing'!$D$13,0)</f>
        <v>0</v>
      </c>
      <c r="Q121" s="9">
        <f>IF(AND(E121&gt;5,E121&lt;16),0,IF(E121&lt;6,'[1]Summary - Pricing'!$D$11,IF('TR 01 Inventory'!E121&gt;15,('TR 01 Inventory'!E121-15)*'[1]Summary - Pricing'!$D$12)))</f>
        <v>1050</v>
      </c>
      <c r="R121" s="8">
        <f>SUM(O121:Q121)</f>
        <v>1050</v>
      </c>
      <c r="S121" s="9">
        <f>R121*L121</f>
        <v>3701250</v>
      </c>
      <c r="T121" s="9">
        <v>750000</v>
      </c>
      <c r="U121" s="9">
        <f>HLOOKUP(F121,'[1]Summary - Pricing'!$D$3:$L$20,18,FALSE)*100000</f>
        <v>1500000</v>
      </c>
      <c r="V121" s="9">
        <f>SUM('[1]Summary - Pricing'!$D$18,'[1]Summary - Pricing'!$D$21)*'TR 01 Inventory'!L121</f>
        <v>2224275</v>
      </c>
      <c r="W121" s="9">
        <f>'[1]Summary - Pricing'!$D$7*'TR 01 Inventory'!L121</f>
        <v>47587500</v>
      </c>
      <c r="X121" s="8">
        <f>W121+V121+U121+T121+S121</f>
        <v>55763025</v>
      </c>
    </row>
    <row r="122" spans="2:24" x14ac:dyDescent="0.3">
      <c r="B122" s="10" t="s">
        <v>5</v>
      </c>
      <c r="C122" s="10" t="s">
        <v>12</v>
      </c>
      <c r="D122" s="10" t="s">
        <v>19</v>
      </c>
      <c r="E122" s="10">
        <v>37</v>
      </c>
      <c r="F122" s="10" t="s">
        <v>16</v>
      </c>
      <c r="G122" s="11">
        <v>214.428</v>
      </c>
      <c r="H122" s="11">
        <v>2308.0815491999997</v>
      </c>
      <c r="I122" s="11">
        <v>558.52800709999997</v>
      </c>
      <c r="J122" s="11">
        <v>290.23700000000002</v>
      </c>
      <c r="K122" s="11">
        <v>3124.0820443000002</v>
      </c>
      <c r="L122" s="10">
        <v>3525</v>
      </c>
      <c r="M122" s="5" t="str">
        <f>HLOOKUP($F122,'[1]Summary - Pricing'!$D$3:$L$16,13,FALSE)</f>
        <v>N</v>
      </c>
      <c r="N122" s="5" t="str">
        <f>HLOOKUP($F122,'[1]Summary - Pricing'!$D$3:$L$16,14,FALSE)</f>
        <v>N</v>
      </c>
      <c r="O122" s="9">
        <f>IF(M122="Y",'[1]Summary - Pricing'!$D$10,0)</f>
        <v>0</v>
      </c>
      <c r="P122" s="9">
        <f>IF(N122="Y",'[1]Summary - Pricing'!$D$13,0)</f>
        <v>0</v>
      </c>
      <c r="Q122" s="9">
        <f>IF(AND(E122&gt;5,E122&lt;16),0,IF(E122&lt;6,'[1]Summary - Pricing'!$D$11,IF('TR 01 Inventory'!E122&gt;15,('TR 01 Inventory'!E122-15)*'[1]Summary - Pricing'!$D$12)))</f>
        <v>1100</v>
      </c>
      <c r="R122" s="8">
        <f>SUM(O122:Q122)</f>
        <v>1100</v>
      </c>
      <c r="S122" s="9">
        <f>R122*L122</f>
        <v>3877500</v>
      </c>
      <c r="T122" s="9">
        <v>750000</v>
      </c>
      <c r="U122" s="9">
        <f>HLOOKUP(F122,'[1]Summary - Pricing'!$D$3:$L$20,18,FALSE)*100000</f>
        <v>1500000</v>
      </c>
      <c r="V122" s="9">
        <f>SUM('[1]Summary - Pricing'!$D$18,'[1]Summary - Pricing'!$D$21)*'TR 01 Inventory'!L122</f>
        <v>2224275</v>
      </c>
      <c r="W122" s="9">
        <f>'[1]Summary - Pricing'!$D$7*'TR 01 Inventory'!L122</f>
        <v>47587500</v>
      </c>
      <c r="X122" s="8">
        <f>W122+V122+U122+T122+S122</f>
        <v>55939275</v>
      </c>
    </row>
    <row r="123" spans="2:24" x14ac:dyDescent="0.3">
      <c r="B123" s="10" t="s">
        <v>5</v>
      </c>
      <c r="C123" s="10" t="s">
        <v>12</v>
      </c>
      <c r="D123" s="10" t="s">
        <v>18</v>
      </c>
      <c r="E123" s="10">
        <v>38</v>
      </c>
      <c r="F123" s="10" t="s">
        <v>16</v>
      </c>
      <c r="G123" s="11">
        <v>214.428</v>
      </c>
      <c r="H123" s="11">
        <v>2308.0815491999997</v>
      </c>
      <c r="I123" s="11">
        <v>558.52800709999997</v>
      </c>
      <c r="J123" s="11">
        <v>290.23700000000002</v>
      </c>
      <c r="K123" s="11">
        <v>3124.0820443000002</v>
      </c>
      <c r="L123" s="10">
        <v>3525</v>
      </c>
      <c r="M123" s="5" t="str">
        <f>HLOOKUP($F123,'[1]Summary - Pricing'!$D$3:$L$16,13,FALSE)</f>
        <v>N</v>
      </c>
      <c r="N123" s="5" t="str">
        <f>HLOOKUP($F123,'[1]Summary - Pricing'!$D$3:$L$16,14,FALSE)</f>
        <v>N</v>
      </c>
      <c r="O123" s="9">
        <f>IF(M123="Y",'[1]Summary - Pricing'!$D$10,0)</f>
        <v>0</v>
      </c>
      <c r="P123" s="9">
        <f>IF(N123="Y",'[1]Summary - Pricing'!$D$13,0)</f>
        <v>0</v>
      </c>
      <c r="Q123" s="9">
        <f>IF(AND(E123&gt;5,E123&lt;16),0,IF(E123&lt;6,'[1]Summary - Pricing'!$D$11,IF('TR 01 Inventory'!E123&gt;15,('TR 01 Inventory'!E123-15)*'[1]Summary - Pricing'!$D$12)))</f>
        <v>1150</v>
      </c>
      <c r="R123" s="8">
        <f>SUM(O123:Q123)</f>
        <v>1150</v>
      </c>
      <c r="S123" s="9">
        <f>R123*L123</f>
        <v>4053750</v>
      </c>
      <c r="T123" s="9">
        <v>750000</v>
      </c>
      <c r="U123" s="9">
        <f>HLOOKUP(F123,'[1]Summary - Pricing'!$D$3:$L$20,18,FALSE)*100000</f>
        <v>1500000</v>
      </c>
      <c r="V123" s="9">
        <f>SUM('[1]Summary - Pricing'!$D$18,'[1]Summary - Pricing'!$D$21)*'TR 01 Inventory'!L123</f>
        <v>2224275</v>
      </c>
      <c r="W123" s="9">
        <f>'[1]Summary - Pricing'!$D$7*'TR 01 Inventory'!L123</f>
        <v>47587500</v>
      </c>
      <c r="X123" s="8">
        <f>W123+V123+U123+T123+S123</f>
        <v>56115525</v>
      </c>
    </row>
    <row r="124" spans="2:24" x14ac:dyDescent="0.3">
      <c r="B124" s="10" t="s">
        <v>5</v>
      </c>
      <c r="C124" s="10" t="s">
        <v>12</v>
      </c>
      <c r="D124" s="10" t="s">
        <v>17</v>
      </c>
      <c r="E124" s="10">
        <v>40</v>
      </c>
      <c r="F124" s="10" t="s">
        <v>16</v>
      </c>
      <c r="G124" s="11">
        <v>214.428</v>
      </c>
      <c r="H124" s="11">
        <v>2308.0815491999997</v>
      </c>
      <c r="I124" s="11">
        <v>558.52800709999997</v>
      </c>
      <c r="J124" s="11">
        <v>290.23700000000002</v>
      </c>
      <c r="K124" s="11">
        <v>3124.0820443000002</v>
      </c>
      <c r="L124" s="10">
        <v>3525</v>
      </c>
      <c r="M124" s="5" t="str">
        <f>HLOOKUP($F124,'[1]Summary - Pricing'!$D$3:$L$16,13,FALSE)</f>
        <v>N</v>
      </c>
      <c r="N124" s="5" t="str">
        <f>HLOOKUP($F124,'[1]Summary - Pricing'!$D$3:$L$16,14,FALSE)</f>
        <v>N</v>
      </c>
      <c r="O124" s="9">
        <f>IF(M124="Y",'[1]Summary - Pricing'!$D$10,0)</f>
        <v>0</v>
      </c>
      <c r="P124" s="9">
        <f>IF(N124="Y",'[1]Summary - Pricing'!$D$13,0)</f>
        <v>0</v>
      </c>
      <c r="Q124" s="9">
        <f>IF(AND(E124&gt;5,E124&lt;16),0,IF(E124&lt;6,'[1]Summary - Pricing'!$D$11,IF('TR 01 Inventory'!E124&gt;15,('TR 01 Inventory'!E124-15)*'[1]Summary - Pricing'!$D$12)))</f>
        <v>1250</v>
      </c>
      <c r="R124" s="8">
        <f>SUM(O124:Q124)</f>
        <v>1250</v>
      </c>
      <c r="S124" s="9">
        <f>R124*L124</f>
        <v>4406250</v>
      </c>
      <c r="T124" s="9">
        <v>750000</v>
      </c>
      <c r="U124" s="9">
        <f>HLOOKUP(F124,'[1]Summary - Pricing'!$D$3:$L$20,18,FALSE)*100000</f>
        <v>1500000</v>
      </c>
      <c r="V124" s="9">
        <f>SUM('[1]Summary - Pricing'!$D$18,'[1]Summary - Pricing'!$D$21)*'TR 01 Inventory'!L124</f>
        <v>2224275</v>
      </c>
      <c r="W124" s="9">
        <f>'[1]Summary - Pricing'!$D$7*'TR 01 Inventory'!L124</f>
        <v>47587500</v>
      </c>
      <c r="X124" s="8">
        <f>W124+V124+U124+T124+S124</f>
        <v>56468025</v>
      </c>
    </row>
    <row r="125" spans="2:24" x14ac:dyDescent="0.3">
      <c r="B125" s="10" t="s">
        <v>5</v>
      </c>
      <c r="C125" s="10" t="s">
        <v>12</v>
      </c>
      <c r="D125" s="10" t="s">
        <v>15</v>
      </c>
      <c r="E125" s="10">
        <v>15</v>
      </c>
      <c r="F125" s="10" t="s">
        <v>10</v>
      </c>
      <c r="G125" s="11">
        <v>192.26900000000001</v>
      </c>
      <c r="H125" s="11">
        <v>2069.5642890999998</v>
      </c>
      <c r="I125" s="11">
        <v>558.52800709999997</v>
      </c>
      <c r="J125" s="11">
        <v>261.80799999999994</v>
      </c>
      <c r="K125" s="11">
        <v>2818.0751311999993</v>
      </c>
      <c r="L125" s="10">
        <v>3150</v>
      </c>
      <c r="M125" s="5" t="str">
        <f>HLOOKUP($F125,'[1]Summary - Pricing'!$D$3:$L$16,13,FALSE)</f>
        <v>N</v>
      </c>
      <c r="N125" s="5" t="str">
        <f>HLOOKUP($F125,'[1]Summary - Pricing'!$D$3:$L$16,14,FALSE)</f>
        <v>N</v>
      </c>
      <c r="O125" s="9">
        <f>IF(M125="Y",'[1]Summary - Pricing'!$D$10,0)</f>
        <v>0</v>
      </c>
      <c r="P125" s="9">
        <f>IF(N125="Y",'[1]Summary - Pricing'!$D$13,0)</f>
        <v>0</v>
      </c>
      <c r="Q125" s="9">
        <f>IF(AND(E125&gt;5,E125&lt;16),0,IF(E125&lt;6,'[1]Summary - Pricing'!$D$11,IF('TR 01 Inventory'!E125&gt;15,('TR 01 Inventory'!E125-15)*'[1]Summary - Pricing'!$D$12)))</f>
        <v>0</v>
      </c>
      <c r="R125" s="8">
        <f>SUM(O125:Q125)</f>
        <v>0</v>
      </c>
      <c r="S125" s="9">
        <f>R125*L125</f>
        <v>0</v>
      </c>
      <c r="T125" s="9">
        <v>750000</v>
      </c>
      <c r="U125" s="9">
        <f>HLOOKUP(F125,'[1]Summary - Pricing'!$D$3:$L$20,18,FALSE)*100000</f>
        <v>1500000</v>
      </c>
      <c r="V125" s="9">
        <f>SUM('[1]Summary - Pricing'!$D$18,'[1]Summary - Pricing'!$D$21)*'TR 01 Inventory'!L125</f>
        <v>1987650</v>
      </c>
      <c r="W125" s="9">
        <f>'[1]Summary - Pricing'!$D$7*'TR 01 Inventory'!L125</f>
        <v>42525000</v>
      </c>
      <c r="X125" s="8">
        <f>W125+V125+U125+T125+S125</f>
        <v>46762650</v>
      </c>
    </row>
    <row r="126" spans="2:24" x14ac:dyDescent="0.3">
      <c r="B126" s="10" t="s">
        <v>5</v>
      </c>
      <c r="C126" s="10" t="s">
        <v>12</v>
      </c>
      <c r="D126" s="10" t="s">
        <v>14</v>
      </c>
      <c r="E126" s="10">
        <v>23</v>
      </c>
      <c r="F126" s="10" t="s">
        <v>10</v>
      </c>
      <c r="G126" s="11">
        <v>192.26900000000001</v>
      </c>
      <c r="H126" s="11">
        <v>2069.5642890999998</v>
      </c>
      <c r="I126" s="11">
        <v>558.52800709999997</v>
      </c>
      <c r="J126" s="11">
        <v>261.80799999999994</v>
      </c>
      <c r="K126" s="11">
        <v>2818.0751311999993</v>
      </c>
      <c r="L126" s="10">
        <v>3150</v>
      </c>
      <c r="M126" s="5" t="str">
        <f>HLOOKUP($F126,'[1]Summary - Pricing'!$D$3:$L$16,13,FALSE)</f>
        <v>N</v>
      </c>
      <c r="N126" s="5" t="str">
        <f>HLOOKUP($F126,'[1]Summary - Pricing'!$D$3:$L$16,14,FALSE)</f>
        <v>N</v>
      </c>
      <c r="O126" s="9">
        <f>IF(M126="Y",'[1]Summary - Pricing'!$D$10,0)</f>
        <v>0</v>
      </c>
      <c r="P126" s="9">
        <f>IF(N126="Y",'[1]Summary - Pricing'!$D$13,0)</f>
        <v>0</v>
      </c>
      <c r="Q126" s="9">
        <f>IF(AND(E126&gt;5,E126&lt;16),0,IF(E126&lt;6,'[1]Summary - Pricing'!$D$11,IF('TR 01 Inventory'!E126&gt;15,('TR 01 Inventory'!E126-15)*'[1]Summary - Pricing'!$D$12)))</f>
        <v>400</v>
      </c>
      <c r="R126" s="8">
        <f>SUM(O126:Q126)</f>
        <v>400</v>
      </c>
      <c r="S126" s="9">
        <f>R126*L126</f>
        <v>1260000</v>
      </c>
      <c r="T126" s="9">
        <v>750000</v>
      </c>
      <c r="U126" s="9">
        <f>HLOOKUP(F126,'[1]Summary - Pricing'!$D$3:$L$20,18,FALSE)*100000</f>
        <v>1500000</v>
      </c>
      <c r="V126" s="9">
        <f>SUM('[1]Summary - Pricing'!$D$18,'[1]Summary - Pricing'!$D$21)*'TR 01 Inventory'!L126</f>
        <v>1987650</v>
      </c>
      <c r="W126" s="9">
        <f>'[1]Summary - Pricing'!$D$7*'TR 01 Inventory'!L126</f>
        <v>42525000</v>
      </c>
      <c r="X126" s="8">
        <f>W126+V126+U126+T126+S126</f>
        <v>48022650</v>
      </c>
    </row>
    <row r="127" spans="2:24" x14ac:dyDescent="0.3">
      <c r="B127" s="10" t="s">
        <v>5</v>
      </c>
      <c r="C127" s="10" t="s">
        <v>12</v>
      </c>
      <c r="D127" s="10" t="s">
        <v>13</v>
      </c>
      <c r="E127" s="10">
        <v>31</v>
      </c>
      <c r="F127" s="10" t="s">
        <v>10</v>
      </c>
      <c r="G127" s="11">
        <v>192.26900000000001</v>
      </c>
      <c r="H127" s="11">
        <v>2069.5642890999998</v>
      </c>
      <c r="I127" s="11">
        <v>558.52800709999997</v>
      </c>
      <c r="J127" s="11">
        <v>261.80799999999994</v>
      </c>
      <c r="K127" s="11">
        <v>2818.0751311999993</v>
      </c>
      <c r="L127" s="10">
        <v>3150</v>
      </c>
      <c r="M127" s="5" t="str">
        <f>HLOOKUP($F127,'[1]Summary - Pricing'!$D$3:$L$16,13,FALSE)</f>
        <v>N</v>
      </c>
      <c r="N127" s="5" t="str">
        <f>HLOOKUP($F127,'[1]Summary - Pricing'!$D$3:$L$16,14,FALSE)</f>
        <v>N</v>
      </c>
      <c r="O127" s="9">
        <f>IF(M127="Y",'[1]Summary - Pricing'!$D$10,0)</f>
        <v>0</v>
      </c>
      <c r="P127" s="9">
        <f>IF(N127="Y",'[1]Summary - Pricing'!$D$13,0)</f>
        <v>0</v>
      </c>
      <c r="Q127" s="9">
        <f>IF(AND(E127&gt;5,E127&lt;16),0,IF(E127&lt;6,'[1]Summary - Pricing'!$D$11,IF('TR 01 Inventory'!E127&gt;15,('TR 01 Inventory'!E127-15)*'[1]Summary - Pricing'!$D$12)))</f>
        <v>800</v>
      </c>
      <c r="R127" s="8">
        <f>SUM(O127:Q127)</f>
        <v>800</v>
      </c>
      <c r="S127" s="9">
        <f>R127*L127</f>
        <v>2520000</v>
      </c>
      <c r="T127" s="9">
        <v>750000</v>
      </c>
      <c r="U127" s="9">
        <f>HLOOKUP(F127,'[1]Summary - Pricing'!$D$3:$L$20,18,FALSE)*100000</f>
        <v>1500000</v>
      </c>
      <c r="V127" s="9">
        <f>SUM('[1]Summary - Pricing'!$D$18,'[1]Summary - Pricing'!$D$21)*'TR 01 Inventory'!L127</f>
        <v>1987650</v>
      </c>
      <c r="W127" s="9">
        <f>'[1]Summary - Pricing'!$D$7*'TR 01 Inventory'!L127</f>
        <v>42525000</v>
      </c>
      <c r="X127" s="8">
        <f>W127+V127+U127+T127+S127</f>
        <v>49282650</v>
      </c>
    </row>
    <row r="128" spans="2:24" x14ac:dyDescent="0.3">
      <c r="B128" s="10" t="s">
        <v>5</v>
      </c>
      <c r="C128" s="10" t="s">
        <v>12</v>
      </c>
      <c r="D128" s="10" t="s">
        <v>11</v>
      </c>
      <c r="E128" s="10">
        <v>39</v>
      </c>
      <c r="F128" s="10" t="s">
        <v>10</v>
      </c>
      <c r="G128" s="11">
        <v>192.26900000000001</v>
      </c>
      <c r="H128" s="11">
        <v>2069.5642890999998</v>
      </c>
      <c r="I128" s="11">
        <v>558.52800709999997</v>
      </c>
      <c r="J128" s="11">
        <v>261.80799999999994</v>
      </c>
      <c r="K128" s="11">
        <v>2818.0751311999993</v>
      </c>
      <c r="L128" s="10">
        <v>3150</v>
      </c>
      <c r="M128" s="5" t="str">
        <f>HLOOKUP($F128,'[1]Summary - Pricing'!$D$3:$L$16,13,FALSE)</f>
        <v>N</v>
      </c>
      <c r="N128" s="5" t="str">
        <f>HLOOKUP($F128,'[1]Summary - Pricing'!$D$3:$L$16,14,FALSE)</f>
        <v>N</v>
      </c>
      <c r="O128" s="9">
        <f>IF(M128="Y",'[1]Summary - Pricing'!$D$10,0)</f>
        <v>0</v>
      </c>
      <c r="P128" s="9">
        <f>IF(N128="Y",'[1]Summary - Pricing'!$D$13,0)</f>
        <v>0</v>
      </c>
      <c r="Q128" s="9">
        <f>IF(AND(E128&gt;5,E128&lt;16),0,IF(E128&lt;6,'[1]Summary - Pricing'!$D$11,IF('TR 01 Inventory'!E128&gt;15,('TR 01 Inventory'!E128-15)*'[1]Summary - Pricing'!$D$12)))</f>
        <v>1200</v>
      </c>
      <c r="R128" s="8">
        <f>SUM(O128:Q128)</f>
        <v>1200</v>
      </c>
      <c r="S128" s="9">
        <f>R128*L128</f>
        <v>3780000</v>
      </c>
      <c r="T128" s="9">
        <v>750000</v>
      </c>
      <c r="U128" s="9">
        <f>HLOOKUP(F128,'[1]Summary - Pricing'!$D$3:$L$20,18,FALSE)*100000</f>
        <v>1500000</v>
      </c>
      <c r="V128" s="9">
        <f>SUM('[1]Summary - Pricing'!$D$18,'[1]Summary - Pricing'!$D$21)*'TR 01 Inventory'!L128</f>
        <v>1987650</v>
      </c>
      <c r="W128" s="9">
        <f>'[1]Summary - Pricing'!$D$7*'TR 01 Inventory'!L128</f>
        <v>42525000</v>
      </c>
      <c r="X128" s="8">
        <f>W128+V128+U128+T128+S128</f>
        <v>50542650</v>
      </c>
    </row>
    <row r="129" spans="2:24" x14ac:dyDescent="0.3">
      <c r="B129" s="10" t="s">
        <v>5</v>
      </c>
      <c r="C129" s="10" t="s">
        <v>9</v>
      </c>
      <c r="D129" s="10" t="s">
        <v>8</v>
      </c>
      <c r="E129" s="10" t="s">
        <v>7</v>
      </c>
      <c r="F129" s="10" t="s">
        <v>6</v>
      </c>
      <c r="G129" s="11">
        <v>621.83500000000004</v>
      </c>
      <c r="H129" s="11">
        <v>6693.3697565000002</v>
      </c>
      <c r="I129" s="11">
        <v>1306.3499595999999</v>
      </c>
      <c r="J129" s="11">
        <v>833.79399999999998</v>
      </c>
      <c r="K129" s="11">
        <v>8974.875236599999</v>
      </c>
      <c r="L129" s="10">
        <v>10600</v>
      </c>
      <c r="M129" s="5" t="str">
        <f>HLOOKUP($F129,'[1]Summary - Pricing'!$D$3:$L$16,13,FALSE)</f>
        <v>Y</v>
      </c>
      <c r="N129" s="5" t="str">
        <f>HLOOKUP($F129,'[1]Summary - Pricing'!$D$3:$L$16,14,FALSE)</f>
        <v>Y</v>
      </c>
      <c r="O129" s="9">
        <f>IF(M129="Y",'[1]Summary - Pricing'!$D$10,0)</f>
        <v>750</v>
      </c>
      <c r="P129" s="9">
        <f>IF(N129="Y",'[1]Summary - Pricing'!$D$13,0)</f>
        <v>750</v>
      </c>
      <c r="Q129" s="9">
        <f>(43-15)*'[1]Summary - Pricing'!$D$12</f>
        <v>1400</v>
      </c>
      <c r="R129" s="8">
        <f>SUM(O129:Q129)</f>
        <v>2900</v>
      </c>
      <c r="S129" s="9">
        <f>R129*L129</f>
        <v>30740000</v>
      </c>
      <c r="T129" s="9">
        <v>750000</v>
      </c>
      <c r="U129" s="9">
        <f>HLOOKUP(F129,'[1]Summary - Pricing'!$D$3:$L$20,18,FALSE)*100000</f>
        <v>2250000</v>
      </c>
      <c r="V129" s="9">
        <f>SUM('[1]Summary - Pricing'!$D$18,'[1]Summary - Pricing'!$D$21)*'TR 01 Inventory'!L129</f>
        <v>6688600</v>
      </c>
      <c r="W129" s="9">
        <f>'[1]Summary - Pricing'!$D$7*'TR 01 Inventory'!L129</f>
        <v>143100000</v>
      </c>
      <c r="X129" s="8">
        <f>W129+V129+U129+T129+S129</f>
        <v>183528600</v>
      </c>
    </row>
    <row r="130" spans="2:24" x14ac:dyDescent="0.3">
      <c r="B130" s="10" t="s">
        <v>5</v>
      </c>
      <c r="C130" s="10" t="s">
        <v>4</v>
      </c>
      <c r="D130" s="10" t="s">
        <v>3</v>
      </c>
      <c r="E130" s="10" t="s">
        <v>2</v>
      </c>
      <c r="F130" s="10" t="s">
        <v>1</v>
      </c>
      <c r="G130" s="11">
        <v>429.09</v>
      </c>
      <c r="H130" s="11">
        <v>4618.6818509999994</v>
      </c>
      <c r="I130" s="11">
        <v>749.9962602999999</v>
      </c>
      <c r="J130" s="11">
        <v>570.82800000000009</v>
      </c>
      <c r="K130" s="11">
        <v>6144.3355092000002</v>
      </c>
      <c r="L130" s="10">
        <v>7400</v>
      </c>
      <c r="M130" s="5" t="str">
        <f>HLOOKUP($F130,'[1]Summary - Pricing'!$D$3:$L$16,13,FALSE)</f>
        <v>Y</v>
      </c>
      <c r="N130" s="5" t="str">
        <f>HLOOKUP($F130,'[1]Summary - Pricing'!$D$3:$L$16,14,FALSE)</f>
        <v>Y</v>
      </c>
      <c r="O130" s="9">
        <f>IF(M130="Y",'[1]Summary - Pricing'!$D$10,0)</f>
        <v>750</v>
      </c>
      <c r="P130" s="9">
        <f>IF(N130="Y",'[1]Summary - Pricing'!$D$13,0)</f>
        <v>750</v>
      </c>
      <c r="Q130" s="9">
        <f>(47-15)*'[1]Summary - Pricing'!$D$12</f>
        <v>1600</v>
      </c>
      <c r="R130" s="8">
        <f>SUM(O130:Q130)</f>
        <v>3100</v>
      </c>
      <c r="S130" s="9">
        <f>R130*L130</f>
        <v>22940000</v>
      </c>
      <c r="T130" s="9">
        <v>750000</v>
      </c>
      <c r="U130" s="9">
        <f>HLOOKUP(F130,'[1]Summary - Pricing'!$D$3:$L$20,18,FALSE)*100000</f>
        <v>2250000</v>
      </c>
      <c r="V130" s="9">
        <f>SUM('[1]Summary - Pricing'!$D$18,'[1]Summary - Pricing'!$D$21)*'TR 01 Inventory'!L130</f>
        <v>4669400</v>
      </c>
      <c r="W130" s="9">
        <f>'[1]Summary - Pricing'!$D$7*'TR 01 Inventory'!L130</f>
        <v>99900000</v>
      </c>
      <c r="X130" s="8">
        <f>W130+V130+U130+T130+S130</f>
        <v>130509400</v>
      </c>
    </row>
    <row r="131" spans="2:24" x14ac:dyDescent="0.3">
      <c r="B131" s="7" t="s">
        <v>0</v>
      </c>
      <c r="C131" s="7"/>
      <c r="D131" s="7"/>
      <c r="E131" s="7"/>
      <c r="F131" s="7"/>
      <c r="G131" s="6">
        <f>SUM(G4:G130)</f>
        <v>35644.445000000007</v>
      </c>
      <c r="H131" s="6">
        <f>SUM(H4:H130)</f>
        <v>383673.24153550022</v>
      </c>
      <c r="I131" s="6">
        <f>SUM(I4:I130)</f>
        <v>79882.088014399968</v>
      </c>
      <c r="J131" s="6">
        <f>SUM(J4:J130)</f>
        <v>48052.249000000076</v>
      </c>
      <c r="K131" s="6">
        <f>SUM(K4:K130)</f>
        <v>517229.60301109968</v>
      </c>
      <c r="L131" s="6">
        <f>SUM(L4:L130)</f>
        <v>606075</v>
      </c>
      <c r="M131" s="5"/>
      <c r="N131" s="5"/>
      <c r="O131" s="5"/>
      <c r="P131" s="5"/>
      <c r="Q131" s="5"/>
      <c r="R131" s="5"/>
      <c r="S131" s="4">
        <f>SUM(S4:S130)</f>
        <v>895956250</v>
      </c>
      <c r="T131" s="4">
        <f>SUM(T4:T130)</f>
        <v>95250000</v>
      </c>
      <c r="U131" s="4">
        <f>SUM(U4:U130)</f>
        <v>256500000</v>
      </c>
      <c r="V131" s="4">
        <f>SUM(V4:V130)</f>
        <v>382433325</v>
      </c>
      <c r="W131" s="4">
        <f>SUM(W4:W130)</f>
        <v>8182012500</v>
      </c>
      <c r="X131" s="4">
        <f>SUM(X4:X130)</f>
        <v>9812152075</v>
      </c>
    </row>
    <row r="132" spans="2:24" x14ac:dyDescent="0.3">
      <c r="L132" s="2">
        <f>L131/K131</f>
        <v>1.1717716783255998</v>
      </c>
      <c r="X132" s="1">
        <f>X131/L131</f>
        <v>16189.666419172545</v>
      </c>
    </row>
    <row r="133" spans="2:24" x14ac:dyDescent="0.3">
      <c r="L133" s="3">
        <f>L131/(H131)</f>
        <v>1.5796645019455222</v>
      </c>
    </row>
  </sheetData>
  <mergeCells count="1">
    <mergeCell ref="B131:F131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5"/>
  <sheetViews>
    <sheetView showGridLines="0" workbookViewId="0">
      <pane ySplit="3" topLeftCell="A4" activePane="bottomLeft" state="frozen"/>
      <selection activeCell="G16" sqref="G16"/>
      <selection pane="bottomLeft" activeCell="G16" sqref="G16"/>
    </sheetView>
  </sheetViews>
  <sheetFormatPr defaultColWidth="9.140625" defaultRowHeight="16.5" x14ac:dyDescent="0.3"/>
  <cols>
    <col min="1" max="1" width="2.28515625" style="1" customWidth="1"/>
    <col min="2" max="2" width="16.5703125" style="2" customWidth="1"/>
    <col min="3" max="5" width="9.140625" style="2"/>
    <col min="6" max="6" width="24.28515625" style="2" bestFit="1" customWidth="1"/>
    <col min="7" max="7" width="12" style="2" customWidth="1"/>
    <col min="8" max="8" width="12.140625" style="2" bestFit="1" customWidth="1"/>
    <col min="9" max="9" width="10.5703125" style="2" bestFit="1" customWidth="1"/>
    <col min="10" max="10" width="12.140625" style="2" customWidth="1"/>
    <col min="11" max="11" width="11.5703125" style="2" bestFit="1" customWidth="1"/>
    <col min="12" max="12" width="11.7109375" style="2" customWidth="1"/>
    <col min="13" max="14" width="11.28515625" style="1" customWidth="1"/>
    <col min="15" max="15" width="12" style="1" customWidth="1"/>
    <col min="16" max="16" width="11.7109375" style="1" customWidth="1"/>
    <col min="17" max="18" width="9.140625" style="1"/>
    <col min="19" max="19" width="12.140625" style="1" bestFit="1" customWidth="1"/>
    <col min="20" max="20" width="11.140625" style="1" bestFit="1" customWidth="1"/>
    <col min="21" max="22" width="12.140625" style="1" bestFit="1" customWidth="1"/>
    <col min="23" max="24" width="13.7109375" style="1" bestFit="1" customWidth="1"/>
    <col min="25" max="16384" width="9.140625" style="1"/>
  </cols>
  <sheetData>
    <row r="1" spans="1:24" x14ac:dyDescent="0.3">
      <c r="A1" s="18" t="s">
        <v>296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24" s="12" customFormat="1" ht="33" x14ac:dyDescent="0.3">
      <c r="B3" s="13" t="s">
        <v>163</v>
      </c>
      <c r="C3" s="13" t="s">
        <v>162</v>
      </c>
      <c r="D3" s="13" t="s">
        <v>161</v>
      </c>
      <c r="E3" s="13" t="s">
        <v>160</v>
      </c>
      <c r="F3" s="13" t="s">
        <v>159</v>
      </c>
      <c r="G3" s="13" t="s">
        <v>158</v>
      </c>
      <c r="H3" s="13" t="s">
        <v>157</v>
      </c>
      <c r="I3" s="13" t="s">
        <v>156</v>
      </c>
      <c r="J3" s="13" t="s">
        <v>155</v>
      </c>
      <c r="K3" s="13" t="s">
        <v>154</v>
      </c>
      <c r="L3" s="13" t="s">
        <v>153</v>
      </c>
      <c r="M3" s="13" t="s">
        <v>152</v>
      </c>
      <c r="N3" s="13" t="s">
        <v>151</v>
      </c>
      <c r="O3" s="13" t="s">
        <v>152</v>
      </c>
      <c r="P3" s="13" t="s">
        <v>151</v>
      </c>
      <c r="Q3" s="13" t="s">
        <v>150</v>
      </c>
      <c r="R3" s="13" t="s">
        <v>149</v>
      </c>
      <c r="S3" s="13" t="s">
        <v>148</v>
      </c>
      <c r="T3" s="13" t="s">
        <v>147</v>
      </c>
      <c r="U3" s="13" t="s">
        <v>146</v>
      </c>
      <c r="V3" s="13" t="s">
        <v>145</v>
      </c>
      <c r="W3" s="13" t="s">
        <v>144</v>
      </c>
      <c r="X3" s="13" t="s">
        <v>143</v>
      </c>
    </row>
    <row r="4" spans="1:24" x14ac:dyDescent="0.3">
      <c r="B4" s="21" t="s">
        <v>167</v>
      </c>
      <c r="C4" s="21" t="s">
        <v>166</v>
      </c>
      <c r="D4" s="21" t="s">
        <v>295</v>
      </c>
      <c r="E4" s="10">
        <v>1</v>
      </c>
      <c r="F4" s="10" t="s">
        <v>97</v>
      </c>
      <c r="G4" s="11">
        <v>263.85899999999998</v>
      </c>
      <c r="H4" s="11">
        <v>2840.1518900999995</v>
      </c>
      <c r="I4" s="11">
        <v>592.0145</v>
      </c>
      <c r="J4" s="11">
        <v>358.76100000000002</v>
      </c>
      <c r="K4" s="11">
        <v>3861.6675279000001</v>
      </c>
      <c r="L4" s="10">
        <v>4550</v>
      </c>
      <c r="M4" s="5" t="str">
        <f>HLOOKUP($F4,'[1]Summary - Pricing'!$D$3:$L$16,13,FALSE)</f>
        <v>Y</v>
      </c>
      <c r="N4" s="5" t="str">
        <f>HLOOKUP($F4,'[1]Summary - Pricing'!$D$3:$L$16,14,FALSE)</f>
        <v>N</v>
      </c>
      <c r="O4" s="9">
        <f>IF(M4="Y",'[1]Summary - Pricing'!$D$10,0)</f>
        <v>750</v>
      </c>
      <c r="P4" s="9">
        <f>IF(N4="Y",'[1]Summary - Pricing'!$D$13,0)</f>
        <v>0</v>
      </c>
      <c r="Q4" s="9">
        <f>IF(AND(E4&gt;5,E4&lt;16),0,IF(E4&lt;6,'[1]Summary - Pricing'!$D$11,IF('TR 01 Inventory'!E4&gt;15,('TR 01 Inventory'!E4-15)*'[1]Summary - Pricing'!$D$12)))</f>
        <v>500</v>
      </c>
      <c r="R4" s="8">
        <f>SUM(O4:Q4)</f>
        <v>1250</v>
      </c>
      <c r="S4" s="9">
        <f>R4*L4</f>
        <v>5687500</v>
      </c>
      <c r="T4" s="9">
        <v>750000</v>
      </c>
      <c r="U4" s="9">
        <f>HLOOKUP(F4,'[1]Summary - Pricing'!$D$3:$L$20,18,FALSE)*100000</f>
        <v>2250000</v>
      </c>
      <c r="V4" s="9">
        <f>SUM('[1]Summary - Pricing'!$D$18,'[1]Summary - Pricing'!$D$21)*'TR 01 Inventory'!L4</f>
        <v>2871050</v>
      </c>
      <c r="W4" s="9">
        <f>'[1]Summary - Pricing'!$D$7*'TR 01 Inventory'!L4</f>
        <v>61425000</v>
      </c>
      <c r="X4" s="8">
        <f>W4+V4+U4+T4+S4</f>
        <v>72983550</v>
      </c>
    </row>
    <row r="5" spans="1:24" x14ac:dyDescent="0.3">
      <c r="B5" s="21" t="s">
        <v>167</v>
      </c>
      <c r="C5" s="21" t="s">
        <v>166</v>
      </c>
      <c r="D5" s="21" t="s">
        <v>294</v>
      </c>
      <c r="E5" s="10">
        <v>2</v>
      </c>
      <c r="F5" s="10" t="s">
        <v>97</v>
      </c>
      <c r="G5" s="11">
        <v>263.85899999999998</v>
      </c>
      <c r="H5" s="11">
        <v>2840.1518900999995</v>
      </c>
      <c r="I5" s="11">
        <v>592.0145</v>
      </c>
      <c r="J5" s="11">
        <v>358.76100000000002</v>
      </c>
      <c r="K5" s="11">
        <v>3861.6675279000001</v>
      </c>
      <c r="L5" s="10">
        <v>4550</v>
      </c>
      <c r="M5" s="5" t="str">
        <f>HLOOKUP($F5,'[1]Summary - Pricing'!$D$3:$L$16,13,FALSE)</f>
        <v>Y</v>
      </c>
      <c r="N5" s="5" t="str">
        <f>HLOOKUP($F5,'[1]Summary - Pricing'!$D$3:$L$16,14,FALSE)</f>
        <v>N</v>
      </c>
      <c r="O5" s="9">
        <f>IF(M5="Y",'[1]Summary - Pricing'!$D$10,0)</f>
        <v>750</v>
      </c>
      <c r="P5" s="9">
        <f>IF(N5="Y",'[1]Summary - Pricing'!$D$13,0)</f>
        <v>0</v>
      </c>
      <c r="Q5" s="9">
        <f>IF(AND(E5&gt;5,E5&lt;16),0,IF(E5&lt;6,'[1]Summary - Pricing'!$D$11,IF('TR 01 Inventory'!E5&gt;15,('TR 01 Inventory'!E5-15)*'[1]Summary - Pricing'!$D$12)))</f>
        <v>500</v>
      </c>
      <c r="R5" s="8">
        <f>SUM(O5:Q5)</f>
        <v>1250</v>
      </c>
      <c r="S5" s="9">
        <f>R5*L5</f>
        <v>5687500</v>
      </c>
      <c r="T5" s="9">
        <v>750000</v>
      </c>
      <c r="U5" s="9">
        <f>HLOOKUP(F5,'[1]Summary - Pricing'!$D$3:$L$20,18,FALSE)*100000</f>
        <v>2250000</v>
      </c>
      <c r="V5" s="9">
        <f>SUM('[1]Summary - Pricing'!$D$18,'[1]Summary - Pricing'!$D$21)*'TR 01 Inventory'!L5</f>
        <v>2871050</v>
      </c>
      <c r="W5" s="9">
        <f>'[1]Summary - Pricing'!$D$7*'TR 01 Inventory'!L5</f>
        <v>61425000</v>
      </c>
      <c r="X5" s="8">
        <f>W5+V5+U5+T5+S5</f>
        <v>72983550</v>
      </c>
    </row>
    <row r="6" spans="1:24" x14ac:dyDescent="0.3">
      <c r="B6" s="21" t="s">
        <v>167</v>
      </c>
      <c r="C6" s="21" t="s">
        <v>166</v>
      </c>
      <c r="D6" s="21" t="s">
        <v>293</v>
      </c>
      <c r="E6" s="10">
        <v>3</v>
      </c>
      <c r="F6" s="10" t="s">
        <v>97</v>
      </c>
      <c r="G6" s="11">
        <v>263.85899999999998</v>
      </c>
      <c r="H6" s="11">
        <v>2840.1518900999995</v>
      </c>
      <c r="I6" s="11">
        <v>592.0145</v>
      </c>
      <c r="J6" s="11">
        <v>358.76100000000002</v>
      </c>
      <c r="K6" s="11">
        <v>3861.6675279000001</v>
      </c>
      <c r="L6" s="10">
        <v>4550</v>
      </c>
      <c r="M6" s="5" t="str">
        <f>HLOOKUP($F6,'[1]Summary - Pricing'!$D$3:$L$16,13,FALSE)</f>
        <v>Y</v>
      </c>
      <c r="N6" s="5" t="str">
        <f>HLOOKUP($F6,'[1]Summary - Pricing'!$D$3:$L$16,14,FALSE)</f>
        <v>N</v>
      </c>
      <c r="O6" s="9">
        <f>IF(M6="Y",'[1]Summary - Pricing'!$D$10,0)</f>
        <v>750</v>
      </c>
      <c r="P6" s="9">
        <f>IF(N6="Y",'[1]Summary - Pricing'!$D$13,0)</f>
        <v>0</v>
      </c>
      <c r="Q6" s="9">
        <f>IF(AND(E6&gt;5,E6&lt;16),0,IF(E6&lt;6,'[1]Summary - Pricing'!$D$11,IF('TR 01 Inventory'!E6&gt;15,('TR 01 Inventory'!E6-15)*'[1]Summary - Pricing'!$D$12)))</f>
        <v>500</v>
      </c>
      <c r="R6" s="8">
        <f>SUM(O6:Q6)</f>
        <v>1250</v>
      </c>
      <c r="S6" s="9">
        <f>R6*L6</f>
        <v>5687500</v>
      </c>
      <c r="T6" s="9">
        <v>750000</v>
      </c>
      <c r="U6" s="9">
        <f>HLOOKUP(F6,'[1]Summary - Pricing'!$D$3:$L$20,18,FALSE)*100000</f>
        <v>2250000</v>
      </c>
      <c r="V6" s="9">
        <f>SUM('[1]Summary - Pricing'!$D$18,'[1]Summary - Pricing'!$D$21)*'TR 01 Inventory'!L6</f>
        <v>2871050</v>
      </c>
      <c r="W6" s="9">
        <f>'[1]Summary - Pricing'!$D$7*'TR 01 Inventory'!L6</f>
        <v>61425000</v>
      </c>
      <c r="X6" s="8">
        <f>W6+V6+U6+T6+S6</f>
        <v>72983550</v>
      </c>
    </row>
    <row r="7" spans="1:24" x14ac:dyDescent="0.3">
      <c r="B7" s="21" t="s">
        <v>167</v>
      </c>
      <c r="C7" s="21" t="s">
        <v>166</v>
      </c>
      <c r="D7" s="21" t="s">
        <v>292</v>
      </c>
      <c r="E7" s="10">
        <v>4</v>
      </c>
      <c r="F7" s="10" t="s">
        <v>97</v>
      </c>
      <c r="G7" s="11">
        <v>263.85899999999998</v>
      </c>
      <c r="H7" s="11">
        <v>2840.1518900999995</v>
      </c>
      <c r="I7" s="11">
        <v>592.0145</v>
      </c>
      <c r="J7" s="11">
        <v>358.76100000000002</v>
      </c>
      <c r="K7" s="11">
        <v>3861.6675279000001</v>
      </c>
      <c r="L7" s="10">
        <v>4550</v>
      </c>
      <c r="M7" s="5" t="str">
        <f>HLOOKUP($F7,'[1]Summary - Pricing'!$D$3:$L$16,13,FALSE)</f>
        <v>Y</v>
      </c>
      <c r="N7" s="5" t="str">
        <f>HLOOKUP($F7,'[1]Summary - Pricing'!$D$3:$L$16,14,FALSE)</f>
        <v>N</v>
      </c>
      <c r="O7" s="9">
        <f>IF(M7="Y",'[1]Summary - Pricing'!$D$10,0)</f>
        <v>750</v>
      </c>
      <c r="P7" s="9">
        <f>IF(N7="Y",'[1]Summary - Pricing'!$D$13,0)</f>
        <v>0</v>
      </c>
      <c r="Q7" s="9">
        <f>IF(AND(E7&gt;5,E7&lt;16),0,IF(E7&lt;6,'[1]Summary - Pricing'!$D$11,IF('TR 01 Inventory'!E7&gt;15,('TR 01 Inventory'!E7-15)*'[1]Summary - Pricing'!$D$12)))</f>
        <v>500</v>
      </c>
      <c r="R7" s="8">
        <f>SUM(O7:Q7)</f>
        <v>1250</v>
      </c>
      <c r="S7" s="9">
        <f>R7*L7</f>
        <v>5687500</v>
      </c>
      <c r="T7" s="9">
        <v>750000</v>
      </c>
      <c r="U7" s="9">
        <f>HLOOKUP(F7,'[1]Summary - Pricing'!$D$3:$L$20,18,FALSE)*100000</f>
        <v>2250000</v>
      </c>
      <c r="V7" s="9">
        <f>SUM('[1]Summary - Pricing'!$D$18,'[1]Summary - Pricing'!$D$21)*'TR 01 Inventory'!L7</f>
        <v>2871050</v>
      </c>
      <c r="W7" s="9">
        <f>'[1]Summary - Pricing'!$D$7*'TR 01 Inventory'!L7</f>
        <v>61425000</v>
      </c>
      <c r="X7" s="8">
        <f>W7+V7+U7+T7+S7</f>
        <v>72983550</v>
      </c>
    </row>
    <row r="8" spans="1:24" x14ac:dyDescent="0.3">
      <c r="B8" s="21" t="s">
        <v>167</v>
      </c>
      <c r="C8" s="21" t="s">
        <v>166</v>
      </c>
      <c r="D8" s="21" t="s">
        <v>291</v>
      </c>
      <c r="E8" s="10">
        <v>5</v>
      </c>
      <c r="F8" s="10" t="s">
        <v>97</v>
      </c>
      <c r="G8" s="11">
        <v>263.85899999999998</v>
      </c>
      <c r="H8" s="11">
        <v>2840.1518900999995</v>
      </c>
      <c r="I8" s="11">
        <v>592.0145</v>
      </c>
      <c r="J8" s="11">
        <v>358.76100000000002</v>
      </c>
      <c r="K8" s="11">
        <v>3861.6675279000001</v>
      </c>
      <c r="L8" s="10">
        <v>4550</v>
      </c>
      <c r="M8" s="5" t="str">
        <f>HLOOKUP($F8,'[1]Summary - Pricing'!$D$3:$L$16,13,FALSE)</f>
        <v>Y</v>
      </c>
      <c r="N8" s="5" t="str">
        <f>HLOOKUP($F8,'[1]Summary - Pricing'!$D$3:$L$16,14,FALSE)</f>
        <v>N</v>
      </c>
      <c r="O8" s="9">
        <f>IF(M8="Y",'[1]Summary - Pricing'!$D$10,0)</f>
        <v>750</v>
      </c>
      <c r="P8" s="9">
        <f>IF(N8="Y",'[1]Summary - Pricing'!$D$13,0)</f>
        <v>0</v>
      </c>
      <c r="Q8" s="9">
        <f>IF(AND(E8&gt;5,E8&lt;16),0,IF(E8&lt;6,'[1]Summary - Pricing'!$D$11,IF('TR 01 Inventory'!E8&gt;15,('TR 01 Inventory'!E8-15)*'[1]Summary - Pricing'!$D$12)))</f>
        <v>500</v>
      </c>
      <c r="R8" s="8">
        <f>SUM(O8:Q8)</f>
        <v>1250</v>
      </c>
      <c r="S8" s="9">
        <f>R8*L8</f>
        <v>5687500</v>
      </c>
      <c r="T8" s="9">
        <v>750000</v>
      </c>
      <c r="U8" s="9">
        <f>HLOOKUP(F8,'[1]Summary - Pricing'!$D$3:$L$20,18,FALSE)*100000</f>
        <v>2250000</v>
      </c>
      <c r="V8" s="9">
        <f>SUM('[1]Summary - Pricing'!$D$18,'[1]Summary - Pricing'!$D$21)*'TR 01 Inventory'!L8</f>
        <v>2871050</v>
      </c>
      <c r="W8" s="9">
        <f>'[1]Summary - Pricing'!$D$7*'TR 01 Inventory'!L8</f>
        <v>61425000</v>
      </c>
      <c r="X8" s="8">
        <f>W8+V8+U8+T8+S8</f>
        <v>72983550</v>
      </c>
    </row>
    <row r="9" spans="1:24" x14ac:dyDescent="0.3">
      <c r="B9" s="21" t="s">
        <v>167</v>
      </c>
      <c r="C9" s="21" t="s">
        <v>166</v>
      </c>
      <c r="D9" s="21" t="s">
        <v>290</v>
      </c>
      <c r="E9" s="10">
        <v>6</v>
      </c>
      <c r="F9" s="10" t="s">
        <v>97</v>
      </c>
      <c r="G9" s="11">
        <v>263.85899999999998</v>
      </c>
      <c r="H9" s="11">
        <v>2840.1518900999995</v>
      </c>
      <c r="I9" s="11">
        <v>592.0145</v>
      </c>
      <c r="J9" s="11">
        <v>358.76100000000002</v>
      </c>
      <c r="K9" s="11">
        <v>3861.6675279000001</v>
      </c>
      <c r="L9" s="10">
        <v>4550</v>
      </c>
      <c r="M9" s="5" t="str">
        <f>HLOOKUP($F9,'[1]Summary - Pricing'!$D$3:$L$16,13,FALSE)</f>
        <v>Y</v>
      </c>
      <c r="N9" s="5" t="str">
        <f>HLOOKUP($F9,'[1]Summary - Pricing'!$D$3:$L$16,14,FALSE)</f>
        <v>N</v>
      </c>
      <c r="O9" s="9">
        <f>IF(M9="Y",'[1]Summary - Pricing'!$D$10,0)</f>
        <v>750</v>
      </c>
      <c r="P9" s="9">
        <f>IF(N9="Y",'[1]Summary - Pricing'!$D$13,0)</f>
        <v>0</v>
      </c>
      <c r="Q9" s="9">
        <f>IF(AND(E9&gt;5,E9&lt;16),0,IF(E9&lt;6,'[1]Summary - Pricing'!$D$11,IF('TR 01 Inventory'!E9&gt;15,('TR 01 Inventory'!E9-15)*'[1]Summary - Pricing'!$D$12)))</f>
        <v>0</v>
      </c>
      <c r="R9" s="8">
        <f>SUM(O9:Q9)</f>
        <v>750</v>
      </c>
      <c r="S9" s="9">
        <f>R9*L9</f>
        <v>3412500</v>
      </c>
      <c r="T9" s="9">
        <v>750000</v>
      </c>
      <c r="U9" s="9">
        <f>HLOOKUP(F9,'[1]Summary - Pricing'!$D$3:$L$20,18,FALSE)*100000</f>
        <v>2250000</v>
      </c>
      <c r="V9" s="9">
        <f>SUM('[1]Summary - Pricing'!$D$18,'[1]Summary - Pricing'!$D$21)*'TR 01 Inventory'!L9</f>
        <v>2871050</v>
      </c>
      <c r="W9" s="9">
        <f>'[1]Summary - Pricing'!$D$7*'TR 01 Inventory'!L9</f>
        <v>61425000</v>
      </c>
      <c r="X9" s="8">
        <f>W9+V9+U9+T9+S9</f>
        <v>70708550</v>
      </c>
    </row>
    <row r="10" spans="1:24" x14ac:dyDescent="0.3">
      <c r="B10" s="21" t="s">
        <v>167</v>
      </c>
      <c r="C10" s="21" t="s">
        <v>166</v>
      </c>
      <c r="D10" s="21" t="s">
        <v>289</v>
      </c>
      <c r="E10" s="10">
        <v>7</v>
      </c>
      <c r="F10" s="10" t="s">
        <v>97</v>
      </c>
      <c r="G10" s="11">
        <v>263.85899999999998</v>
      </c>
      <c r="H10" s="11">
        <v>2840.1518900999995</v>
      </c>
      <c r="I10" s="11">
        <v>592.0145</v>
      </c>
      <c r="J10" s="11">
        <v>358.76100000000002</v>
      </c>
      <c r="K10" s="11">
        <v>3861.6675279000001</v>
      </c>
      <c r="L10" s="10">
        <v>4550</v>
      </c>
      <c r="M10" s="5" t="str">
        <f>HLOOKUP($F10,'[1]Summary - Pricing'!$D$3:$L$16,13,FALSE)</f>
        <v>Y</v>
      </c>
      <c r="N10" s="5" t="str">
        <f>HLOOKUP($F10,'[1]Summary - Pricing'!$D$3:$L$16,14,FALSE)</f>
        <v>N</v>
      </c>
      <c r="O10" s="9">
        <f>IF(M10="Y",'[1]Summary - Pricing'!$D$10,0)</f>
        <v>750</v>
      </c>
      <c r="P10" s="9">
        <f>IF(N10="Y",'[1]Summary - Pricing'!$D$13,0)</f>
        <v>0</v>
      </c>
      <c r="Q10" s="9">
        <f>IF(AND(E10&gt;5,E10&lt;16),0,IF(E10&lt;6,'[1]Summary - Pricing'!$D$11,IF('TR 01 Inventory'!E10&gt;15,('TR 01 Inventory'!E10-15)*'[1]Summary - Pricing'!$D$12)))</f>
        <v>0</v>
      </c>
      <c r="R10" s="8">
        <f>SUM(O10:Q10)</f>
        <v>750</v>
      </c>
      <c r="S10" s="9">
        <f>R10*L10</f>
        <v>3412500</v>
      </c>
      <c r="T10" s="9">
        <v>750000</v>
      </c>
      <c r="U10" s="9">
        <f>HLOOKUP(F10,'[1]Summary - Pricing'!$D$3:$L$20,18,FALSE)*100000</f>
        <v>2250000</v>
      </c>
      <c r="V10" s="9">
        <f>SUM('[1]Summary - Pricing'!$D$18,'[1]Summary - Pricing'!$D$21)*'TR 01 Inventory'!L10</f>
        <v>2871050</v>
      </c>
      <c r="W10" s="9">
        <f>'[1]Summary - Pricing'!$D$7*'TR 01 Inventory'!L10</f>
        <v>61425000</v>
      </c>
      <c r="X10" s="8">
        <f>W10+V10+U10+T10+S10</f>
        <v>70708550</v>
      </c>
    </row>
    <row r="11" spans="1:24" x14ac:dyDescent="0.3">
      <c r="B11" s="21" t="s">
        <v>167</v>
      </c>
      <c r="C11" s="21" t="s">
        <v>166</v>
      </c>
      <c r="D11" s="21" t="s">
        <v>288</v>
      </c>
      <c r="E11" s="10">
        <v>8</v>
      </c>
      <c r="F11" s="10" t="s">
        <v>97</v>
      </c>
      <c r="G11" s="11">
        <v>263.85899999999998</v>
      </c>
      <c r="H11" s="11">
        <v>2840.1518900999995</v>
      </c>
      <c r="I11" s="11">
        <v>592.0145</v>
      </c>
      <c r="J11" s="11">
        <v>358.76100000000002</v>
      </c>
      <c r="K11" s="11">
        <v>3861.6675279000001</v>
      </c>
      <c r="L11" s="10">
        <v>4550</v>
      </c>
      <c r="M11" s="5" t="str">
        <f>HLOOKUP($F11,'[1]Summary - Pricing'!$D$3:$L$16,13,FALSE)</f>
        <v>Y</v>
      </c>
      <c r="N11" s="5" t="str">
        <f>HLOOKUP($F11,'[1]Summary - Pricing'!$D$3:$L$16,14,FALSE)</f>
        <v>N</v>
      </c>
      <c r="O11" s="9">
        <f>IF(M11="Y",'[1]Summary - Pricing'!$D$10,0)</f>
        <v>750</v>
      </c>
      <c r="P11" s="9">
        <f>IF(N11="Y",'[1]Summary - Pricing'!$D$13,0)</f>
        <v>0</v>
      </c>
      <c r="Q11" s="9">
        <f>IF(AND(E11&gt;5,E11&lt;16),0,IF(E11&lt;6,'[1]Summary - Pricing'!$D$11,IF('TR 01 Inventory'!E11&gt;15,('TR 01 Inventory'!E11-15)*'[1]Summary - Pricing'!$D$12)))</f>
        <v>0</v>
      </c>
      <c r="R11" s="8">
        <f>SUM(O11:Q11)</f>
        <v>750</v>
      </c>
      <c r="S11" s="9">
        <f>R11*L11</f>
        <v>3412500</v>
      </c>
      <c r="T11" s="9">
        <v>750000</v>
      </c>
      <c r="U11" s="9">
        <f>HLOOKUP(F11,'[1]Summary - Pricing'!$D$3:$L$20,18,FALSE)*100000</f>
        <v>2250000</v>
      </c>
      <c r="V11" s="9">
        <f>SUM('[1]Summary - Pricing'!$D$18,'[1]Summary - Pricing'!$D$21)*'TR 01 Inventory'!L11</f>
        <v>2871050</v>
      </c>
      <c r="W11" s="9">
        <f>'[1]Summary - Pricing'!$D$7*'TR 01 Inventory'!L11</f>
        <v>61425000</v>
      </c>
      <c r="X11" s="8">
        <f>W11+V11+U11+T11+S11</f>
        <v>70708550</v>
      </c>
    </row>
    <row r="12" spans="1:24" x14ac:dyDescent="0.3">
      <c r="B12" s="21" t="s">
        <v>167</v>
      </c>
      <c r="C12" s="21" t="s">
        <v>166</v>
      </c>
      <c r="D12" s="21" t="s">
        <v>287</v>
      </c>
      <c r="E12" s="10">
        <v>9</v>
      </c>
      <c r="F12" s="10" t="s">
        <v>97</v>
      </c>
      <c r="G12" s="11">
        <v>263.85899999999998</v>
      </c>
      <c r="H12" s="11">
        <v>2840.1518900999995</v>
      </c>
      <c r="I12" s="11">
        <v>592.0145</v>
      </c>
      <c r="J12" s="11">
        <v>358.76100000000002</v>
      </c>
      <c r="K12" s="11">
        <v>3861.6675279000001</v>
      </c>
      <c r="L12" s="10">
        <v>4550</v>
      </c>
      <c r="M12" s="5" t="str">
        <f>HLOOKUP($F12,'[1]Summary - Pricing'!$D$3:$L$16,13,FALSE)</f>
        <v>Y</v>
      </c>
      <c r="N12" s="5" t="str">
        <f>HLOOKUP($F12,'[1]Summary - Pricing'!$D$3:$L$16,14,FALSE)</f>
        <v>N</v>
      </c>
      <c r="O12" s="9">
        <f>IF(M12="Y",'[1]Summary - Pricing'!$D$10,0)</f>
        <v>750</v>
      </c>
      <c r="P12" s="9">
        <f>IF(N12="Y",'[1]Summary - Pricing'!$D$13,0)</f>
        <v>0</v>
      </c>
      <c r="Q12" s="9">
        <f>IF(AND(E12&gt;5,E12&lt;16),0,IF(E12&lt;6,'[1]Summary - Pricing'!$D$11,IF('TR 01 Inventory'!E12&gt;15,('TR 01 Inventory'!E12-15)*'[1]Summary - Pricing'!$D$12)))</f>
        <v>0</v>
      </c>
      <c r="R12" s="8">
        <f>SUM(O12:Q12)</f>
        <v>750</v>
      </c>
      <c r="S12" s="9">
        <f>R12*L12</f>
        <v>3412500</v>
      </c>
      <c r="T12" s="9">
        <v>750000</v>
      </c>
      <c r="U12" s="9">
        <f>HLOOKUP(F12,'[1]Summary - Pricing'!$D$3:$L$20,18,FALSE)*100000</f>
        <v>2250000</v>
      </c>
      <c r="V12" s="9">
        <f>SUM('[1]Summary - Pricing'!$D$18,'[1]Summary - Pricing'!$D$21)*'TR 01 Inventory'!L12</f>
        <v>2871050</v>
      </c>
      <c r="W12" s="9">
        <f>'[1]Summary - Pricing'!$D$7*'TR 01 Inventory'!L12</f>
        <v>61425000</v>
      </c>
      <c r="X12" s="8">
        <f>W12+V12+U12+T12+S12</f>
        <v>70708550</v>
      </c>
    </row>
    <row r="13" spans="1:24" x14ac:dyDescent="0.3">
      <c r="B13" s="21" t="s">
        <v>167</v>
      </c>
      <c r="C13" s="21" t="s">
        <v>166</v>
      </c>
      <c r="D13" s="21" t="s">
        <v>286</v>
      </c>
      <c r="E13" s="10">
        <v>10</v>
      </c>
      <c r="F13" s="10" t="s">
        <v>97</v>
      </c>
      <c r="G13" s="11">
        <v>263.85899999999998</v>
      </c>
      <c r="H13" s="11">
        <v>2840.1518900999995</v>
      </c>
      <c r="I13" s="11">
        <v>592.0145</v>
      </c>
      <c r="J13" s="11">
        <v>358.76100000000002</v>
      </c>
      <c r="K13" s="11">
        <v>3861.6675279000001</v>
      </c>
      <c r="L13" s="10">
        <v>4550</v>
      </c>
      <c r="M13" s="5" t="str">
        <f>HLOOKUP($F13,'[1]Summary - Pricing'!$D$3:$L$16,13,FALSE)</f>
        <v>Y</v>
      </c>
      <c r="N13" s="5" t="str">
        <f>HLOOKUP($F13,'[1]Summary - Pricing'!$D$3:$L$16,14,FALSE)</f>
        <v>N</v>
      </c>
      <c r="O13" s="9">
        <f>IF(M13="Y",'[1]Summary - Pricing'!$D$10,0)</f>
        <v>750</v>
      </c>
      <c r="P13" s="9">
        <f>IF(N13="Y",'[1]Summary - Pricing'!$D$13,0)</f>
        <v>0</v>
      </c>
      <c r="Q13" s="9">
        <f>IF(AND(E13&gt;5,E13&lt;16),0,IF(E13&lt;6,'[1]Summary - Pricing'!$D$11,IF('TR 01 Inventory'!E13&gt;15,('TR 01 Inventory'!E13-15)*'[1]Summary - Pricing'!$D$12)))</f>
        <v>0</v>
      </c>
      <c r="R13" s="8">
        <f>SUM(O13:Q13)</f>
        <v>750</v>
      </c>
      <c r="S13" s="9">
        <f>R13*L13</f>
        <v>3412500</v>
      </c>
      <c r="T13" s="9">
        <v>750000</v>
      </c>
      <c r="U13" s="9">
        <f>HLOOKUP(F13,'[1]Summary - Pricing'!$D$3:$L$20,18,FALSE)*100000</f>
        <v>2250000</v>
      </c>
      <c r="V13" s="9">
        <f>SUM('[1]Summary - Pricing'!$D$18,'[1]Summary - Pricing'!$D$21)*'TR 01 Inventory'!L13</f>
        <v>2871050</v>
      </c>
      <c r="W13" s="9">
        <f>'[1]Summary - Pricing'!$D$7*'TR 01 Inventory'!L13</f>
        <v>61425000</v>
      </c>
      <c r="X13" s="8">
        <f>W13+V13+U13+T13+S13</f>
        <v>70708550</v>
      </c>
    </row>
    <row r="14" spans="1:24" x14ac:dyDescent="0.3">
      <c r="B14" s="21" t="s">
        <v>167</v>
      </c>
      <c r="C14" s="21" t="s">
        <v>166</v>
      </c>
      <c r="D14" s="21" t="s">
        <v>285</v>
      </c>
      <c r="E14" s="10">
        <v>11</v>
      </c>
      <c r="F14" s="10" t="s">
        <v>97</v>
      </c>
      <c r="G14" s="11">
        <v>263.85899999999998</v>
      </c>
      <c r="H14" s="11">
        <v>2840.1518900999995</v>
      </c>
      <c r="I14" s="11">
        <v>592.0145</v>
      </c>
      <c r="J14" s="11">
        <v>358.76100000000002</v>
      </c>
      <c r="K14" s="11">
        <v>3861.6675279000001</v>
      </c>
      <c r="L14" s="10">
        <v>4550</v>
      </c>
      <c r="M14" s="5" t="str">
        <f>HLOOKUP($F14,'[1]Summary - Pricing'!$D$3:$L$16,13,FALSE)</f>
        <v>Y</v>
      </c>
      <c r="N14" s="5" t="str">
        <f>HLOOKUP($F14,'[1]Summary - Pricing'!$D$3:$L$16,14,FALSE)</f>
        <v>N</v>
      </c>
      <c r="O14" s="9">
        <f>IF(M14="Y",'[1]Summary - Pricing'!$D$10,0)</f>
        <v>750</v>
      </c>
      <c r="P14" s="9">
        <f>IF(N14="Y",'[1]Summary - Pricing'!$D$13,0)</f>
        <v>0</v>
      </c>
      <c r="Q14" s="9">
        <f>IF(AND(E14&gt;5,E14&lt;16),0,IF(E14&lt;6,'[1]Summary - Pricing'!$D$11,IF('TR 01 Inventory'!E14&gt;15,('TR 01 Inventory'!E14-15)*'[1]Summary - Pricing'!$D$12)))</f>
        <v>0</v>
      </c>
      <c r="R14" s="8">
        <f>SUM(O14:Q14)</f>
        <v>750</v>
      </c>
      <c r="S14" s="9">
        <f>R14*L14</f>
        <v>3412500</v>
      </c>
      <c r="T14" s="9">
        <v>750000</v>
      </c>
      <c r="U14" s="9">
        <f>HLOOKUP(F14,'[1]Summary - Pricing'!$D$3:$L$20,18,FALSE)*100000</f>
        <v>2250000</v>
      </c>
      <c r="V14" s="9">
        <f>SUM('[1]Summary - Pricing'!$D$18,'[1]Summary - Pricing'!$D$21)*'TR 01 Inventory'!L14</f>
        <v>2871050</v>
      </c>
      <c r="W14" s="9">
        <f>'[1]Summary - Pricing'!$D$7*'TR 01 Inventory'!L14</f>
        <v>61425000</v>
      </c>
      <c r="X14" s="8">
        <f>W14+V14+U14+T14+S14</f>
        <v>70708550</v>
      </c>
    </row>
    <row r="15" spans="1:24" x14ac:dyDescent="0.3">
      <c r="B15" s="21" t="s">
        <v>167</v>
      </c>
      <c r="C15" s="21" t="s">
        <v>166</v>
      </c>
      <c r="D15" s="21" t="s">
        <v>284</v>
      </c>
      <c r="E15" s="10">
        <v>12</v>
      </c>
      <c r="F15" s="10" t="s">
        <v>97</v>
      </c>
      <c r="G15" s="11">
        <v>263.85899999999998</v>
      </c>
      <c r="H15" s="11">
        <v>2840.1518900999995</v>
      </c>
      <c r="I15" s="11">
        <v>592.0145</v>
      </c>
      <c r="J15" s="11">
        <v>358.76100000000002</v>
      </c>
      <c r="K15" s="11">
        <v>3861.6675279000001</v>
      </c>
      <c r="L15" s="10">
        <v>4550</v>
      </c>
      <c r="M15" s="5" t="str">
        <f>HLOOKUP($F15,'[1]Summary - Pricing'!$D$3:$L$16,13,FALSE)</f>
        <v>Y</v>
      </c>
      <c r="N15" s="5" t="str">
        <f>HLOOKUP($F15,'[1]Summary - Pricing'!$D$3:$L$16,14,FALSE)</f>
        <v>N</v>
      </c>
      <c r="O15" s="9">
        <f>IF(M15="Y",'[1]Summary - Pricing'!$D$10,0)</f>
        <v>750</v>
      </c>
      <c r="P15" s="9">
        <f>IF(N15="Y",'[1]Summary - Pricing'!$D$13,0)</f>
        <v>0</v>
      </c>
      <c r="Q15" s="9">
        <f>IF(AND(E15&gt;5,E15&lt;16),0,IF(E15&lt;6,'[1]Summary - Pricing'!$D$11,IF('TR 01 Inventory'!E15&gt;15,('TR 01 Inventory'!E15-15)*'[1]Summary - Pricing'!$D$12)))</f>
        <v>0</v>
      </c>
      <c r="R15" s="8">
        <f>SUM(O15:Q15)</f>
        <v>750</v>
      </c>
      <c r="S15" s="9">
        <f>R15*L15</f>
        <v>3412500</v>
      </c>
      <c r="T15" s="9">
        <v>750000</v>
      </c>
      <c r="U15" s="9">
        <f>HLOOKUP(F15,'[1]Summary - Pricing'!$D$3:$L$20,18,FALSE)*100000</f>
        <v>2250000</v>
      </c>
      <c r="V15" s="9">
        <f>SUM('[1]Summary - Pricing'!$D$18,'[1]Summary - Pricing'!$D$21)*'TR 01 Inventory'!L15</f>
        <v>2871050</v>
      </c>
      <c r="W15" s="9">
        <f>'[1]Summary - Pricing'!$D$7*'TR 01 Inventory'!L15</f>
        <v>61425000</v>
      </c>
      <c r="X15" s="8">
        <f>W15+V15+U15+T15+S15</f>
        <v>70708550</v>
      </c>
    </row>
    <row r="16" spans="1:24" x14ac:dyDescent="0.3">
      <c r="B16" s="21" t="s">
        <v>167</v>
      </c>
      <c r="C16" s="21" t="s">
        <v>166</v>
      </c>
      <c r="D16" s="21" t="s">
        <v>283</v>
      </c>
      <c r="E16" s="10">
        <v>14</v>
      </c>
      <c r="F16" s="10" t="s">
        <v>97</v>
      </c>
      <c r="G16" s="11">
        <v>263.85899999999998</v>
      </c>
      <c r="H16" s="11">
        <v>2840.1518900999995</v>
      </c>
      <c r="I16" s="11">
        <v>592.0145</v>
      </c>
      <c r="J16" s="11">
        <v>358.76100000000002</v>
      </c>
      <c r="K16" s="11">
        <v>3861.6675279000001</v>
      </c>
      <c r="L16" s="10">
        <v>4550</v>
      </c>
      <c r="M16" s="5" t="str">
        <f>HLOOKUP($F16,'[1]Summary - Pricing'!$D$3:$L$16,13,FALSE)</f>
        <v>Y</v>
      </c>
      <c r="N16" s="5" t="str">
        <f>HLOOKUP($F16,'[1]Summary - Pricing'!$D$3:$L$16,14,FALSE)</f>
        <v>N</v>
      </c>
      <c r="O16" s="9">
        <f>IF(M16="Y",'[1]Summary - Pricing'!$D$10,0)</f>
        <v>750</v>
      </c>
      <c r="P16" s="9">
        <f>IF(N16="Y",'[1]Summary - Pricing'!$D$13,0)</f>
        <v>0</v>
      </c>
      <c r="Q16" s="9">
        <f>IF(AND(E16&gt;5,E16&lt;16),0,IF(E16&lt;6,'[1]Summary - Pricing'!$D$11,IF('TR 01 Inventory'!E16&gt;15,('TR 01 Inventory'!E16-15)*'[1]Summary - Pricing'!$D$12)))</f>
        <v>0</v>
      </c>
      <c r="R16" s="8">
        <f>SUM(O16:Q16)</f>
        <v>750</v>
      </c>
      <c r="S16" s="9">
        <f>R16*L16</f>
        <v>3412500</v>
      </c>
      <c r="T16" s="9">
        <v>750000</v>
      </c>
      <c r="U16" s="9">
        <f>HLOOKUP(F16,'[1]Summary - Pricing'!$D$3:$L$20,18,FALSE)*100000</f>
        <v>2250000</v>
      </c>
      <c r="V16" s="9">
        <f>SUM('[1]Summary - Pricing'!$D$18,'[1]Summary - Pricing'!$D$21)*'TR 01 Inventory'!L16</f>
        <v>2871050</v>
      </c>
      <c r="W16" s="9">
        <f>'[1]Summary - Pricing'!$D$7*'TR 01 Inventory'!L16</f>
        <v>61425000</v>
      </c>
      <c r="X16" s="8">
        <f>W16+V16+U16+T16+S16</f>
        <v>70708550</v>
      </c>
    </row>
    <row r="17" spans="2:24" x14ac:dyDescent="0.3">
      <c r="B17" s="21" t="s">
        <v>167</v>
      </c>
      <c r="C17" s="21" t="s">
        <v>166</v>
      </c>
      <c r="D17" s="21" t="s">
        <v>282</v>
      </c>
      <c r="E17" s="10">
        <v>15</v>
      </c>
      <c r="F17" s="10" t="s">
        <v>97</v>
      </c>
      <c r="G17" s="11">
        <v>263.85899999999998</v>
      </c>
      <c r="H17" s="11">
        <v>2840.1518900999995</v>
      </c>
      <c r="I17" s="11">
        <v>592.0145</v>
      </c>
      <c r="J17" s="11">
        <v>358.76100000000002</v>
      </c>
      <c r="K17" s="11">
        <v>3861.6675279000001</v>
      </c>
      <c r="L17" s="10">
        <v>4550</v>
      </c>
      <c r="M17" s="5" t="str">
        <f>HLOOKUP($F17,'[1]Summary - Pricing'!$D$3:$L$16,13,FALSE)</f>
        <v>Y</v>
      </c>
      <c r="N17" s="5" t="str">
        <f>HLOOKUP($F17,'[1]Summary - Pricing'!$D$3:$L$16,14,FALSE)</f>
        <v>N</v>
      </c>
      <c r="O17" s="9">
        <f>IF(M17="Y",'[1]Summary - Pricing'!$D$10,0)</f>
        <v>750</v>
      </c>
      <c r="P17" s="9">
        <f>IF(N17="Y",'[1]Summary - Pricing'!$D$13,0)</f>
        <v>0</v>
      </c>
      <c r="Q17" s="9">
        <f>IF(AND(E17&gt;5,E17&lt;16),0,IF(E17&lt;6,'[1]Summary - Pricing'!$D$11,IF('TR 01 Inventory'!E17&gt;15,('TR 01 Inventory'!E17-15)*'[1]Summary - Pricing'!$D$12)))</f>
        <v>0</v>
      </c>
      <c r="R17" s="8">
        <f>SUM(O17:Q17)</f>
        <v>750</v>
      </c>
      <c r="S17" s="9">
        <f>R17*L17</f>
        <v>3412500</v>
      </c>
      <c r="T17" s="9">
        <v>750000</v>
      </c>
      <c r="U17" s="9">
        <f>HLOOKUP(F17,'[1]Summary - Pricing'!$D$3:$L$20,18,FALSE)*100000</f>
        <v>2250000</v>
      </c>
      <c r="V17" s="9">
        <f>SUM('[1]Summary - Pricing'!$D$18,'[1]Summary - Pricing'!$D$21)*'TR 01 Inventory'!L17</f>
        <v>2871050</v>
      </c>
      <c r="W17" s="9">
        <f>'[1]Summary - Pricing'!$D$7*'TR 01 Inventory'!L17</f>
        <v>61425000</v>
      </c>
      <c r="X17" s="8">
        <f>W17+V17+U17+T17+S17</f>
        <v>70708550</v>
      </c>
    </row>
    <row r="18" spans="2:24" x14ac:dyDescent="0.3">
      <c r="B18" s="21" t="s">
        <v>167</v>
      </c>
      <c r="C18" s="21" t="s">
        <v>166</v>
      </c>
      <c r="D18" s="21" t="s">
        <v>281</v>
      </c>
      <c r="E18" s="10">
        <v>16</v>
      </c>
      <c r="F18" s="10" t="s">
        <v>97</v>
      </c>
      <c r="G18" s="11">
        <v>263.85899999999998</v>
      </c>
      <c r="H18" s="11">
        <v>2840.1518900999995</v>
      </c>
      <c r="I18" s="11">
        <v>592.0145</v>
      </c>
      <c r="J18" s="11">
        <v>358.76100000000002</v>
      </c>
      <c r="K18" s="11">
        <v>3861.6675279000001</v>
      </c>
      <c r="L18" s="10">
        <v>4550</v>
      </c>
      <c r="M18" s="5" t="str">
        <f>HLOOKUP($F18,'[1]Summary - Pricing'!$D$3:$L$16,13,FALSE)</f>
        <v>Y</v>
      </c>
      <c r="N18" s="5" t="str">
        <f>HLOOKUP($F18,'[1]Summary - Pricing'!$D$3:$L$16,14,FALSE)</f>
        <v>N</v>
      </c>
      <c r="O18" s="9">
        <f>IF(M18="Y",'[1]Summary - Pricing'!$D$10,0)</f>
        <v>750</v>
      </c>
      <c r="P18" s="9">
        <f>IF(N18="Y",'[1]Summary - Pricing'!$D$13,0)</f>
        <v>0</v>
      </c>
      <c r="Q18" s="9">
        <f>IF(AND(E18&gt;5,E18&lt;16),0,IF(E18&lt;6,'[1]Summary - Pricing'!$D$11,IF('TR 01 Inventory'!E18&gt;15,('TR 01 Inventory'!E18-15)*'[1]Summary - Pricing'!$D$12)))</f>
        <v>50</v>
      </c>
      <c r="R18" s="8">
        <f>SUM(O18:Q18)</f>
        <v>800</v>
      </c>
      <c r="S18" s="9">
        <f>R18*L18</f>
        <v>3640000</v>
      </c>
      <c r="T18" s="9">
        <v>750000</v>
      </c>
      <c r="U18" s="9">
        <f>HLOOKUP(F18,'[1]Summary - Pricing'!$D$3:$L$20,18,FALSE)*100000</f>
        <v>2250000</v>
      </c>
      <c r="V18" s="9">
        <f>SUM('[1]Summary - Pricing'!$D$18,'[1]Summary - Pricing'!$D$21)*'TR 01 Inventory'!L18</f>
        <v>2871050</v>
      </c>
      <c r="W18" s="9">
        <f>'[1]Summary - Pricing'!$D$7*'TR 01 Inventory'!L18</f>
        <v>61425000</v>
      </c>
      <c r="X18" s="8">
        <f>W18+V18+U18+T18+S18</f>
        <v>70936050</v>
      </c>
    </row>
    <row r="19" spans="2:24" x14ac:dyDescent="0.3">
      <c r="B19" s="21" t="s">
        <v>167</v>
      </c>
      <c r="C19" s="21" t="s">
        <v>166</v>
      </c>
      <c r="D19" s="21" t="s">
        <v>280</v>
      </c>
      <c r="E19" s="10">
        <v>17</v>
      </c>
      <c r="F19" s="10" t="s">
        <v>97</v>
      </c>
      <c r="G19" s="11">
        <v>263.85899999999998</v>
      </c>
      <c r="H19" s="11">
        <v>2840.1518900999995</v>
      </c>
      <c r="I19" s="11">
        <v>592.0145</v>
      </c>
      <c r="J19" s="11">
        <v>358.76100000000002</v>
      </c>
      <c r="K19" s="11">
        <v>3861.6675279000001</v>
      </c>
      <c r="L19" s="10">
        <v>4550</v>
      </c>
      <c r="M19" s="5" t="str">
        <f>HLOOKUP($F19,'[1]Summary - Pricing'!$D$3:$L$16,13,FALSE)</f>
        <v>Y</v>
      </c>
      <c r="N19" s="5" t="str">
        <f>HLOOKUP($F19,'[1]Summary - Pricing'!$D$3:$L$16,14,FALSE)</f>
        <v>N</v>
      </c>
      <c r="O19" s="9">
        <f>IF(M19="Y",'[1]Summary - Pricing'!$D$10,0)</f>
        <v>750</v>
      </c>
      <c r="P19" s="9">
        <f>IF(N19="Y",'[1]Summary - Pricing'!$D$13,0)</f>
        <v>0</v>
      </c>
      <c r="Q19" s="9">
        <f>IF(AND(E19&gt;5,E19&lt;16),0,IF(E19&lt;6,'[1]Summary - Pricing'!$D$11,IF('TR 01 Inventory'!E19&gt;15,('TR 01 Inventory'!E19-15)*'[1]Summary - Pricing'!$D$12)))</f>
        <v>100</v>
      </c>
      <c r="R19" s="8">
        <f>SUM(O19:Q19)</f>
        <v>850</v>
      </c>
      <c r="S19" s="9">
        <f>R19*L19</f>
        <v>3867500</v>
      </c>
      <c r="T19" s="9">
        <v>750000</v>
      </c>
      <c r="U19" s="9">
        <f>HLOOKUP(F19,'[1]Summary - Pricing'!$D$3:$L$20,18,FALSE)*100000</f>
        <v>2250000</v>
      </c>
      <c r="V19" s="9">
        <f>SUM('[1]Summary - Pricing'!$D$18,'[1]Summary - Pricing'!$D$21)*'TR 01 Inventory'!L19</f>
        <v>2871050</v>
      </c>
      <c r="W19" s="9">
        <f>'[1]Summary - Pricing'!$D$7*'TR 01 Inventory'!L19</f>
        <v>61425000</v>
      </c>
      <c r="X19" s="8">
        <f>W19+V19+U19+T19+S19</f>
        <v>71163550</v>
      </c>
    </row>
    <row r="20" spans="2:24" x14ac:dyDescent="0.3">
      <c r="B20" s="21" t="s">
        <v>167</v>
      </c>
      <c r="C20" s="21" t="s">
        <v>166</v>
      </c>
      <c r="D20" s="21" t="s">
        <v>279</v>
      </c>
      <c r="E20" s="10">
        <v>18</v>
      </c>
      <c r="F20" s="10" t="s">
        <v>97</v>
      </c>
      <c r="G20" s="11">
        <v>263.85899999999998</v>
      </c>
      <c r="H20" s="11">
        <v>2840.1518900999995</v>
      </c>
      <c r="I20" s="11">
        <v>592.0145</v>
      </c>
      <c r="J20" s="11">
        <v>358.76100000000002</v>
      </c>
      <c r="K20" s="11">
        <v>3861.6675279000001</v>
      </c>
      <c r="L20" s="10">
        <v>4550</v>
      </c>
      <c r="M20" s="5" t="str">
        <f>HLOOKUP($F20,'[1]Summary - Pricing'!$D$3:$L$16,13,FALSE)</f>
        <v>Y</v>
      </c>
      <c r="N20" s="5" t="str">
        <f>HLOOKUP($F20,'[1]Summary - Pricing'!$D$3:$L$16,14,FALSE)</f>
        <v>N</v>
      </c>
      <c r="O20" s="9">
        <f>IF(M20="Y",'[1]Summary - Pricing'!$D$10,0)</f>
        <v>750</v>
      </c>
      <c r="P20" s="9">
        <f>IF(N20="Y",'[1]Summary - Pricing'!$D$13,0)</f>
        <v>0</v>
      </c>
      <c r="Q20" s="9">
        <f>IF(AND(E20&gt;5,E20&lt;16),0,IF(E20&lt;6,'[1]Summary - Pricing'!$D$11,IF('TR 01 Inventory'!E20&gt;15,('TR 01 Inventory'!E20-15)*'[1]Summary - Pricing'!$D$12)))</f>
        <v>150</v>
      </c>
      <c r="R20" s="8">
        <f>SUM(O20:Q20)</f>
        <v>900</v>
      </c>
      <c r="S20" s="9">
        <f>R20*L20</f>
        <v>4095000</v>
      </c>
      <c r="T20" s="9">
        <v>750000</v>
      </c>
      <c r="U20" s="9">
        <f>HLOOKUP(F20,'[1]Summary - Pricing'!$D$3:$L$20,18,FALSE)*100000</f>
        <v>2250000</v>
      </c>
      <c r="V20" s="9">
        <f>SUM('[1]Summary - Pricing'!$D$18,'[1]Summary - Pricing'!$D$21)*'TR 01 Inventory'!L20</f>
        <v>2871050</v>
      </c>
      <c r="W20" s="9">
        <f>'[1]Summary - Pricing'!$D$7*'TR 01 Inventory'!L20</f>
        <v>61425000</v>
      </c>
      <c r="X20" s="8">
        <f>W20+V20+U20+T20+S20</f>
        <v>71391050</v>
      </c>
    </row>
    <row r="21" spans="2:24" x14ac:dyDescent="0.3">
      <c r="B21" s="21" t="s">
        <v>167</v>
      </c>
      <c r="C21" s="21" t="s">
        <v>166</v>
      </c>
      <c r="D21" s="21" t="s">
        <v>278</v>
      </c>
      <c r="E21" s="10">
        <v>19</v>
      </c>
      <c r="F21" s="10" t="s">
        <v>97</v>
      </c>
      <c r="G21" s="11">
        <v>263.85899999999998</v>
      </c>
      <c r="H21" s="11">
        <v>2840.1518900999995</v>
      </c>
      <c r="I21" s="11">
        <v>592.0145</v>
      </c>
      <c r="J21" s="11">
        <v>358.76100000000002</v>
      </c>
      <c r="K21" s="11">
        <v>3861.6675279000001</v>
      </c>
      <c r="L21" s="10">
        <v>4550</v>
      </c>
      <c r="M21" s="5" t="str">
        <f>HLOOKUP($F21,'[1]Summary - Pricing'!$D$3:$L$16,13,FALSE)</f>
        <v>Y</v>
      </c>
      <c r="N21" s="5" t="str">
        <f>HLOOKUP($F21,'[1]Summary - Pricing'!$D$3:$L$16,14,FALSE)</f>
        <v>N</v>
      </c>
      <c r="O21" s="9">
        <f>IF(M21="Y",'[1]Summary - Pricing'!$D$10,0)</f>
        <v>750</v>
      </c>
      <c r="P21" s="9">
        <f>IF(N21="Y",'[1]Summary - Pricing'!$D$13,0)</f>
        <v>0</v>
      </c>
      <c r="Q21" s="9">
        <f>IF(AND(E21&gt;5,E21&lt;16),0,IF(E21&lt;6,'[1]Summary - Pricing'!$D$11,IF('TR 01 Inventory'!E21&gt;15,('TR 01 Inventory'!E21-15)*'[1]Summary - Pricing'!$D$12)))</f>
        <v>200</v>
      </c>
      <c r="R21" s="8">
        <f>SUM(O21:Q21)</f>
        <v>950</v>
      </c>
      <c r="S21" s="9">
        <f>R21*L21</f>
        <v>4322500</v>
      </c>
      <c r="T21" s="9">
        <v>750000</v>
      </c>
      <c r="U21" s="9">
        <f>HLOOKUP(F21,'[1]Summary - Pricing'!$D$3:$L$20,18,FALSE)*100000</f>
        <v>2250000</v>
      </c>
      <c r="V21" s="9">
        <f>SUM('[1]Summary - Pricing'!$D$18,'[1]Summary - Pricing'!$D$21)*'TR 01 Inventory'!L21</f>
        <v>2871050</v>
      </c>
      <c r="W21" s="9">
        <f>'[1]Summary - Pricing'!$D$7*'TR 01 Inventory'!L21</f>
        <v>61425000</v>
      </c>
      <c r="X21" s="8">
        <f>W21+V21+U21+T21+S21</f>
        <v>71618550</v>
      </c>
    </row>
    <row r="22" spans="2:24" x14ac:dyDescent="0.3">
      <c r="B22" s="21" t="s">
        <v>167</v>
      </c>
      <c r="C22" s="21" t="s">
        <v>166</v>
      </c>
      <c r="D22" s="21" t="s">
        <v>277</v>
      </c>
      <c r="E22" s="10">
        <v>20</v>
      </c>
      <c r="F22" s="10" t="s">
        <v>97</v>
      </c>
      <c r="G22" s="11">
        <v>263.85899999999998</v>
      </c>
      <c r="H22" s="11">
        <v>2840.1518900999995</v>
      </c>
      <c r="I22" s="11">
        <v>592.0145</v>
      </c>
      <c r="J22" s="11">
        <v>358.76100000000002</v>
      </c>
      <c r="K22" s="11">
        <v>3861.6675279000001</v>
      </c>
      <c r="L22" s="10">
        <v>4550</v>
      </c>
      <c r="M22" s="5" t="str">
        <f>HLOOKUP($F22,'[1]Summary - Pricing'!$D$3:$L$16,13,FALSE)</f>
        <v>Y</v>
      </c>
      <c r="N22" s="5" t="str">
        <f>HLOOKUP($F22,'[1]Summary - Pricing'!$D$3:$L$16,14,FALSE)</f>
        <v>N</v>
      </c>
      <c r="O22" s="9">
        <f>IF(M22="Y",'[1]Summary - Pricing'!$D$10,0)</f>
        <v>750</v>
      </c>
      <c r="P22" s="9">
        <f>IF(N22="Y",'[1]Summary - Pricing'!$D$13,0)</f>
        <v>0</v>
      </c>
      <c r="Q22" s="9">
        <f>IF(AND(E22&gt;5,E22&lt;16),0,IF(E22&lt;6,'[1]Summary - Pricing'!$D$11,IF('TR 01 Inventory'!E22&gt;15,('TR 01 Inventory'!E22-15)*'[1]Summary - Pricing'!$D$12)))</f>
        <v>250</v>
      </c>
      <c r="R22" s="8">
        <f>SUM(O22:Q22)</f>
        <v>1000</v>
      </c>
      <c r="S22" s="9">
        <f>R22*L22</f>
        <v>4550000</v>
      </c>
      <c r="T22" s="9">
        <v>750000</v>
      </c>
      <c r="U22" s="9">
        <f>HLOOKUP(F22,'[1]Summary - Pricing'!$D$3:$L$20,18,FALSE)*100000</f>
        <v>2250000</v>
      </c>
      <c r="V22" s="9">
        <f>SUM('[1]Summary - Pricing'!$D$18,'[1]Summary - Pricing'!$D$21)*'TR 01 Inventory'!L22</f>
        <v>2871050</v>
      </c>
      <c r="W22" s="9">
        <f>'[1]Summary - Pricing'!$D$7*'TR 01 Inventory'!L22</f>
        <v>61425000</v>
      </c>
      <c r="X22" s="8">
        <f>W22+V22+U22+T22+S22</f>
        <v>71846050</v>
      </c>
    </row>
    <row r="23" spans="2:24" x14ac:dyDescent="0.3">
      <c r="B23" s="21" t="s">
        <v>167</v>
      </c>
      <c r="C23" s="21" t="s">
        <v>166</v>
      </c>
      <c r="D23" s="21" t="s">
        <v>276</v>
      </c>
      <c r="E23" s="10">
        <v>21</v>
      </c>
      <c r="F23" s="10" t="s">
        <v>97</v>
      </c>
      <c r="G23" s="11">
        <v>263.85899999999998</v>
      </c>
      <c r="H23" s="11">
        <v>2840.1518900999995</v>
      </c>
      <c r="I23" s="11">
        <v>592.0145</v>
      </c>
      <c r="J23" s="11">
        <v>358.76100000000002</v>
      </c>
      <c r="K23" s="11">
        <v>3861.6675279000001</v>
      </c>
      <c r="L23" s="10">
        <v>4550</v>
      </c>
      <c r="M23" s="5" t="str">
        <f>HLOOKUP($F23,'[1]Summary - Pricing'!$D$3:$L$16,13,FALSE)</f>
        <v>Y</v>
      </c>
      <c r="N23" s="5" t="str">
        <f>HLOOKUP($F23,'[1]Summary - Pricing'!$D$3:$L$16,14,FALSE)</f>
        <v>N</v>
      </c>
      <c r="O23" s="9">
        <f>IF(M23="Y",'[1]Summary - Pricing'!$D$10,0)</f>
        <v>750</v>
      </c>
      <c r="P23" s="9">
        <f>IF(N23="Y",'[1]Summary - Pricing'!$D$13,0)</f>
        <v>0</v>
      </c>
      <c r="Q23" s="9">
        <f>IF(AND(E23&gt;5,E23&lt;16),0,IF(E23&lt;6,'[1]Summary - Pricing'!$D$11,IF('TR 01 Inventory'!E23&gt;15,('TR 01 Inventory'!E23-15)*'[1]Summary - Pricing'!$D$12)))</f>
        <v>300</v>
      </c>
      <c r="R23" s="8">
        <f>SUM(O23:Q23)</f>
        <v>1050</v>
      </c>
      <c r="S23" s="9">
        <f>R23*L23</f>
        <v>4777500</v>
      </c>
      <c r="T23" s="9">
        <v>750000</v>
      </c>
      <c r="U23" s="9">
        <f>HLOOKUP(F23,'[1]Summary - Pricing'!$D$3:$L$20,18,FALSE)*100000</f>
        <v>2250000</v>
      </c>
      <c r="V23" s="9">
        <f>SUM('[1]Summary - Pricing'!$D$18,'[1]Summary - Pricing'!$D$21)*'TR 01 Inventory'!L23</f>
        <v>2871050</v>
      </c>
      <c r="W23" s="9">
        <f>'[1]Summary - Pricing'!$D$7*'TR 01 Inventory'!L23</f>
        <v>61425000</v>
      </c>
      <c r="X23" s="8">
        <f>W23+V23+U23+T23+S23</f>
        <v>72073550</v>
      </c>
    </row>
    <row r="24" spans="2:24" x14ac:dyDescent="0.3">
      <c r="B24" s="21" t="s">
        <v>167</v>
      </c>
      <c r="C24" s="21" t="s">
        <v>166</v>
      </c>
      <c r="D24" s="21" t="s">
        <v>275</v>
      </c>
      <c r="E24" s="10">
        <v>22</v>
      </c>
      <c r="F24" s="10" t="s">
        <v>97</v>
      </c>
      <c r="G24" s="11">
        <v>263.85899999999998</v>
      </c>
      <c r="H24" s="11">
        <v>2840.1518900999995</v>
      </c>
      <c r="I24" s="11">
        <v>592.0145</v>
      </c>
      <c r="J24" s="11">
        <v>358.76100000000002</v>
      </c>
      <c r="K24" s="11">
        <v>3861.6675279000001</v>
      </c>
      <c r="L24" s="10">
        <v>4550</v>
      </c>
      <c r="M24" s="5" t="str">
        <f>HLOOKUP($F24,'[1]Summary - Pricing'!$D$3:$L$16,13,FALSE)</f>
        <v>Y</v>
      </c>
      <c r="N24" s="5" t="str">
        <f>HLOOKUP($F24,'[1]Summary - Pricing'!$D$3:$L$16,14,FALSE)</f>
        <v>N</v>
      </c>
      <c r="O24" s="9">
        <f>IF(M24="Y",'[1]Summary - Pricing'!$D$10,0)</f>
        <v>750</v>
      </c>
      <c r="P24" s="9">
        <f>IF(N24="Y",'[1]Summary - Pricing'!$D$13,0)</f>
        <v>0</v>
      </c>
      <c r="Q24" s="9">
        <f>IF(AND(E24&gt;5,E24&lt;16),0,IF(E24&lt;6,'[1]Summary - Pricing'!$D$11,IF('TR 01 Inventory'!E24&gt;15,('TR 01 Inventory'!E24-15)*'[1]Summary - Pricing'!$D$12)))</f>
        <v>350</v>
      </c>
      <c r="R24" s="8">
        <f>SUM(O24:Q24)</f>
        <v>1100</v>
      </c>
      <c r="S24" s="9">
        <f>R24*L24</f>
        <v>5005000</v>
      </c>
      <c r="T24" s="9">
        <v>750000</v>
      </c>
      <c r="U24" s="9">
        <f>HLOOKUP(F24,'[1]Summary - Pricing'!$D$3:$L$20,18,FALSE)*100000</f>
        <v>2250000</v>
      </c>
      <c r="V24" s="9">
        <f>SUM('[1]Summary - Pricing'!$D$18,'[1]Summary - Pricing'!$D$21)*'TR 01 Inventory'!L24</f>
        <v>2871050</v>
      </c>
      <c r="W24" s="9">
        <f>'[1]Summary - Pricing'!$D$7*'TR 01 Inventory'!L24</f>
        <v>61425000</v>
      </c>
      <c r="X24" s="8">
        <f>W24+V24+U24+T24+S24</f>
        <v>72301050</v>
      </c>
    </row>
    <row r="25" spans="2:24" x14ac:dyDescent="0.3">
      <c r="B25" s="21" t="s">
        <v>167</v>
      </c>
      <c r="C25" s="21" t="s">
        <v>166</v>
      </c>
      <c r="D25" s="21" t="s">
        <v>274</v>
      </c>
      <c r="E25" s="10">
        <v>23</v>
      </c>
      <c r="F25" s="10" t="s">
        <v>97</v>
      </c>
      <c r="G25" s="11">
        <v>263.85899999999998</v>
      </c>
      <c r="H25" s="11">
        <v>2840.1518900999995</v>
      </c>
      <c r="I25" s="11">
        <v>592.0145</v>
      </c>
      <c r="J25" s="11">
        <v>358.76100000000002</v>
      </c>
      <c r="K25" s="11">
        <v>3861.6675279000001</v>
      </c>
      <c r="L25" s="10">
        <v>4550</v>
      </c>
      <c r="M25" s="5" t="str">
        <f>HLOOKUP($F25,'[1]Summary - Pricing'!$D$3:$L$16,13,FALSE)</f>
        <v>Y</v>
      </c>
      <c r="N25" s="5" t="str">
        <f>HLOOKUP($F25,'[1]Summary - Pricing'!$D$3:$L$16,14,FALSE)</f>
        <v>N</v>
      </c>
      <c r="O25" s="9">
        <f>IF(M25="Y",'[1]Summary - Pricing'!$D$10,0)</f>
        <v>750</v>
      </c>
      <c r="P25" s="9">
        <f>IF(N25="Y",'[1]Summary - Pricing'!$D$13,0)</f>
        <v>0</v>
      </c>
      <c r="Q25" s="9">
        <f>IF(AND(E25&gt;5,E25&lt;16),0,IF(E25&lt;6,'[1]Summary - Pricing'!$D$11,IF('TR 01 Inventory'!E25&gt;15,('TR 01 Inventory'!E25-15)*'[1]Summary - Pricing'!$D$12)))</f>
        <v>400</v>
      </c>
      <c r="R25" s="8">
        <f>SUM(O25:Q25)</f>
        <v>1150</v>
      </c>
      <c r="S25" s="9">
        <f>R25*L25</f>
        <v>5232500</v>
      </c>
      <c r="T25" s="9">
        <v>750000</v>
      </c>
      <c r="U25" s="9">
        <f>HLOOKUP(F25,'[1]Summary - Pricing'!$D$3:$L$20,18,FALSE)*100000</f>
        <v>2250000</v>
      </c>
      <c r="V25" s="9">
        <f>SUM('[1]Summary - Pricing'!$D$18,'[1]Summary - Pricing'!$D$21)*'TR 01 Inventory'!L25</f>
        <v>2871050</v>
      </c>
      <c r="W25" s="9">
        <f>'[1]Summary - Pricing'!$D$7*'TR 01 Inventory'!L25</f>
        <v>61425000</v>
      </c>
      <c r="X25" s="8">
        <f>W25+V25+U25+T25+S25</f>
        <v>72528550</v>
      </c>
    </row>
    <row r="26" spans="2:24" x14ac:dyDescent="0.3">
      <c r="B26" s="21" t="s">
        <v>167</v>
      </c>
      <c r="C26" s="21" t="s">
        <v>166</v>
      </c>
      <c r="D26" s="21" t="s">
        <v>273</v>
      </c>
      <c r="E26" s="10">
        <v>24</v>
      </c>
      <c r="F26" s="10" t="s">
        <v>97</v>
      </c>
      <c r="G26" s="11">
        <v>263.85899999999998</v>
      </c>
      <c r="H26" s="11">
        <v>2840.1518900999995</v>
      </c>
      <c r="I26" s="11">
        <v>592.0145</v>
      </c>
      <c r="J26" s="11">
        <v>358.76100000000002</v>
      </c>
      <c r="K26" s="11">
        <v>3861.6675279000001</v>
      </c>
      <c r="L26" s="10">
        <v>4550</v>
      </c>
      <c r="M26" s="5" t="str">
        <f>HLOOKUP($F26,'[1]Summary - Pricing'!$D$3:$L$16,13,FALSE)</f>
        <v>Y</v>
      </c>
      <c r="N26" s="5" t="str">
        <f>HLOOKUP($F26,'[1]Summary - Pricing'!$D$3:$L$16,14,FALSE)</f>
        <v>N</v>
      </c>
      <c r="O26" s="9">
        <f>IF(M26="Y",'[1]Summary - Pricing'!$D$10,0)</f>
        <v>750</v>
      </c>
      <c r="P26" s="9">
        <f>IF(N26="Y",'[1]Summary - Pricing'!$D$13,0)</f>
        <v>0</v>
      </c>
      <c r="Q26" s="9">
        <f>IF(AND(E26&gt;5,E26&lt;16),0,IF(E26&lt;6,'[1]Summary - Pricing'!$D$11,IF('TR 01 Inventory'!E26&gt;15,('TR 01 Inventory'!E26-15)*'[1]Summary - Pricing'!$D$12)))</f>
        <v>450</v>
      </c>
      <c r="R26" s="8">
        <f>SUM(O26:Q26)</f>
        <v>1200</v>
      </c>
      <c r="S26" s="9">
        <f>R26*L26</f>
        <v>5460000</v>
      </c>
      <c r="T26" s="9">
        <v>750000</v>
      </c>
      <c r="U26" s="9">
        <f>HLOOKUP(F26,'[1]Summary - Pricing'!$D$3:$L$20,18,FALSE)*100000</f>
        <v>2250000</v>
      </c>
      <c r="V26" s="9">
        <f>SUM('[1]Summary - Pricing'!$D$18,'[1]Summary - Pricing'!$D$21)*'TR 01 Inventory'!L26</f>
        <v>2871050</v>
      </c>
      <c r="W26" s="9">
        <f>'[1]Summary - Pricing'!$D$7*'TR 01 Inventory'!L26</f>
        <v>61425000</v>
      </c>
      <c r="X26" s="8">
        <f>W26+V26+U26+T26+S26</f>
        <v>72756050</v>
      </c>
    </row>
    <row r="27" spans="2:24" x14ac:dyDescent="0.3">
      <c r="B27" s="21" t="s">
        <v>167</v>
      </c>
      <c r="C27" s="21" t="s">
        <v>166</v>
      </c>
      <c r="D27" s="21" t="s">
        <v>272</v>
      </c>
      <c r="E27" s="10">
        <v>25</v>
      </c>
      <c r="F27" s="10" t="s">
        <v>97</v>
      </c>
      <c r="G27" s="11">
        <v>263.85899999999998</v>
      </c>
      <c r="H27" s="11">
        <v>2840.1518900999995</v>
      </c>
      <c r="I27" s="11">
        <v>592.0145</v>
      </c>
      <c r="J27" s="11">
        <v>358.76100000000002</v>
      </c>
      <c r="K27" s="11">
        <v>3861.6675279000001</v>
      </c>
      <c r="L27" s="10">
        <v>4550</v>
      </c>
      <c r="M27" s="5" t="str">
        <f>HLOOKUP($F27,'[1]Summary - Pricing'!$D$3:$L$16,13,FALSE)</f>
        <v>Y</v>
      </c>
      <c r="N27" s="5" t="str">
        <f>HLOOKUP($F27,'[1]Summary - Pricing'!$D$3:$L$16,14,FALSE)</f>
        <v>N</v>
      </c>
      <c r="O27" s="9">
        <f>IF(M27="Y",'[1]Summary - Pricing'!$D$10,0)</f>
        <v>750</v>
      </c>
      <c r="P27" s="9">
        <f>IF(N27="Y",'[1]Summary - Pricing'!$D$13,0)</f>
        <v>0</v>
      </c>
      <c r="Q27" s="9">
        <f>IF(AND(E27&gt;5,E27&lt;16),0,IF(E27&lt;6,'[1]Summary - Pricing'!$D$11,IF('TR 01 Inventory'!E27&gt;15,('TR 01 Inventory'!E27-15)*'[1]Summary - Pricing'!$D$12)))</f>
        <v>500</v>
      </c>
      <c r="R27" s="8">
        <f>SUM(O27:Q27)</f>
        <v>1250</v>
      </c>
      <c r="S27" s="9">
        <f>R27*L27</f>
        <v>5687500</v>
      </c>
      <c r="T27" s="9">
        <v>750000</v>
      </c>
      <c r="U27" s="9">
        <f>HLOOKUP(F27,'[1]Summary - Pricing'!$D$3:$L$20,18,FALSE)*100000</f>
        <v>2250000</v>
      </c>
      <c r="V27" s="9">
        <f>SUM('[1]Summary - Pricing'!$D$18,'[1]Summary - Pricing'!$D$21)*'TR 01 Inventory'!L27</f>
        <v>2871050</v>
      </c>
      <c r="W27" s="9">
        <f>'[1]Summary - Pricing'!$D$7*'TR 01 Inventory'!L27</f>
        <v>61425000</v>
      </c>
      <c r="X27" s="8">
        <f>W27+V27+U27+T27+S27</f>
        <v>72983550</v>
      </c>
    </row>
    <row r="28" spans="2:24" x14ac:dyDescent="0.3">
      <c r="B28" s="21" t="s">
        <v>167</v>
      </c>
      <c r="C28" s="21" t="s">
        <v>166</v>
      </c>
      <c r="D28" s="21" t="s">
        <v>271</v>
      </c>
      <c r="E28" s="10">
        <v>26</v>
      </c>
      <c r="F28" s="10" t="s">
        <v>97</v>
      </c>
      <c r="G28" s="11">
        <v>263.85899999999998</v>
      </c>
      <c r="H28" s="11">
        <v>2840.1518900999995</v>
      </c>
      <c r="I28" s="11">
        <v>592.0145</v>
      </c>
      <c r="J28" s="11">
        <v>358.76100000000002</v>
      </c>
      <c r="K28" s="11">
        <v>3861.6675279000001</v>
      </c>
      <c r="L28" s="10">
        <v>4550</v>
      </c>
      <c r="M28" s="5" t="str">
        <f>HLOOKUP($F28,'[1]Summary - Pricing'!$D$3:$L$16,13,FALSE)</f>
        <v>Y</v>
      </c>
      <c r="N28" s="5" t="str">
        <f>HLOOKUP($F28,'[1]Summary - Pricing'!$D$3:$L$16,14,FALSE)</f>
        <v>N</v>
      </c>
      <c r="O28" s="9">
        <f>IF(M28="Y",'[1]Summary - Pricing'!$D$10,0)</f>
        <v>750</v>
      </c>
      <c r="P28" s="9">
        <f>IF(N28="Y",'[1]Summary - Pricing'!$D$13,0)</f>
        <v>0</v>
      </c>
      <c r="Q28" s="9">
        <f>IF(AND(E28&gt;5,E28&lt;16),0,IF(E28&lt;6,'[1]Summary - Pricing'!$D$11,IF('TR 01 Inventory'!E28&gt;15,('TR 01 Inventory'!E28-15)*'[1]Summary - Pricing'!$D$12)))</f>
        <v>550</v>
      </c>
      <c r="R28" s="8">
        <f>SUM(O28:Q28)</f>
        <v>1300</v>
      </c>
      <c r="S28" s="9">
        <f>R28*L28</f>
        <v>5915000</v>
      </c>
      <c r="T28" s="9">
        <v>750000</v>
      </c>
      <c r="U28" s="9">
        <f>HLOOKUP(F28,'[1]Summary - Pricing'!$D$3:$L$20,18,FALSE)*100000</f>
        <v>2250000</v>
      </c>
      <c r="V28" s="9">
        <f>SUM('[1]Summary - Pricing'!$D$18,'[1]Summary - Pricing'!$D$21)*'TR 01 Inventory'!L28</f>
        <v>2871050</v>
      </c>
      <c r="W28" s="9">
        <f>'[1]Summary - Pricing'!$D$7*'TR 01 Inventory'!L28</f>
        <v>61425000</v>
      </c>
      <c r="X28" s="8">
        <f>W28+V28+U28+T28+S28</f>
        <v>73211050</v>
      </c>
    </row>
    <row r="29" spans="2:24" x14ac:dyDescent="0.3">
      <c r="B29" s="21" t="s">
        <v>167</v>
      </c>
      <c r="C29" s="21" t="s">
        <v>166</v>
      </c>
      <c r="D29" s="21" t="s">
        <v>270</v>
      </c>
      <c r="E29" s="10">
        <v>27</v>
      </c>
      <c r="F29" s="10" t="s">
        <v>97</v>
      </c>
      <c r="G29" s="11">
        <v>263.85899999999998</v>
      </c>
      <c r="H29" s="11">
        <v>2840.1518900999995</v>
      </c>
      <c r="I29" s="11">
        <v>592.0145</v>
      </c>
      <c r="J29" s="11">
        <v>358.76100000000002</v>
      </c>
      <c r="K29" s="11">
        <v>3861.6675279000001</v>
      </c>
      <c r="L29" s="10">
        <v>4550</v>
      </c>
      <c r="M29" s="5" t="str">
        <f>HLOOKUP($F29,'[1]Summary - Pricing'!$D$3:$L$16,13,FALSE)</f>
        <v>Y</v>
      </c>
      <c r="N29" s="5" t="str">
        <f>HLOOKUP($F29,'[1]Summary - Pricing'!$D$3:$L$16,14,FALSE)</f>
        <v>N</v>
      </c>
      <c r="O29" s="9">
        <f>IF(M29="Y",'[1]Summary - Pricing'!$D$10,0)</f>
        <v>750</v>
      </c>
      <c r="P29" s="9">
        <f>IF(N29="Y",'[1]Summary - Pricing'!$D$13,0)</f>
        <v>0</v>
      </c>
      <c r="Q29" s="9">
        <f>IF(AND(E29&gt;5,E29&lt;16),0,IF(E29&lt;6,'[1]Summary - Pricing'!$D$11,IF('TR 01 Inventory'!E29&gt;15,('TR 01 Inventory'!E29-15)*'[1]Summary - Pricing'!$D$12)))</f>
        <v>600</v>
      </c>
      <c r="R29" s="8">
        <f>SUM(O29:Q29)</f>
        <v>1350</v>
      </c>
      <c r="S29" s="9">
        <f>R29*L29</f>
        <v>6142500</v>
      </c>
      <c r="T29" s="9">
        <v>750000</v>
      </c>
      <c r="U29" s="9">
        <f>HLOOKUP(F29,'[1]Summary - Pricing'!$D$3:$L$20,18,FALSE)*100000</f>
        <v>2250000</v>
      </c>
      <c r="V29" s="9">
        <f>SUM('[1]Summary - Pricing'!$D$18,'[1]Summary - Pricing'!$D$21)*'TR 01 Inventory'!L29</f>
        <v>2871050</v>
      </c>
      <c r="W29" s="9">
        <f>'[1]Summary - Pricing'!$D$7*'TR 01 Inventory'!L29</f>
        <v>61425000</v>
      </c>
      <c r="X29" s="8">
        <f>W29+V29+U29+T29+S29</f>
        <v>73438550</v>
      </c>
    </row>
    <row r="30" spans="2:24" x14ac:dyDescent="0.3">
      <c r="B30" s="21" t="s">
        <v>167</v>
      </c>
      <c r="C30" s="21" t="s">
        <v>166</v>
      </c>
      <c r="D30" s="21" t="s">
        <v>269</v>
      </c>
      <c r="E30" s="10">
        <v>28</v>
      </c>
      <c r="F30" s="10" t="s">
        <v>97</v>
      </c>
      <c r="G30" s="11">
        <v>263.85899999999998</v>
      </c>
      <c r="H30" s="11">
        <v>2840.1518900999995</v>
      </c>
      <c r="I30" s="11">
        <v>592.0145</v>
      </c>
      <c r="J30" s="11">
        <v>358.76100000000002</v>
      </c>
      <c r="K30" s="11">
        <v>3861.6675279000001</v>
      </c>
      <c r="L30" s="10">
        <v>4550</v>
      </c>
      <c r="M30" s="5" t="str">
        <f>HLOOKUP($F30,'[1]Summary - Pricing'!$D$3:$L$16,13,FALSE)</f>
        <v>Y</v>
      </c>
      <c r="N30" s="5" t="str">
        <f>HLOOKUP($F30,'[1]Summary - Pricing'!$D$3:$L$16,14,FALSE)</f>
        <v>N</v>
      </c>
      <c r="O30" s="9">
        <f>IF(M30="Y",'[1]Summary - Pricing'!$D$10,0)</f>
        <v>750</v>
      </c>
      <c r="P30" s="9">
        <f>IF(N30="Y",'[1]Summary - Pricing'!$D$13,0)</f>
        <v>0</v>
      </c>
      <c r="Q30" s="9">
        <f>IF(AND(E30&gt;5,E30&lt;16),0,IF(E30&lt;6,'[1]Summary - Pricing'!$D$11,IF('TR 01 Inventory'!E30&gt;15,('TR 01 Inventory'!E30-15)*'[1]Summary - Pricing'!$D$12)))</f>
        <v>650</v>
      </c>
      <c r="R30" s="8">
        <f>SUM(O30:Q30)</f>
        <v>1400</v>
      </c>
      <c r="S30" s="9">
        <f>R30*L30</f>
        <v>6370000</v>
      </c>
      <c r="T30" s="9">
        <v>750000</v>
      </c>
      <c r="U30" s="9">
        <f>HLOOKUP(F30,'[1]Summary - Pricing'!$D$3:$L$20,18,FALSE)*100000</f>
        <v>2250000</v>
      </c>
      <c r="V30" s="9">
        <f>SUM('[1]Summary - Pricing'!$D$18,'[1]Summary - Pricing'!$D$21)*'TR 01 Inventory'!L30</f>
        <v>2871050</v>
      </c>
      <c r="W30" s="9">
        <f>'[1]Summary - Pricing'!$D$7*'TR 01 Inventory'!L30</f>
        <v>61425000</v>
      </c>
      <c r="X30" s="8">
        <f>W30+V30+U30+T30+S30</f>
        <v>73666050</v>
      </c>
    </row>
    <row r="31" spans="2:24" x14ac:dyDescent="0.3">
      <c r="B31" s="21" t="s">
        <v>167</v>
      </c>
      <c r="C31" s="21" t="s">
        <v>166</v>
      </c>
      <c r="D31" s="21" t="s">
        <v>268</v>
      </c>
      <c r="E31" s="10">
        <v>29</v>
      </c>
      <c r="F31" s="10" t="s">
        <v>97</v>
      </c>
      <c r="G31" s="11">
        <v>263.85899999999998</v>
      </c>
      <c r="H31" s="11">
        <v>2840.1518900999995</v>
      </c>
      <c r="I31" s="11">
        <v>592.0145</v>
      </c>
      <c r="J31" s="11">
        <v>358.76100000000002</v>
      </c>
      <c r="K31" s="11">
        <v>3861.6675279000001</v>
      </c>
      <c r="L31" s="10">
        <v>4550</v>
      </c>
      <c r="M31" s="5" t="str">
        <f>HLOOKUP($F31,'[1]Summary - Pricing'!$D$3:$L$16,13,FALSE)</f>
        <v>Y</v>
      </c>
      <c r="N31" s="5" t="str">
        <f>HLOOKUP($F31,'[1]Summary - Pricing'!$D$3:$L$16,14,FALSE)</f>
        <v>N</v>
      </c>
      <c r="O31" s="9">
        <f>IF(M31="Y",'[1]Summary - Pricing'!$D$10,0)</f>
        <v>750</v>
      </c>
      <c r="P31" s="9">
        <f>IF(N31="Y",'[1]Summary - Pricing'!$D$13,0)</f>
        <v>0</v>
      </c>
      <c r="Q31" s="9">
        <f>IF(AND(E31&gt;5,E31&lt;16),0,IF(E31&lt;6,'[1]Summary - Pricing'!$D$11,IF('TR 01 Inventory'!E31&gt;15,('TR 01 Inventory'!E31-15)*'[1]Summary - Pricing'!$D$12)))</f>
        <v>700</v>
      </c>
      <c r="R31" s="8">
        <f>SUM(O31:Q31)</f>
        <v>1450</v>
      </c>
      <c r="S31" s="9">
        <f>R31*L31</f>
        <v>6597500</v>
      </c>
      <c r="T31" s="9">
        <v>750000</v>
      </c>
      <c r="U31" s="9">
        <f>HLOOKUP(F31,'[1]Summary - Pricing'!$D$3:$L$20,18,FALSE)*100000</f>
        <v>2250000</v>
      </c>
      <c r="V31" s="9">
        <f>SUM('[1]Summary - Pricing'!$D$18,'[1]Summary - Pricing'!$D$21)*'TR 01 Inventory'!L31</f>
        <v>2871050</v>
      </c>
      <c r="W31" s="9">
        <f>'[1]Summary - Pricing'!$D$7*'TR 01 Inventory'!L31</f>
        <v>61425000</v>
      </c>
      <c r="X31" s="8">
        <f>W31+V31+U31+T31+S31</f>
        <v>73893550</v>
      </c>
    </row>
    <row r="32" spans="2:24" x14ac:dyDescent="0.3">
      <c r="B32" s="21" t="s">
        <v>167</v>
      </c>
      <c r="C32" s="21" t="s">
        <v>166</v>
      </c>
      <c r="D32" s="21" t="s">
        <v>267</v>
      </c>
      <c r="E32" s="10">
        <v>30</v>
      </c>
      <c r="F32" s="10" t="s">
        <v>97</v>
      </c>
      <c r="G32" s="11">
        <v>263.85899999999998</v>
      </c>
      <c r="H32" s="11">
        <v>2840.1518900999995</v>
      </c>
      <c r="I32" s="11">
        <v>592.0145</v>
      </c>
      <c r="J32" s="11">
        <v>358.76100000000002</v>
      </c>
      <c r="K32" s="11">
        <v>3861.6675279000001</v>
      </c>
      <c r="L32" s="10">
        <v>4550</v>
      </c>
      <c r="M32" s="5" t="str">
        <f>HLOOKUP($F32,'[1]Summary - Pricing'!$D$3:$L$16,13,FALSE)</f>
        <v>Y</v>
      </c>
      <c r="N32" s="5" t="str">
        <f>HLOOKUP($F32,'[1]Summary - Pricing'!$D$3:$L$16,14,FALSE)</f>
        <v>N</v>
      </c>
      <c r="O32" s="9">
        <f>IF(M32="Y",'[1]Summary - Pricing'!$D$10,0)</f>
        <v>750</v>
      </c>
      <c r="P32" s="9">
        <f>IF(N32="Y",'[1]Summary - Pricing'!$D$13,0)</f>
        <v>0</v>
      </c>
      <c r="Q32" s="9">
        <f>IF(AND(E32&gt;5,E32&lt;16),0,IF(E32&lt;6,'[1]Summary - Pricing'!$D$11,IF('TR 01 Inventory'!E32&gt;15,('TR 01 Inventory'!E32-15)*'[1]Summary - Pricing'!$D$12)))</f>
        <v>750</v>
      </c>
      <c r="R32" s="8">
        <f>SUM(O32:Q32)</f>
        <v>1500</v>
      </c>
      <c r="S32" s="9">
        <f>R32*L32</f>
        <v>6825000</v>
      </c>
      <c r="T32" s="9">
        <v>750000</v>
      </c>
      <c r="U32" s="9">
        <f>HLOOKUP(F32,'[1]Summary - Pricing'!$D$3:$L$20,18,FALSE)*100000</f>
        <v>2250000</v>
      </c>
      <c r="V32" s="9">
        <f>SUM('[1]Summary - Pricing'!$D$18,'[1]Summary - Pricing'!$D$21)*'TR 01 Inventory'!L32</f>
        <v>2871050</v>
      </c>
      <c r="W32" s="9">
        <f>'[1]Summary - Pricing'!$D$7*'TR 01 Inventory'!L32</f>
        <v>61425000</v>
      </c>
      <c r="X32" s="8">
        <f>W32+V32+U32+T32+S32</f>
        <v>74121050</v>
      </c>
    </row>
    <row r="33" spans="2:24" x14ac:dyDescent="0.3">
      <c r="B33" s="21" t="s">
        <v>167</v>
      </c>
      <c r="C33" s="21" t="s">
        <v>166</v>
      </c>
      <c r="D33" s="21" t="s">
        <v>266</v>
      </c>
      <c r="E33" s="10">
        <v>31</v>
      </c>
      <c r="F33" s="10" t="s">
        <v>97</v>
      </c>
      <c r="G33" s="11">
        <v>263.85899999999998</v>
      </c>
      <c r="H33" s="11">
        <v>2840.1518900999995</v>
      </c>
      <c r="I33" s="11">
        <v>592.0145</v>
      </c>
      <c r="J33" s="11">
        <v>358.76100000000002</v>
      </c>
      <c r="K33" s="11">
        <v>3861.6675279000001</v>
      </c>
      <c r="L33" s="10">
        <v>4550</v>
      </c>
      <c r="M33" s="5" t="str">
        <f>HLOOKUP($F33,'[1]Summary - Pricing'!$D$3:$L$16,13,FALSE)</f>
        <v>Y</v>
      </c>
      <c r="N33" s="5" t="str">
        <f>HLOOKUP($F33,'[1]Summary - Pricing'!$D$3:$L$16,14,FALSE)</f>
        <v>N</v>
      </c>
      <c r="O33" s="9">
        <f>IF(M33="Y",'[1]Summary - Pricing'!$D$10,0)</f>
        <v>750</v>
      </c>
      <c r="P33" s="9">
        <f>IF(N33="Y",'[1]Summary - Pricing'!$D$13,0)</f>
        <v>0</v>
      </c>
      <c r="Q33" s="9">
        <f>IF(AND(E33&gt;5,E33&lt;16),0,IF(E33&lt;6,'[1]Summary - Pricing'!$D$11,IF('TR 01 Inventory'!E33&gt;15,('TR 01 Inventory'!E33-15)*'[1]Summary - Pricing'!$D$12)))</f>
        <v>800</v>
      </c>
      <c r="R33" s="8">
        <f>SUM(O33:Q33)</f>
        <v>1550</v>
      </c>
      <c r="S33" s="9">
        <f>R33*L33</f>
        <v>7052500</v>
      </c>
      <c r="T33" s="9">
        <v>750000</v>
      </c>
      <c r="U33" s="9">
        <f>HLOOKUP(F33,'[1]Summary - Pricing'!$D$3:$L$20,18,FALSE)*100000</f>
        <v>2250000</v>
      </c>
      <c r="V33" s="9">
        <f>SUM('[1]Summary - Pricing'!$D$18,'[1]Summary - Pricing'!$D$21)*'TR 01 Inventory'!L33</f>
        <v>2871050</v>
      </c>
      <c r="W33" s="9">
        <f>'[1]Summary - Pricing'!$D$7*'TR 01 Inventory'!L33</f>
        <v>61425000</v>
      </c>
      <c r="X33" s="8">
        <f>W33+V33+U33+T33+S33</f>
        <v>74348550</v>
      </c>
    </row>
    <row r="34" spans="2:24" x14ac:dyDescent="0.3">
      <c r="B34" s="21" t="s">
        <v>167</v>
      </c>
      <c r="C34" s="21" t="s">
        <v>166</v>
      </c>
      <c r="D34" s="21" t="s">
        <v>265</v>
      </c>
      <c r="E34" s="10">
        <v>32</v>
      </c>
      <c r="F34" s="10" t="s">
        <v>97</v>
      </c>
      <c r="G34" s="11">
        <v>263.85899999999998</v>
      </c>
      <c r="H34" s="11">
        <v>2840.1518900999995</v>
      </c>
      <c r="I34" s="11">
        <v>592.0145</v>
      </c>
      <c r="J34" s="11">
        <v>358.76100000000002</v>
      </c>
      <c r="K34" s="11">
        <v>3861.6675279000001</v>
      </c>
      <c r="L34" s="10">
        <v>4550</v>
      </c>
      <c r="M34" s="5" t="str">
        <f>HLOOKUP($F34,'[1]Summary - Pricing'!$D$3:$L$16,13,FALSE)</f>
        <v>Y</v>
      </c>
      <c r="N34" s="5" t="str">
        <f>HLOOKUP($F34,'[1]Summary - Pricing'!$D$3:$L$16,14,FALSE)</f>
        <v>N</v>
      </c>
      <c r="O34" s="9">
        <f>IF(M34="Y",'[1]Summary - Pricing'!$D$10,0)</f>
        <v>750</v>
      </c>
      <c r="P34" s="9">
        <f>IF(N34="Y",'[1]Summary - Pricing'!$D$13,0)</f>
        <v>0</v>
      </c>
      <c r="Q34" s="9">
        <f>IF(AND(E34&gt;5,E34&lt;16),0,IF(E34&lt;6,'[1]Summary - Pricing'!$D$11,IF('TR 01 Inventory'!E34&gt;15,('TR 01 Inventory'!E34-15)*'[1]Summary - Pricing'!$D$12)))</f>
        <v>850</v>
      </c>
      <c r="R34" s="8">
        <f>SUM(O34:Q34)</f>
        <v>1600</v>
      </c>
      <c r="S34" s="9">
        <f>R34*L34</f>
        <v>7280000</v>
      </c>
      <c r="T34" s="9">
        <v>750000</v>
      </c>
      <c r="U34" s="9">
        <f>HLOOKUP(F34,'[1]Summary - Pricing'!$D$3:$L$20,18,FALSE)*100000</f>
        <v>2250000</v>
      </c>
      <c r="V34" s="9">
        <f>SUM('[1]Summary - Pricing'!$D$18,'[1]Summary - Pricing'!$D$21)*'TR 01 Inventory'!L34</f>
        <v>2871050</v>
      </c>
      <c r="W34" s="9">
        <f>'[1]Summary - Pricing'!$D$7*'TR 01 Inventory'!L34</f>
        <v>61425000</v>
      </c>
      <c r="X34" s="8">
        <f>W34+V34+U34+T34+S34</f>
        <v>74576050</v>
      </c>
    </row>
    <row r="35" spans="2:24" x14ac:dyDescent="0.3">
      <c r="B35" s="21" t="s">
        <v>167</v>
      </c>
      <c r="C35" s="21" t="s">
        <v>166</v>
      </c>
      <c r="D35" s="21" t="s">
        <v>264</v>
      </c>
      <c r="E35" s="10">
        <v>33</v>
      </c>
      <c r="F35" s="10" t="s">
        <v>97</v>
      </c>
      <c r="G35" s="11">
        <v>263.85899999999998</v>
      </c>
      <c r="H35" s="11">
        <v>2840.1518900999995</v>
      </c>
      <c r="I35" s="11">
        <v>592.0145</v>
      </c>
      <c r="J35" s="11">
        <v>358.76100000000002</v>
      </c>
      <c r="K35" s="11">
        <v>3861.6675279000001</v>
      </c>
      <c r="L35" s="10">
        <v>4550</v>
      </c>
      <c r="M35" s="5" t="str">
        <f>HLOOKUP($F35,'[1]Summary - Pricing'!$D$3:$L$16,13,FALSE)</f>
        <v>Y</v>
      </c>
      <c r="N35" s="5" t="str">
        <f>HLOOKUP($F35,'[1]Summary - Pricing'!$D$3:$L$16,14,FALSE)</f>
        <v>N</v>
      </c>
      <c r="O35" s="9">
        <f>IF(M35="Y",'[1]Summary - Pricing'!$D$10,0)</f>
        <v>750</v>
      </c>
      <c r="P35" s="9">
        <f>IF(N35="Y",'[1]Summary - Pricing'!$D$13,0)</f>
        <v>0</v>
      </c>
      <c r="Q35" s="9">
        <f>IF(AND(E35&gt;5,E35&lt;16),0,IF(E35&lt;6,'[1]Summary - Pricing'!$D$11,IF('TR 01 Inventory'!E35&gt;15,('TR 01 Inventory'!E35-15)*'[1]Summary - Pricing'!$D$12)))</f>
        <v>900</v>
      </c>
      <c r="R35" s="8">
        <f>SUM(O35:Q35)</f>
        <v>1650</v>
      </c>
      <c r="S35" s="9">
        <f>R35*L35</f>
        <v>7507500</v>
      </c>
      <c r="T35" s="9">
        <v>750000</v>
      </c>
      <c r="U35" s="9">
        <f>HLOOKUP(F35,'[1]Summary - Pricing'!$D$3:$L$20,18,FALSE)*100000</f>
        <v>2250000</v>
      </c>
      <c r="V35" s="9">
        <f>SUM('[1]Summary - Pricing'!$D$18,'[1]Summary - Pricing'!$D$21)*'TR 01 Inventory'!L35</f>
        <v>2871050</v>
      </c>
      <c r="W35" s="9">
        <f>'[1]Summary - Pricing'!$D$7*'TR 01 Inventory'!L35</f>
        <v>61425000</v>
      </c>
      <c r="X35" s="8">
        <f>W35+V35+U35+T35+S35</f>
        <v>74803550</v>
      </c>
    </row>
    <row r="36" spans="2:24" x14ac:dyDescent="0.3">
      <c r="B36" s="21" t="s">
        <v>167</v>
      </c>
      <c r="C36" s="21" t="s">
        <v>166</v>
      </c>
      <c r="D36" s="21" t="s">
        <v>263</v>
      </c>
      <c r="E36" s="10">
        <v>34</v>
      </c>
      <c r="F36" s="10" t="s">
        <v>97</v>
      </c>
      <c r="G36" s="11">
        <v>263.85899999999998</v>
      </c>
      <c r="H36" s="11">
        <v>2840.1518900999995</v>
      </c>
      <c r="I36" s="11">
        <v>592.0145</v>
      </c>
      <c r="J36" s="11">
        <v>358.76100000000002</v>
      </c>
      <c r="K36" s="11">
        <v>3861.6675279000001</v>
      </c>
      <c r="L36" s="10">
        <v>4550</v>
      </c>
      <c r="M36" s="5" t="str">
        <f>HLOOKUP($F36,'[1]Summary - Pricing'!$D$3:$L$16,13,FALSE)</f>
        <v>Y</v>
      </c>
      <c r="N36" s="5" t="str">
        <f>HLOOKUP($F36,'[1]Summary - Pricing'!$D$3:$L$16,14,FALSE)</f>
        <v>N</v>
      </c>
      <c r="O36" s="9">
        <f>IF(M36="Y",'[1]Summary - Pricing'!$D$10,0)</f>
        <v>750</v>
      </c>
      <c r="P36" s="9">
        <f>IF(N36="Y",'[1]Summary - Pricing'!$D$13,0)</f>
        <v>0</v>
      </c>
      <c r="Q36" s="9">
        <f>IF(AND(E36&gt;5,E36&lt;16),0,IF(E36&lt;6,'[1]Summary - Pricing'!$D$11,IF('TR 01 Inventory'!E36&gt;15,('TR 01 Inventory'!E36-15)*'[1]Summary - Pricing'!$D$12)))</f>
        <v>950</v>
      </c>
      <c r="R36" s="8">
        <f>SUM(O36:Q36)</f>
        <v>1700</v>
      </c>
      <c r="S36" s="9">
        <f>R36*L36</f>
        <v>7735000</v>
      </c>
      <c r="T36" s="9">
        <v>750000</v>
      </c>
      <c r="U36" s="9">
        <f>HLOOKUP(F36,'[1]Summary - Pricing'!$D$3:$L$20,18,FALSE)*100000</f>
        <v>2250000</v>
      </c>
      <c r="V36" s="9">
        <f>SUM('[1]Summary - Pricing'!$D$18,'[1]Summary - Pricing'!$D$21)*'TR 01 Inventory'!L36</f>
        <v>2871050</v>
      </c>
      <c r="W36" s="9">
        <f>'[1]Summary - Pricing'!$D$7*'TR 01 Inventory'!L36</f>
        <v>61425000</v>
      </c>
      <c r="X36" s="8">
        <f>W36+V36+U36+T36+S36</f>
        <v>75031050</v>
      </c>
    </row>
    <row r="37" spans="2:24" x14ac:dyDescent="0.3">
      <c r="B37" s="21" t="s">
        <v>167</v>
      </c>
      <c r="C37" s="21" t="s">
        <v>166</v>
      </c>
      <c r="D37" s="21" t="s">
        <v>262</v>
      </c>
      <c r="E37" s="10">
        <v>35</v>
      </c>
      <c r="F37" s="10" t="s">
        <v>97</v>
      </c>
      <c r="G37" s="11">
        <v>263.85899999999998</v>
      </c>
      <c r="H37" s="11">
        <v>2840.1518900999995</v>
      </c>
      <c r="I37" s="11">
        <v>592.0145</v>
      </c>
      <c r="J37" s="11">
        <v>358.76100000000002</v>
      </c>
      <c r="K37" s="11">
        <v>3861.6675279000001</v>
      </c>
      <c r="L37" s="10">
        <v>4550</v>
      </c>
      <c r="M37" s="5" t="str">
        <f>HLOOKUP($F37,'[1]Summary - Pricing'!$D$3:$L$16,13,FALSE)</f>
        <v>Y</v>
      </c>
      <c r="N37" s="5" t="str">
        <f>HLOOKUP($F37,'[1]Summary - Pricing'!$D$3:$L$16,14,FALSE)</f>
        <v>N</v>
      </c>
      <c r="O37" s="9">
        <f>IF(M37="Y",'[1]Summary - Pricing'!$D$10,0)</f>
        <v>750</v>
      </c>
      <c r="P37" s="9">
        <f>IF(N37="Y",'[1]Summary - Pricing'!$D$13,0)</f>
        <v>0</v>
      </c>
      <c r="Q37" s="9">
        <f>IF(AND(E37&gt;5,E37&lt;16),0,IF(E37&lt;6,'[1]Summary - Pricing'!$D$11,IF('TR 01 Inventory'!E37&gt;15,('TR 01 Inventory'!E37-15)*'[1]Summary - Pricing'!$D$12)))</f>
        <v>1000</v>
      </c>
      <c r="R37" s="8">
        <f>SUM(O37:Q37)</f>
        <v>1750</v>
      </c>
      <c r="S37" s="9">
        <f>R37*L37</f>
        <v>7962500</v>
      </c>
      <c r="T37" s="9">
        <v>750000</v>
      </c>
      <c r="U37" s="9">
        <f>HLOOKUP(F37,'[1]Summary - Pricing'!$D$3:$L$20,18,FALSE)*100000</f>
        <v>2250000</v>
      </c>
      <c r="V37" s="9">
        <f>SUM('[1]Summary - Pricing'!$D$18,'[1]Summary - Pricing'!$D$21)*'TR 01 Inventory'!L37</f>
        <v>2871050</v>
      </c>
      <c r="W37" s="9">
        <f>'[1]Summary - Pricing'!$D$7*'TR 01 Inventory'!L37</f>
        <v>61425000</v>
      </c>
      <c r="X37" s="8">
        <f>W37+V37+U37+T37+S37</f>
        <v>75258550</v>
      </c>
    </row>
    <row r="38" spans="2:24" x14ac:dyDescent="0.3">
      <c r="B38" s="21" t="s">
        <v>167</v>
      </c>
      <c r="C38" s="21" t="s">
        <v>166</v>
      </c>
      <c r="D38" s="21" t="s">
        <v>261</v>
      </c>
      <c r="E38" s="10">
        <v>36</v>
      </c>
      <c r="F38" s="10" t="s">
        <v>97</v>
      </c>
      <c r="G38" s="11">
        <v>263.85899999999998</v>
      </c>
      <c r="H38" s="11">
        <v>2840.1518900999995</v>
      </c>
      <c r="I38" s="11">
        <v>592.0145</v>
      </c>
      <c r="J38" s="11">
        <v>358.76100000000002</v>
      </c>
      <c r="K38" s="11">
        <v>3861.6675279000001</v>
      </c>
      <c r="L38" s="10">
        <v>4550</v>
      </c>
      <c r="M38" s="5" t="str">
        <f>HLOOKUP($F38,'[1]Summary - Pricing'!$D$3:$L$16,13,FALSE)</f>
        <v>Y</v>
      </c>
      <c r="N38" s="5" t="str">
        <f>HLOOKUP($F38,'[1]Summary - Pricing'!$D$3:$L$16,14,FALSE)</f>
        <v>N</v>
      </c>
      <c r="O38" s="9">
        <f>IF(M38="Y",'[1]Summary - Pricing'!$D$10,0)</f>
        <v>750</v>
      </c>
      <c r="P38" s="9">
        <f>IF(N38="Y",'[1]Summary - Pricing'!$D$13,0)</f>
        <v>0</v>
      </c>
      <c r="Q38" s="9">
        <f>IF(AND(E38&gt;5,E38&lt;16),0,IF(E38&lt;6,'[1]Summary - Pricing'!$D$11,IF('TR 01 Inventory'!E38&gt;15,('TR 01 Inventory'!E38-15)*'[1]Summary - Pricing'!$D$12)))</f>
        <v>1050</v>
      </c>
      <c r="R38" s="8">
        <f>SUM(O38:Q38)</f>
        <v>1800</v>
      </c>
      <c r="S38" s="9">
        <f>R38*L38</f>
        <v>8190000</v>
      </c>
      <c r="T38" s="9">
        <v>750000</v>
      </c>
      <c r="U38" s="9">
        <f>HLOOKUP(F38,'[1]Summary - Pricing'!$D$3:$L$20,18,FALSE)*100000</f>
        <v>2250000</v>
      </c>
      <c r="V38" s="9">
        <f>SUM('[1]Summary - Pricing'!$D$18,'[1]Summary - Pricing'!$D$21)*'TR 01 Inventory'!L38</f>
        <v>2871050</v>
      </c>
      <c r="W38" s="9">
        <f>'[1]Summary - Pricing'!$D$7*'TR 01 Inventory'!L38</f>
        <v>61425000</v>
      </c>
      <c r="X38" s="8">
        <f>W38+V38+U38+T38+S38</f>
        <v>75486050</v>
      </c>
    </row>
    <row r="39" spans="2:24" x14ac:dyDescent="0.3">
      <c r="B39" s="21" t="s">
        <v>167</v>
      </c>
      <c r="C39" s="21" t="s">
        <v>166</v>
      </c>
      <c r="D39" s="21" t="s">
        <v>260</v>
      </c>
      <c r="E39" s="10">
        <v>37</v>
      </c>
      <c r="F39" s="10" t="s">
        <v>97</v>
      </c>
      <c r="G39" s="11">
        <v>263.85899999999998</v>
      </c>
      <c r="H39" s="11">
        <v>2840.1518900999995</v>
      </c>
      <c r="I39" s="11">
        <v>592.0145</v>
      </c>
      <c r="J39" s="11">
        <v>358.76100000000002</v>
      </c>
      <c r="K39" s="11">
        <v>3861.6675279000001</v>
      </c>
      <c r="L39" s="10">
        <v>4550</v>
      </c>
      <c r="M39" s="5" t="str">
        <f>HLOOKUP($F39,'[1]Summary - Pricing'!$D$3:$L$16,13,FALSE)</f>
        <v>Y</v>
      </c>
      <c r="N39" s="5" t="str">
        <f>HLOOKUP($F39,'[1]Summary - Pricing'!$D$3:$L$16,14,FALSE)</f>
        <v>N</v>
      </c>
      <c r="O39" s="9">
        <f>IF(M39="Y",'[1]Summary - Pricing'!$D$10,0)</f>
        <v>750</v>
      </c>
      <c r="P39" s="9">
        <f>IF(N39="Y",'[1]Summary - Pricing'!$D$13,0)</f>
        <v>0</v>
      </c>
      <c r="Q39" s="9">
        <f>IF(AND(E39&gt;5,E39&lt;16),0,IF(E39&lt;6,'[1]Summary - Pricing'!$D$11,IF('TR 01 Inventory'!E39&gt;15,('TR 01 Inventory'!E39-15)*'[1]Summary - Pricing'!$D$12)))</f>
        <v>1100</v>
      </c>
      <c r="R39" s="8">
        <f>SUM(O39:Q39)</f>
        <v>1850</v>
      </c>
      <c r="S39" s="9">
        <f>R39*L39</f>
        <v>8417500</v>
      </c>
      <c r="T39" s="9">
        <v>750000</v>
      </c>
      <c r="U39" s="9">
        <f>HLOOKUP(F39,'[1]Summary - Pricing'!$D$3:$L$20,18,FALSE)*100000</f>
        <v>2250000</v>
      </c>
      <c r="V39" s="9">
        <f>SUM('[1]Summary - Pricing'!$D$18,'[1]Summary - Pricing'!$D$21)*'TR 01 Inventory'!L39</f>
        <v>2871050</v>
      </c>
      <c r="W39" s="9">
        <f>'[1]Summary - Pricing'!$D$7*'TR 01 Inventory'!L39</f>
        <v>61425000</v>
      </c>
      <c r="X39" s="8">
        <f>W39+V39+U39+T39+S39</f>
        <v>75713550</v>
      </c>
    </row>
    <row r="40" spans="2:24" x14ac:dyDescent="0.3">
      <c r="B40" s="21" t="s">
        <v>167</v>
      </c>
      <c r="C40" s="21" t="s">
        <v>166</v>
      </c>
      <c r="D40" s="21" t="s">
        <v>259</v>
      </c>
      <c r="E40" s="10">
        <v>38</v>
      </c>
      <c r="F40" s="10" t="s">
        <v>97</v>
      </c>
      <c r="G40" s="11">
        <v>263.85899999999998</v>
      </c>
      <c r="H40" s="11">
        <v>2840.1518900999995</v>
      </c>
      <c r="I40" s="11">
        <v>592.0145</v>
      </c>
      <c r="J40" s="11">
        <v>358.76100000000002</v>
      </c>
      <c r="K40" s="11">
        <v>3861.6675279000001</v>
      </c>
      <c r="L40" s="10">
        <v>4550</v>
      </c>
      <c r="M40" s="5" t="str">
        <f>HLOOKUP($F40,'[1]Summary - Pricing'!$D$3:$L$16,13,FALSE)</f>
        <v>Y</v>
      </c>
      <c r="N40" s="5" t="str">
        <f>HLOOKUP($F40,'[1]Summary - Pricing'!$D$3:$L$16,14,FALSE)</f>
        <v>N</v>
      </c>
      <c r="O40" s="9">
        <f>IF(M40="Y",'[1]Summary - Pricing'!$D$10,0)</f>
        <v>750</v>
      </c>
      <c r="P40" s="9">
        <f>IF(N40="Y",'[1]Summary - Pricing'!$D$13,0)</f>
        <v>0</v>
      </c>
      <c r="Q40" s="9">
        <f>IF(AND(E40&gt;5,E40&lt;16),0,IF(E40&lt;6,'[1]Summary - Pricing'!$D$11,IF('TR 01 Inventory'!E40&gt;15,('TR 01 Inventory'!E40-15)*'[1]Summary - Pricing'!$D$12)))</f>
        <v>1150</v>
      </c>
      <c r="R40" s="8">
        <f>SUM(O40:Q40)</f>
        <v>1900</v>
      </c>
      <c r="S40" s="9">
        <f>R40*L40</f>
        <v>8645000</v>
      </c>
      <c r="T40" s="9">
        <v>750000</v>
      </c>
      <c r="U40" s="9">
        <f>HLOOKUP(F40,'[1]Summary - Pricing'!$D$3:$L$20,18,FALSE)*100000</f>
        <v>2250000</v>
      </c>
      <c r="V40" s="9">
        <f>SUM('[1]Summary - Pricing'!$D$18,'[1]Summary - Pricing'!$D$21)*'TR 01 Inventory'!L40</f>
        <v>2871050</v>
      </c>
      <c r="W40" s="9">
        <f>'[1]Summary - Pricing'!$D$7*'TR 01 Inventory'!L40</f>
        <v>61425000</v>
      </c>
      <c r="X40" s="8">
        <f>W40+V40+U40+T40+S40</f>
        <v>75941050</v>
      </c>
    </row>
    <row r="41" spans="2:24" x14ac:dyDescent="0.3">
      <c r="B41" s="21" t="s">
        <v>167</v>
      </c>
      <c r="C41" s="21" t="s">
        <v>166</v>
      </c>
      <c r="D41" s="21" t="s">
        <v>258</v>
      </c>
      <c r="E41" s="10">
        <v>39</v>
      </c>
      <c r="F41" s="10" t="s">
        <v>97</v>
      </c>
      <c r="G41" s="11">
        <v>263.85899999999998</v>
      </c>
      <c r="H41" s="11">
        <v>2840.1518900999995</v>
      </c>
      <c r="I41" s="11">
        <v>592.0145</v>
      </c>
      <c r="J41" s="11">
        <v>358.76100000000002</v>
      </c>
      <c r="K41" s="11">
        <v>3861.6675279000001</v>
      </c>
      <c r="L41" s="10">
        <v>4550</v>
      </c>
      <c r="M41" s="5" t="str">
        <f>HLOOKUP($F41,'[1]Summary - Pricing'!$D$3:$L$16,13,FALSE)</f>
        <v>Y</v>
      </c>
      <c r="N41" s="5" t="str">
        <f>HLOOKUP($F41,'[1]Summary - Pricing'!$D$3:$L$16,14,FALSE)</f>
        <v>N</v>
      </c>
      <c r="O41" s="9">
        <f>IF(M41="Y",'[1]Summary - Pricing'!$D$10,0)</f>
        <v>750</v>
      </c>
      <c r="P41" s="9">
        <f>IF(N41="Y",'[1]Summary - Pricing'!$D$13,0)</f>
        <v>0</v>
      </c>
      <c r="Q41" s="9">
        <f>IF(AND(E41&gt;5,E41&lt;16),0,IF(E41&lt;6,'[1]Summary - Pricing'!$D$11,IF('TR 01 Inventory'!E41&gt;15,('TR 01 Inventory'!E41-15)*'[1]Summary - Pricing'!$D$12)))</f>
        <v>1200</v>
      </c>
      <c r="R41" s="8">
        <f>SUM(O41:Q41)</f>
        <v>1950</v>
      </c>
      <c r="S41" s="9">
        <f>R41*L41</f>
        <v>8872500</v>
      </c>
      <c r="T41" s="9">
        <v>750000</v>
      </c>
      <c r="U41" s="9">
        <f>HLOOKUP(F41,'[1]Summary - Pricing'!$D$3:$L$20,18,FALSE)*100000</f>
        <v>2250000</v>
      </c>
      <c r="V41" s="9">
        <f>SUM('[1]Summary - Pricing'!$D$18,'[1]Summary - Pricing'!$D$21)*'TR 01 Inventory'!L41</f>
        <v>2871050</v>
      </c>
      <c r="W41" s="9">
        <f>'[1]Summary - Pricing'!$D$7*'TR 01 Inventory'!L41</f>
        <v>61425000</v>
      </c>
      <c r="X41" s="8">
        <f>W41+V41+U41+T41+S41</f>
        <v>76168550</v>
      </c>
    </row>
    <row r="42" spans="2:24" x14ac:dyDescent="0.3">
      <c r="B42" s="21" t="s">
        <v>167</v>
      </c>
      <c r="C42" s="21" t="s">
        <v>166</v>
      </c>
      <c r="D42" s="21" t="s">
        <v>257</v>
      </c>
      <c r="E42" s="10">
        <v>40</v>
      </c>
      <c r="F42" s="10" t="s">
        <v>97</v>
      </c>
      <c r="G42" s="11">
        <v>263.85899999999998</v>
      </c>
      <c r="H42" s="11">
        <v>2840.1518900999995</v>
      </c>
      <c r="I42" s="11">
        <v>592.0145</v>
      </c>
      <c r="J42" s="11">
        <v>358.76100000000002</v>
      </c>
      <c r="K42" s="11">
        <v>3861.6675279000001</v>
      </c>
      <c r="L42" s="10">
        <v>4550</v>
      </c>
      <c r="M42" s="5" t="str">
        <f>HLOOKUP($F42,'[1]Summary - Pricing'!$D$3:$L$16,13,FALSE)</f>
        <v>Y</v>
      </c>
      <c r="N42" s="5" t="str">
        <f>HLOOKUP($F42,'[1]Summary - Pricing'!$D$3:$L$16,14,FALSE)</f>
        <v>N</v>
      </c>
      <c r="O42" s="9">
        <f>IF(M42="Y",'[1]Summary - Pricing'!$D$10,0)</f>
        <v>750</v>
      </c>
      <c r="P42" s="9">
        <f>IF(N42="Y",'[1]Summary - Pricing'!$D$13,0)</f>
        <v>0</v>
      </c>
      <c r="Q42" s="9">
        <f>IF(AND(E42&gt;5,E42&lt;16),0,IF(E42&lt;6,'[1]Summary - Pricing'!$D$11,IF('TR 01 Inventory'!E42&gt;15,('TR 01 Inventory'!E42-15)*'[1]Summary - Pricing'!$D$12)))</f>
        <v>1250</v>
      </c>
      <c r="R42" s="8">
        <f>SUM(O42:Q42)</f>
        <v>2000</v>
      </c>
      <c r="S42" s="9">
        <f>R42*L42</f>
        <v>9100000</v>
      </c>
      <c r="T42" s="9">
        <v>750000</v>
      </c>
      <c r="U42" s="9">
        <f>HLOOKUP(F42,'[1]Summary - Pricing'!$D$3:$L$20,18,FALSE)*100000</f>
        <v>2250000</v>
      </c>
      <c r="V42" s="9">
        <f>SUM('[1]Summary - Pricing'!$D$18,'[1]Summary - Pricing'!$D$21)*'TR 01 Inventory'!L42</f>
        <v>2871050</v>
      </c>
      <c r="W42" s="9">
        <f>'[1]Summary - Pricing'!$D$7*'TR 01 Inventory'!L42</f>
        <v>61425000</v>
      </c>
      <c r="X42" s="8">
        <f>W42+V42+U42+T42+S42</f>
        <v>76396050</v>
      </c>
    </row>
    <row r="43" spans="2:24" x14ac:dyDescent="0.3">
      <c r="B43" s="21" t="s">
        <v>167</v>
      </c>
      <c r="C43" s="21" t="s">
        <v>166</v>
      </c>
      <c r="D43" s="21" t="s">
        <v>256</v>
      </c>
      <c r="E43" s="10">
        <v>41</v>
      </c>
      <c r="F43" s="10" t="s">
        <v>97</v>
      </c>
      <c r="G43" s="11">
        <v>263.85899999999998</v>
      </c>
      <c r="H43" s="11">
        <v>2840.1518900999995</v>
      </c>
      <c r="I43" s="11">
        <v>592.0145</v>
      </c>
      <c r="J43" s="11">
        <v>358.76100000000002</v>
      </c>
      <c r="K43" s="11">
        <v>3861.6675279000001</v>
      </c>
      <c r="L43" s="10">
        <v>4550</v>
      </c>
      <c r="M43" s="5" t="str">
        <f>HLOOKUP($F43,'[1]Summary - Pricing'!$D$3:$L$16,13,FALSE)</f>
        <v>Y</v>
      </c>
      <c r="N43" s="5" t="str">
        <f>HLOOKUP($F43,'[1]Summary - Pricing'!$D$3:$L$16,14,FALSE)</f>
        <v>N</v>
      </c>
      <c r="O43" s="9">
        <f>IF(M43="Y",'[1]Summary - Pricing'!$D$10,0)</f>
        <v>750</v>
      </c>
      <c r="P43" s="9">
        <f>IF(N43="Y",'[1]Summary - Pricing'!$D$13,0)</f>
        <v>0</v>
      </c>
      <c r="Q43" s="9">
        <f>IF(AND(E43&gt;5,E43&lt;16),0,IF(E43&lt;6,'[1]Summary - Pricing'!$D$11,IF('TR 01 Inventory'!E43&gt;15,('TR 01 Inventory'!E43-15)*'[1]Summary - Pricing'!$D$12)))</f>
        <v>1300</v>
      </c>
      <c r="R43" s="8">
        <f>SUM(O43:Q43)</f>
        <v>2050</v>
      </c>
      <c r="S43" s="9">
        <f>R43*L43</f>
        <v>9327500</v>
      </c>
      <c r="T43" s="9">
        <v>750000</v>
      </c>
      <c r="U43" s="9">
        <f>HLOOKUP(F43,'[1]Summary - Pricing'!$D$3:$L$20,18,FALSE)*100000</f>
        <v>2250000</v>
      </c>
      <c r="V43" s="9">
        <f>SUM('[1]Summary - Pricing'!$D$18,'[1]Summary - Pricing'!$D$21)*'TR 01 Inventory'!L43</f>
        <v>2871050</v>
      </c>
      <c r="W43" s="9">
        <f>'[1]Summary - Pricing'!$D$7*'TR 01 Inventory'!L43</f>
        <v>61425000</v>
      </c>
      <c r="X43" s="8">
        <f>W43+V43+U43+T43+S43</f>
        <v>76623550</v>
      </c>
    </row>
    <row r="44" spans="2:24" x14ac:dyDescent="0.3">
      <c r="B44" s="21" t="s">
        <v>167</v>
      </c>
      <c r="C44" s="21" t="s">
        <v>166</v>
      </c>
      <c r="D44" s="21" t="s">
        <v>255</v>
      </c>
      <c r="E44" s="10">
        <v>42</v>
      </c>
      <c r="F44" s="10" t="s">
        <v>97</v>
      </c>
      <c r="G44" s="11">
        <v>263.85899999999998</v>
      </c>
      <c r="H44" s="11">
        <v>2840.1518900999995</v>
      </c>
      <c r="I44" s="11">
        <v>592.0145</v>
      </c>
      <c r="J44" s="11">
        <v>358.76100000000002</v>
      </c>
      <c r="K44" s="11">
        <v>3861.6675279000001</v>
      </c>
      <c r="L44" s="10">
        <v>4550</v>
      </c>
      <c r="M44" s="5" t="str">
        <f>HLOOKUP($F44,'[1]Summary - Pricing'!$D$3:$L$16,13,FALSE)</f>
        <v>Y</v>
      </c>
      <c r="N44" s="5" t="str">
        <f>HLOOKUP($F44,'[1]Summary - Pricing'!$D$3:$L$16,14,FALSE)</f>
        <v>N</v>
      </c>
      <c r="O44" s="9">
        <f>IF(M44="Y",'[1]Summary - Pricing'!$D$10,0)</f>
        <v>750</v>
      </c>
      <c r="P44" s="9">
        <f>IF(N44="Y",'[1]Summary - Pricing'!$D$13,0)</f>
        <v>0</v>
      </c>
      <c r="Q44" s="9">
        <f>IF(AND(E44&gt;5,E44&lt;16),0,IF(E44&lt;6,'[1]Summary - Pricing'!$D$11,IF('TR 01 Inventory'!E44&gt;15,('TR 01 Inventory'!E44-15)*'[1]Summary - Pricing'!$D$12)))</f>
        <v>1350</v>
      </c>
      <c r="R44" s="8">
        <f>SUM(O44:Q44)</f>
        <v>2100</v>
      </c>
      <c r="S44" s="9">
        <f>R44*L44</f>
        <v>9555000</v>
      </c>
      <c r="T44" s="9">
        <v>750000</v>
      </c>
      <c r="U44" s="9">
        <f>HLOOKUP(F44,'[1]Summary - Pricing'!$D$3:$L$20,18,FALSE)*100000</f>
        <v>2250000</v>
      </c>
      <c r="V44" s="9">
        <f>SUM('[1]Summary - Pricing'!$D$18,'[1]Summary - Pricing'!$D$21)*'TR 01 Inventory'!L44</f>
        <v>2871050</v>
      </c>
      <c r="W44" s="9">
        <f>'[1]Summary - Pricing'!$D$7*'TR 01 Inventory'!L44</f>
        <v>61425000</v>
      </c>
      <c r="X44" s="8">
        <f>W44+V44+U44+T44+S44</f>
        <v>76851050</v>
      </c>
    </row>
    <row r="45" spans="2:24" x14ac:dyDescent="0.3">
      <c r="B45" s="21" t="s">
        <v>167</v>
      </c>
      <c r="C45" s="21" t="s">
        <v>166</v>
      </c>
      <c r="D45" s="21" t="s">
        <v>254</v>
      </c>
      <c r="E45" s="10">
        <v>43</v>
      </c>
      <c r="F45" s="10" t="s">
        <v>97</v>
      </c>
      <c r="G45" s="11">
        <v>263.85899999999998</v>
      </c>
      <c r="H45" s="11">
        <v>2840.1518900999995</v>
      </c>
      <c r="I45" s="11">
        <v>592.0145</v>
      </c>
      <c r="J45" s="11">
        <v>358.76100000000002</v>
      </c>
      <c r="K45" s="11">
        <v>3861.6675279000001</v>
      </c>
      <c r="L45" s="10">
        <v>4550</v>
      </c>
      <c r="M45" s="5" t="str">
        <f>HLOOKUP($F45,'[1]Summary - Pricing'!$D$3:$L$16,13,FALSE)</f>
        <v>Y</v>
      </c>
      <c r="N45" s="5" t="str">
        <f>HLOOKUP($F45,'[1]Summary - Pricing'!$D$3:$L$16,14,FALSE)</f>
        <v>N</v>
      </c>
      <c r="O45" s="9">
        <f>IF(M45="Y",'[1]Summary - Pricing'!$D$10,0)</f>
        <v>750</v>
      </c>
      <c r="P45" s="9">
        <f>IF(N45="Y",'[1]Summary - Pricing'!$D$13,0)</f>
        <v>0</v>
      </c>
      <c r="Q45" s="9">
        <f>IF(AND(E45&gt;5,E45&lt;16),0,IF(E45&lt;6,'[1]Summary - Pricing'!$D$11,IF('TR 01 Inventory'!E45&gt;15,('TR 01 Inventory'!E45-15)*'[1]Summary - Pricing'!$D$12)))</f>
        <v>1400</v>
      </c>
      <c r="R45" s="8">
        <f>SUM(O45:Q45)</f>
        <v>2150</v>
      </c>
      <c r="S45" s="9">
        <f>R45*L45</f>
        <v>9782500</v>
      </c>
      <c r="T45" s="9">
        <v>750000</v>
      </c>
      <c r="U45" s="9">
        <f>HLOOKUP(F45,'[1]Summary - Pricing'!$D$3:$L$20,18,FALSE)*100000</f>
        <v>2250000</v>
      </c>
      <c r="V45" s="9">
        <f>SUM('[1]Summary - Pricing'!$D$18,'[1]Summary - Pricing'!$D$21)*'TR 01 Inventory'!L45</f>
        <v>2871050</v>
      </c>
      <c r="W45" s="9">
        <f>'[1]Summary - Pricing'!$D$7*'TR 01 Inventory'!L45</f>
        <v>61425000</v>
      </c>
      <c r="X45" s="8">
        <f>W45+V45+U45+T45+S45</f>
        <v>77078550</v>
      </c>
    </row>
    <row r="46" spans="2:24" x14ac:dyDescent="0.3">
      <c r="B46" s="21" t="s">
        <v>167</v>
      </c>
      <c r="C46" s="21" t="s">
        <v>166</v>
      </c>
      <c r="D46" s="21" t="s">
        <v>253</v>
      </c>
      <c r="E46" s="10">
        <v>44</v>
      </c>
      <c r="F46" s="10" t="s">
        <v>97</v>
      </c>
      <c r="G46" s="11">
        <v>263.85899999999998</v>
      </c>
      <c r="H46" s="11">
        <v>2840.1518900999995</v>
      </c>
      <c r="I46" s="11">
        <v>592.0145</v>
      </c>
      <c r="J46" s="11">
        <v>358.76100000000002</v>
      </c>
      <c r="K46" s="11">
        <v>3861.6675279000001</v>
      </c>
      <c r="L46" s="10">
        <v>4550</v>
      </c>
      <c r="M46" s="5" t="str">
        <f>HLOOKUP($F46,'[1]Summary - Pricing'!$D$3:$L$16,13,FALSE)</f>
        <v>Y</v>
      </c>
      <c r="N46" s="5" t="str">
        <f>HLOOKUP($F46,'[1]Summary - Pricing'!$D$3:$L$16,14,FALSE)</f>
        <v>N</v>
      </c>
      <c r="O46" s="9">
        <f>IF(M46="Y",'[1]Summary - Pricing'!$D$10,0)</f>
        <v>750</v>
      </c>
      <c r="P46" s="9">
        <f>IF(N46="Y",'[1]Summary - Pricing'!$D$13,0)</f>
        <v>0</v>
      </c>
      <c r="Q46" s="9">
        <f>IF(AND(E46&gt;5,E46&lt;16),0,IF(E46&lt;6,'[1]Summary - Pricing'!$D$11,IF('TR 01 Inventory'!E46&gt;15,('TR 01 Inventory'!E46-15)*'[1]Summary - Pricing'!$D$12)))</f>
        <v>1450</v>
      </c>
      <c r="R46" s="8">
        <f>SUM(O46:Q46)</f>
        <v>2200</v>
      </c>
      <c r="S46" s="9">
        <f>R46*L46</f>
        <v>10010000</v>
      </c>
      <c r="T46" s="9">
        <v>750000</v>
      </c>
      <c r="U46" s="9">
        <f>HLOOKUP(F46,'[1]Summary - Pricing'!$D$3:$L$20,18,FALSE)*100000</f>
        <v>2250000</v>
      </c>
      <c r="V46" s="9">
        <f>SUM('[1]Summary - Pricing'!$D$18,'[1]Summary - Pricing'!$D$21)*'TR 01 Inventory'!L46</f>
        <v>2871050</v>
      </c>
      <c r="W46" s="9">
        <f>'[1]Summary - Pricing'!$D$7*'TR 01 Inventory'!L46</f>
        <v>61425000</v>
      </c>
      <c r="X46" s="8">
        <f>W46+V46+U46+T46+S46</f>
        <v>77306050</v>
      </c>
    </row>
    <row r="47" spans="2:24" x14ac:dyDescent="0.3">
      <c r="B47" s="21" t="s">
        <v>167</v>
      </c>
      <c r="C47" s="21" t="s">
        <v>166</v>
      </c>
      <c r="D47" s="21" t="s">
        <v>252</v>
      </c>
      <c r="E47" s="10">
        <v>45</v>
      </c>
      <c r="F47" s="10" t="s">
        <v>97</v>
      </c>
      <c r="G47" s="11">
        <v>263.85899999999998</v>
      </c>
      <c r="H47" s="11">
        <v>2840.1518900999995</v>
      </c>
      <c r="I47" s="11">
        <v>592.0145</v>
      </c>
      <c r="J47" s="11">
        <v>358.76100000000002</v>
      </c>
      <c r="K47" s="11">
        <v>3861.6675279000001</v>
      </c>
      <c r="L47" s="10">
        <v>4550</v>
      </c>
      <c r="M47" s="5" t="str">
        <f>HLOOKUP($F47,'[1]Summary - Pricing'!$D$3:$L$16,13,FALSE)</f>
        <v>Y</v>
      </c>
      <c r="N47" s="5" t="str">
        <f>HLOOKUP($F47,'[1]Summary - Pricing'!$D$3:$L$16,14,FALSE)</f>
        <v>N</v>
      </c>
      <c r="O47" s="9">
        <f>IF(M47="Y",'[1]Summary - Pricing'!$D$10,0)</f>
        <v>750</v>
      </c>
      <c r="P47" s="9">
        <f>IF(N47="Y",'[1]Summary - Pricing'!$D$13,0)</f>
        <v>0</v>
      </c>
      <c r="Q47" s="9">
        <f>IF(AND(E47&gt;5,E47&lt;16),0,IF(E47&lt;6,'[1]Summary - Pricing'!$D$11,IF('TR 01 Inventory'!E47&gt;15,('TR 01 Inventory'!E47-15)*'[1]Summary - Pricing'!$D$12)))</f>
        <v>1500</v>
      </c>
      <c r="R47" s="8">
        <f>SUM(O47:Q47)</f>
        <v>2250</v>
      </c>
      <c r="S47" s="9">
        <f>R47*L47</f>
        <v>10237500</v>
      </c>
      <c r="T47" s="9">
        <v>750000</v>
      </c>
      <c r="U47" s="9">
        <f>HLOOKUP(F47,'[1]Summary - Pricing'!$D$3:$L$20,18,FALSE)*100000</f>
        <v>2250000</v>
      </c>
      <c r="V47" s="9">
        <f>SUM('[1]Summary - Pricing'!$D$18,'[1]Summary - Pricing'!$D$21)*'TR 01 Inventory'!L47</f>
        <v>2871050</v>
      </c>
      <c r="W47" s="9">
        <f>'[1]Summary - Pricing'!$D$7*'TR 01 Inventory'!L47</f>
        <v>61425000</v>
      </c>
      <c r="X47" s="8">
        <f>W47+V47+U47+T47+S47</f>
        <v>77533550</v>
      </c>
    </row>
    <row r="48" spans="2:24" x14ac:dyDescent="0.3">
      <c r="B48" s="21" t="s">
        <v>167</v>
      </c>
      <c r="C48" s="21" t="s">
        <v>166</v>
      </c>
      <c r="D48" s="21" t="s">
        <v>251</v>
      </c>
      <c r="E48" s="10">
        <v>46</v>
      </c>
      <c r="F48" s="10" t="s">
        <v>97</v>
      </c>
      <c r="G48" s="11">
        <v>263.85899999999998</v>
      </c>
      <c r="H48" s="11">
        <v>2840.1518900999995</v>
      </c>
      <c r="I48" s="11">
        <v>592.0145</v>
      </c>
      <c r="J48" s="11">
        <v>358.76100000000002</v>
      </c>
      <c r="K48" s="11">
        <v>3861.6675279000001</v>
      </c>
      <c r="L48" s="10">
        <v>4550</v>
      </c>
      <c r="M48" s="5" t="str">
        <f>HLOOKUP($F48,'[1]Summary - Pricing'!$D$3:$L$16,13,FALSE)</f>
        <v>Y</v>
      </c>
      <c r="N48" s="5" t="str">
        <f>HLOOKUP($F48,'[1]Summary - Pricing'!$D$3:$L$16,14,FALSE)</f>
        <v>N</v>
      </c>
      <c r="O48" s="9">
        <f>IF(M48="Y",'[1]Summary - Pricing'!$D$10,0)</f>
        <v>750</v>
      </c>
      <c r="P48" s="9">
        <f>IF(N48="Y",'[1]Summary - Pricing'!$D$13,0)</f>
        <v>0</v>
      </c>
      <c r="Q48" s="9">
        <f>IF(AND(E48&gt;5,E48&lt;16),0,IF(E48&lt;6,'[1]Summary - Pricing'!$D$11,IF('TR 01 Inventory'!E48&gt;15,('TR 01 Inventory'!E48-15)*'[1]Summary - Pricing'!$D$12)))</f>
        <v>1550</v>
      </c>
      <c r="R48" s="8">
        <f>SUM(O48:Q48)</f>
        <v>2300</v>
      </c>
      <c r="S48" s="9">
        <f>R48*L48</f>
        <v>10465000</v>
      </c>
      <c r="T48" s="9">
        <v>750000</v>
      </c>
      <c r="U48" s="9">
        <f>HLOOKUP(F48,'[1]Summary - Pricing'!$D$3:$L$20,18,FALSE)*100000</f>
        <v>2250000</v>
      </c>
      <c r="V48" s="9">
        <f>SUM('[1]Summary - Pricing'!$D$18,'[1]Summary - Pricing'!$D$21)*'TR 01 Inventory'!L48</f>
        <v>2871050</v>
      </c>
      <c r="W48" s="9">
        <f>'[1]Summary - Pricing'!$D$7*'TR 01 Inventory'!L48</f>
        <v>61425000</v>
      </c>
      <c r="X48" s="8">
        <f>W48+V48+U48+T48+S48</f>
        <v>77761050</v>
      </c>
    </row>
    <row r="49" spans="2:24" x14ac:dyDescent="0.3">
      <c r="B49" s="21" t="s">
        <v>167</v>
      </c>
      <c r="C49" s="21" t="s">
        <v>169</v>
      </c>
      <c r="D49" s="21" t="s">
        <v>250</v>
      </c>
      <c r="E49" s="10">
        <v>1</v>
      </c>
      <c r="F49" s="10" t="s">
        <v>95</v>
      </c>
      <c r="G49" s="11">
        <v>388.49299999999999</v>
      </c>
      <c r="H49" s="11">
        <v>4181.6998027</v>
      </c>
      <c r="I49" s="11">
        <v>742.1063216</v>
      </c>
      <c r="J49" s="11">
        <v>505.92699999999996</v>
      </c>
      <c r="K49" s="11">
        <v>5445.7476352999993</v>
      </c>
      <c r="L49" s="10">
        <v>6550</v>
      </c>
      <c r="M49" s="5" t="str">
        <f>HLOOKUP($F49,'[1]Summary - Pricing'!$D$3:$L$16,13,FALSE)</f>
        <v>Y</v>
      </c>
      <c r="N49" s="5" t="str">
        <f>HLOOKUP($F49,'[1]Summary - Pricing'!$D$3:$L$16,14,FALSE)</f>
        <v>Y</v>
      </c>
      <c r="O49" s="9">
        <f>IF(M49="Y",'[1]Summary - Pricing'!$D$10,0)</f>
        <v>750</v>
      </c>
      <c r="P49" s="9">
        <f>IF(N49="Y",'[1]Summary - Pricing'!$D$13,0)</f>
        <v>750</v>
      </c>
      <c r="Q49" s="9">
        <f>IF(AND(E49&gt;5,E49&lt;16),0,IF(E49&lt;6,'[1]Summary - Pricing'!$D$11,IF('TR 01 Inventory'!E49&gt;15,('TR 01 Inventory'!E49-15)*'[1]Summary - Pricing'!$D$12)))</f>
        <v>500</v>
      </c>
      <c r="R49" s="8">
        <f>SUM(O49:Q49)</f>
        <v>2000</v>
      </c>
      <c r="S49" s="9">
        <f>R49*L49</f>
        <v>13100000</v>
      </c>
      <c r="T49" s="9">
        <v>750000</v>
      </c>
      <c r="U49" s="9">
        <f>HLOOKUP(F49,'[1]Summary - Pricing'!$D$3:$L$20,18,FALSE)*100000</f>
        <v>2250000</v>
      </c>
      <c r="V49" s="9">
        <f>SUM('[1]Summary - Pricing'!$D$18,'[1]Summary - Pricing'!$D$21)*'TR 01 Inventory'!L49</f>
        <v>4133050</v>
      </c>
      <c r="W49" s="9">
        <f>'[1]Summary - Pricing'!$D$7*'TR 01 Inventory'!L49</f>
        <v>88425000</v>
      </c>
      <c r="X49" s="8">
        <f>W49+V49+U49+T49+S49</f>
        <v>108658050</v>
      </c>
    </row>
    <row r="50" spans="2:24" x14ac:dyDescent="0.3">
      <c r="B50" s="21" t="s">
        <v>167</v>
      </c>
      <c r="C50" s="21" t="s">
        <v>169</v>
      </c>
      <c r="D50" s="21" t="s">
        <v>249</v>
      </c>
      <c r="E50" s="10">
        <v>2</v>
      </c>
      <c r="F50" s="10" t="s">
        <v>54</v>
      </c>
      <c r="G50" s="11">
        <v>352.74900000000002</v>
      </c>
      <c r="H50" s="11">
        <v>3796.9549611000002</v>
      </c>
      <c r="I50" s="11">
        <v>742.1063216</v>
      </c>
      <c r="J50" s="11">
        <v>472.52499999999998</v>
      </c>
      <c r="K50" s="11">
        <v>5086.2118474999997</v>
      </c>
      <c r="L50" s="10">
        <v>6050</v>
      </c>
      <c r="M50" s="5" t="str">
        <f>HLOOKUP($F50,'[1]Summary - Pricing'!$D$3:$L$16,13,FALSE)</f>
        <v>Y</v>
      </c>
      <c r="N50" s="5" t="str">
        <f>HLOOKUP($F50,'[1]Summary - Pricing'!$D$3:$L$16,14,FALSE)</f>
        <v>Y</v>
      </c>
      <c r="O50" s="9">
        <f>IF(M50="Y",'[1]Summary - Pricing'!$D$10,0)</f>
        <v>750</v>
      </c>
      <c r="P50" s="9">
        <f>IF(N50="Y",'[1]Summary - Pricing'!$D$13,0)</f>
        <v>750</v>
      </c>
      <c r="Q50" s="9">
        <f>IF(AND(E50&gt;5,E50&lt;16),0,IF(E50&lt;6,'[1]Summary - Pricing'!$D$11,IF('TR 01 Inventory'!E50&gt;15,('TR 01 Inventory'!E50-15)*'[1]Summary - Pricing'!$D$12)))</f>
        <v>500</v>
      </c>
      <c r="R50" s="8">
        <f>SUM(O50:Q50)</f>
        <v>2000</v>
      </c>
      <c r="S50" s="9">
        <f>R50*L50</f>
        <v>12100000</v>
      </c>
      <c r="T50" s="9">
        <v>750000</v>
      </c>
      <c r="U50" s="9">
        <f>HLOOKUP(F50,'[1]Summary - Pricing'!$D$3:$L$20,18,FALSE)*100000</f>
        <v>2250000</v>
      </c>
      <c r="V50" s="9">
        <f>SUM('[1]Summary - Pricing'!$D$18,'[1]Summary - Pricing'!$D$21)*'TR 01 Inventory'!L50</f>
        <v>3817550</v>
      </c>
      <c r="W50" s="9">
        <f>'[1]Summary - Pricing'!$D$7*'TR 01 Inventory'!L50</f>
        <v>81675000</v>
      </c>
      <c r="X50" s="8">
        <f>W50+V50+U50+T50+S50</f>
        <v>100592550</v>
      </c>
    </row>
    <row r="51" spans="2:24" x14ac:dyDescent="0.3">
      <c r="B51" s="21" t="s">
        <v>167</v>
      </c>
      <c r="C51" s="21" t="s">
        <v>169</v>
      </c>
      <c r="D51" s="21" t="s">
        <v>248</v>
      </c>
      <c r="E51" s="10">
        <v>3</v>
      </c>
      <c r="F51" s="10" t="s">
        <v>62</v>
      </c>
      <c r="G51" s="11">
        <v>350.75099999999998</v>
      </c>
      <c r="H51" s="11">
        <v>3775.4486888999995</v>
      </c>
      <c r="I51" s="11">
        <v>742.1063216</v>
      </c>
      <c r="J51" s="11">
        <v>472.80500000000001</v>
      </c>
      <c r="K51" s="11">
        <v>5089.2257394999997</v>
      </c>
      <c r="L51" s="10">
        <v>6050</v>
      </c>
      <c r="M51" s="5" t="str">
        <f>HLOOKUP($F51,'[1]Summary - Pricing'!$D$3:$L$16,13,FALSE)</f>
        <v>Y</v>
      </c>
      <c r="N51" s="5" t="str">
        <f>HLOOKUP($F51,'[1]Summary - Pricing'!$D$3:$L$16,14,FALSE)</f>
        <v>Y</v>
      </c>
      <c r="O51" s="9">
        <f>IF(M51="Y",'[1]Summary - Pricing'!$D$10,0)</f>
        <v>750</v>
      </c>
      <c r="P51" s="9">
        <f>IF(N51="Y",'[1]Summary - Pricing'!$D$13,0)</f>
        <v>750</v>
      </c>
      <c r="Q51" s="9">
        <f>IF(AND(E51&gt;5,E51&lt;16),0,IF(E51&lt;6,'[1]Summary - Pricing'!$D$11,IF('TR 01 Inventory'!E51&gt;15,('TR 01 Inventory'!E51-15)*'[1]Summary - Pricing'!$D$12)))</f>
        <v>500</v>
      </c>
      <c r="R51" s="8">
        <f>SUM(O51:Q51)</f>
        <v>2000</v>
      </c>
      <c r="S51" s="9">
        <f>R51*L51</f>
        <v>12100000</v>
      </c>
      <c r="T51" s="9">
        <v>750000</v>
      </c>
      <c r="U51" s="9">
        <f>HLOOKUP(F51,'[1]Summary - Pricing'!$D$3:$L$20,18,FALSE)*100000</f>
        <v>2250000</v>
      </c>
      <c r="V51" s="9">
        <f>SUM('[1]Summary - Pricing'!$D$18,'[1]Summary - Pricing'!$D$21)*'TR 01 Inventory'!L51</f>
        <v>3817550</v>
      </c>
      <c r="W51" s="9">
        <f>'[1]Summary - Pricing'!$D$7*'TR 01 Inventory'!L51</f>
        <v>81675000</v>
      </c>
      <c r="X51" s="8">
        <f>W51+V51+U51+T51+S51</f>
        <v>100592550</v>
      </c>
    </row>
    <row r="52" spans="2:24" x14ac:dyDescent="0.3">
      <c r="B52" s="21" t="s">
        <v>167</v>
      </c>
      <c r="C52" s="21" t="s">
        <v>169</v>
      </c>
      <c r="D52" s="21" t="s">
        <v>247</v>
      </c>
      <c r="E52" s="10">
        <v>4</v>
      </c>
      <c r="F52" s="10" t="s">
        <v>54</v>
      </c>
      <c r="G52" s="11">
        <v>352.74900000000002</v>
      </c>
      <c r="H52" s="11">
        <v>3796.9549611000002</v>
      </c>
      <c r="I52" s="11">
        <v>742.1063216</v>
      </c>
      <c r="J52" s="11">
        <v>472.52499999999998</v>
      </c>
      <c r="K52" s="11">
        <v>5086.2118474999997</v>
      </c>
      <c r="L52" s="10">
        <v>6050</v>
      </c>
      <c r="M52" s="5" t="str">
        <f>HLOOKUP($F52,'[1]Summary - Pricing'!$D$3:$L$16,13,FALSE)</f>
        <v>Y</v>
      </c>
      <c r="N52" s="5" t="str">
        <f>HLOOKUP($F52,'[1]Summary - Pricing'!$D$3:$L$16,14,FALSE)</f>
        <v>Y</v>
      </c>
      <c r="O52" s="9">
        <f>IF(M52="Y",'[1]Summary - Pricing'!$D$10,0)</f>
        <v>750</v>
      </c>
      <c r="P52" s="9">
        <f>IF(N52="Y",'[1]Summary - Pricing'!$D$13,0)</f>
        <v>750</v>
      </c>
      <c r="Q52" s="9">
        <f>IF(AND(E52&gt;5,E52&lt;16),0,IF(E52&lt;6,'[1]Summary - Pricing'!$D$11,IF('TR 01 Inventory'!E52&gt;15,('TR 01 Inventory'!E52-15)*'[1]Summary - Pricing'!$D$12)))</f>
        <v>500</v>
      </c>
      <c r="R52" s="8">
        <f>SUM(O52:Q52)</f>
        <v>2000</v>
      </c>
      <c r="S52" s="9">
        <f>R52*L52</f>
        <v>12100000</v>
      </c>
      <c r="T52" s="9">
        <v>750000</v>
      </c>
      <c r="U52" s="9">
        <f>HLOOKUP(F52,'[1]Summary - Pricing'!$D$3:$L$20,18,FALSE)*100000</f>
        <v>2250000</v>
      </c>
      <c r="V52" s="9">
        <f>SUM('[1]Summary - Pricing'!$D$18,'[1]Summary - Pricing'!$D$21)*'TR 01 Inventory'!L52</f>
        <v>3817550</v>
      </c>
      <c r="W52" s="9">
        <f>'[1]Summary - Pricing'!$D$7*'TR 01 Inventory'!L52</f>
        <v>81675000</v>
      </c>
      <c r="X52" s="8">
        <f>W52+V52+U52+T52+S52</f>
        <v>100592550</v>
      </c>
    </row>
    <row r="53" spans="2:24" x14ac:dyDescent="0.3">
      <c r="B53" s="21" t="s">
        <v>167</v>
      </c>
      <c r="C53" s="21" t="s">
        <v>169</v>
      </c>
      <c r="D53" s="21" t="s">
        <v>246</v>
      </c>
      <c r="E53" s="10">
        <v>5</v>
      </c>
      <c r="F53" s="10" t="s">
        <v>62</v>
      </c>
      <c r="G53" s="11">
        <v>350.75099999999998</v>
      </c>
      <c r="H53" s="11">
        <v>3775.4486888999995</v>
      </c>
      <c r="I53" s="11">
        <v>742.1063216</v>
      </c>
      <c r="J53" s="11">
        <v>472.80500000000001</v>
      </c>
      <c r="K53" s="11">
        <v>5089.2257394999997</v>
      </c>
      <c r="L53" s="10">
        <v>6050</v>
      </c>
      <c r="M53" s="5" t="str">
        <f>HLOOKUP($F53,'[1]Summary - Pricing'!$D$3:$L$16,13,FALSE)</f>
        <v>Y</v>
      </c>
      <c r="N53" s="5" t="str">
        <f>HLOOKUP($F53,'[1]Summary - Pricing'!$D$3:$L$16,14,FALSE)</f>
        <v>Y</v>
      </c>
      <c r="O53" s="9">
        <f>IF(M53="Y",'[1]Summary - Pricing'!$D$10,0)</f>
        <v>750</v>
      </c>
      <c r="P53" s="9">
        <f>IF(N53="Y",'[1]Summary - Pricing'!$D$13,0)</f>
        <v>750</v>
      </c>
      <c r="Q53" s="9">
        <f>IF(AND(E53&gt;5,E53&lt;16),0,IF(E53&lt;6,'[1]Summary - Pricing'!$D$11,IF('TR 01 Inventory'!E53&gt;15,('TR 01 Inventory'!E53-15)*'[1]Summary - Pricing'!$D$12)))</f>
        <v>500</v>
      </c>
      <c r="R53" s="8">
        <f>SUM(O53:Q53)</f>
        <v>2000</v>
      </c>
      <c r="S53" s="9">
        <f>R53*L53</f>
        <v>12100000</v>
      </c>
      <c r="T53" s="9">
        <v>750000</v>
      </c>
      <c r="U53" s="9">
        <f>HLOOKUP(F53,'[1]Summary - Pricing'!$D$3:$L$20,18,FALSE)*100000</f>
        <v>2250000</v>
      </c>
      <c r="V53" s="9">
        <f>SUM('[1]Summary - Pricing'!$D$18,'[1]Summary - Pricing'!$D$21)*'TR 01 Inventory'!L53</f>
        <v>3817550</v>
      </c>
      <c r="W53" s="9">
        <f>'[1]Summary - Pricing'!$D$7*'TR 01 Inventory'!L53</f>
        <v>81675000</v>
      </c>
      <c r="X53" s="8">
        <f>W53+V53+U53+T53+S53</f>
        <v>100592550</v>
      </c>
    </row>
    <row r="54" spans="2:24" x14ac:dyDescent="0.3">
      <c r="B54" s="21" t="s">
        <v>167</v>
      </c>
      <c r="C54" s="21" t="s">
        <v>169</v>
      </c>
      <c r="D54" s="21" t="s">
        <v>245</v>
      </c>
      <c r="E54" s="10">
        <v>6</v>
      </c>
      <c r="F54" s="10" t="s">
        <v>54</v>
      </c>
      <c r="G54" s="11">
        <v>352.74900000000002</v>
      </c>
      <c r="H54" s="11">
        <v>3796.9549611000002</v>
      </c>
      <c r="I54" s="11">
        <v>742.1063216</v>
      </c>
      <c r="J54" s="11">
        <v>472.52499999999998</v>
      </c>
      <c r="K54" s="11">
        <v>5086.2118474999997</v>
      </c>
      <c r="L54" s="10">
        <v>6050</v>
      </c>
      <c r="M54" s="5" t="str">
        <f>HLOOKUP($F54,'[1]Summary - Pricing'!$D$3:$L$16,13,FALSE)</f>
        <v>Y</v>
      </c>
      <c r="N54" s="5" t="str">
        <f>HLOOKUP($F54,'[1]Summary - Pricing'!$D$3:$L$16,14,FALSE)</f>
        <v>Y</v>
      </c>
      <c r="O54" s="9">
        <f>IF(M54="Y",'[1]Summary - Pricing'!$D$10,0)</f>
        <v>750</v>
      </c>
      <c r="P54" s="9">
        <f>IF(N54="Y",'[1]Summary - Pricing'!$D$13,0)</f>
        <v>750</v>
      </c>
      <c r="Q54" s="9">
        <f>IF(AND(E54&gt;5,E54&lt;16),0,IF(E54&lt;6,'[1]Summary - Pricing'!$D$11,IF('TR 01 Inventory'!E54&gt;15,('TR 01 Inventory'!E54-15)*'[1]Summary - Pricing'!$D$12)))</f>
        <v>0</v>
      </c>
      <c r="R54" s="8">
        <f>SUM(O54:Q54)</f>
        <v>1500</v>
      </c>
      <c r="S54" s="9">
        <f>R54*L54</f>
        <v>9075000</v>
      </c>
      <c r="T54" s="9">
        <v>750000</v>
      </c>
      <c r="U54" s="9">
        <f>HLOOKUP(F54,'[1]Summary - Pricing'!$D$3:$L$20,18,FALSE)*100000</f>
        <v>2250000</v>
      </c>
      <c r="V54" s="9">
        <f>SUM('[1]Summary - Pricing'!$D$18,'[1]Summary - Pricing'!$D$21)*'TR 01 Inventory'!L54</f>
        <v>3817550</v>
      </c>
      <c r="W54" s="9">
        <f>'[1]Summary - Pricing'!$D$7*'TR 01 Inventory'!L54</f>
        <v>81675000</v>
      </c>
      <c r="X54" s="8">
        <f>W54+V54+U54+T54+S54</f>
        <v>97567550</v>
      </c>
    </row>
    <row r="55" spans="2:24" x14ac:dyDescent="0.3">
      <c r="B55" s="21" t="s">
        <v>167</v>
      </c>
      <c r="C55" s="21" t="s">
        <v>169</v>
      </c>
      <c r="D55" s="21" t="s">
        <v>244</v>
      </c>
      <c r="E55" s="10">
        <v>7</v>
      </c>
      <c r="F55" s="10" t="s">
        <v>62</v>
      </c>
      <c r="G55" s="11">
        <v>350.75099999999998</v>
      </c>
      <c r="H55" s="11">
        <v>3775.4486888999995</v>
      </c>
      <c r="I55" s="11">
        <v>742.1063216</v>
      </c>
      <c r="J55" s="11">
        <v>472.80500000000001</v>
      </c>
      <c r="K55" s="11">
        <v>5089.2257394999997</v>
      </c>
      <c r="L55" s="10">
        <v>6050</v>
      </c>
      <c r="M55" s="5" t="str">
        <f>HLOOKUP($F55,'[1]Summary - Pricing'!$D$3:$L$16,13,FALSE)</f>
        <v>Y</v>
      </c>
      <c r="N55" s="5" t="str">
        <f>HLOOKUP($F55,'[1]Summary - Pricing'!$D$3:$L$16,14,FALSE)</f>
        <v>Y</v>
      </c>
      <c r="O55" s="9">
        <f>IF(M55="Y",'[1]Summary - Pricing'!$D$10,0)</f>
        <v>750</v>
      </c>
      <c r="P55" s="9">
        <f>IF(N55="Y",'[1]Summary - Pricing'!$D$13,0)</f>
        <v>750</v>
      </c>
      <c r="Q55" s="9">
        <f>IF(AND(E55&gt;5,E55&lt;16),0,IF(E55&lt;6,'[1]Summary - Pricing'!$D$11,IF('TR 01 Inventory'!E55&gt;15,('TR 01 Inventory'!E55-15)*'[1]Summary - Pricing'!$D$12)))</f>
        <v>0</v>
      </c>
      <c r="R55" s="8">
        <f>SUM(O55:Q55)</f>
        <v>1500</v>
      </c>
      <c r="S55" s="9">
        <f>R55*L55</f>
        <v>9075000</v>
      </c>
      <c r="T55" s="9">
        <v>750000</v>
      </c>
      <c r="U55" s="9">
        <f>HLOOKUP(F55,'[1]Summary - Pricing'!$D$3:$L$20,18,FALSE)*100000</f>
        <v>2250000</v>
      </c>
      <c r="V55" s="9">
        <f>SUM('[1]Summary - Pricing'!$D$18,'[1]Summary - Pricing'!$D$21)*'TR 01 Inventory'!L55</f>
        <v>3817550</v>
      </c>
      <c r="W55" s="9">
        <f>'[1]Summary - Pricing'!$D$7*'TR 01 Inventory'!L55</f>
        <v>81675000</v>
      </c>
      <c r="X55" s="8">
        <f>W55+V55+U55+T55+S55</f>
        <v>97567550</v>
      </c>
    </row>
    <row r="56" spans="2:24" x14ac:dyDescent="0.3">
      <c r="B56" s="21" t="s">
        <v>167</v>
      </c>
      <c r="C56" s="21" t="s">
        <v>169</v>
      </c>
      <c r="D56" s="21" t="s">
        <v>243</v>
      </c>
      <c r="E56" s="10">
        <v>8</v>
      </c>
      <c r="F56" s="10" t="s">
        <v>54</v>
      </c>
      <c r="G56" s="11">
        <v>352.74900000000002</v>
      </c>
      <c r="H56" s="11">
        <v>3796.9549611000002</v>
      </c>
      <c r="I56" s="11">
        <v>742.1063216</v>
      </c>
      <c r="J56" s="11">
        <v>472.52499999999998</v>
      </c>
      <c r="K56" s="11">
        <v>5086.2118474999997</v>
      </c>
      <c r="L56" s="10">
        <v>6050</v>
      </c>
      <c r="M56" s="5" t="str">
        <f>HLOOKUP($F56,'[1]Summary - Pricing'!$D$3:$L$16,13,FALSE)</f>
        <v>Y</v>
      </c>
      <c r="N56" s="5" t="str">
        <f>HLOOKUP($F56,'[1]Summary - Pricing'!$D$3:$L$16,14,FALSE)</f>
        <v>Y</v>
      </c>
      <c r="O56" s="9">
        <f>IF(M56="Y",'[1]Summary - Pricing'!$D$10,0)</f>
        <v>750</v>
      </c>
      <c r="P56" s="9">
        <f>IF(N56="Y",'[1]Summary - Pricing'!$D$13,0)</f>
        <v>750</v>
      </c>
      <c r="Q56" s="9">
        <f>IF(AND(E56&gt;5,E56&lt;16),0,IF(E56&lt;6,'[1]Summary - Pricing'!$D$11,IF('TR 01 Inventory'!E56&gt;15,('TR 01 Inventory'!E56-15)*'[1]Summary - Pricing'!$D$12)))</f>
        <v>0</v>
      </c>
      <c r="R56" s="8">
        <f>SUM(O56:Q56)</f>
        <v>1500</v>
      </c>
      <c r="S56" s="9">
        <f>R56*L56</f>
        <v>9075000</v>
      </c>
      <c r="T56" s="9">
        <v>750000</v>
      </c>
      <c r="U56" s="9">
        <f>HLOOKUP(F56,'[1]Summary - Pricing'!$D$3:$L$20,18,FALSE)*100000</f>
        <v>2250000</v>
      </c>
      <c r="V56" s="9">
        <f>SUM('[1]Summary - Pricing'!$D$18,'[1]Summary - Pricing'!$D$21)*'TR 01 Inventory'!L56</f>
        <v>3817550</v>
      </c>
      <c r="W56" s="9">
        <f>'[1]Summary - Pricing'!$D$7*'TR 01 Inventory'!L56</f>
        <v>81675000</v>
      </c>
      <c r="X56" s="8">
        <f>W56+V56+U56+T56+S56</f>
        <v>97567550</v>
      </c>
    </row>
    <row r="57" spans="2:24" x14ac:dyDescent="0.3">
      <c r="B57" s="21" t="s">
        <v>167</v>
      </c>
      <c r="C57" s="21" t="s">
        <v>169</v>
      </c>
      <c r="D57" s="21" t="s">
        <v>242</v>
      </c>
      <c r="E57" s="10">
        <v>9</v>
      </c>
      <c r="F57" s="10" t="s">
        <v>62</v>
      </c>
      <c r="G57" s="11">
        <v>350.75099999999998</v>
      </c>
      <c r="H57" s="11">
        <v>3775.4486888999995</v>
      </c>
      <c r="I57" s="11">
        <v>742.1063216</v>
      </c>
      <c r="J57" s="11">
        <v>472.80500000000001</v>
      </c>
      <c r="K57" s="11">
        <v>5089.2257394999997</v>
      </c>
      <c r="L57" s="10">
        <v>6050</v>
      </c>
      <c r="M57" s="5" t="str">
        <f>HLOOKUP($F57,'[1]Summary - Pricing'!$D$3:$L$16,13,FALSE)</f>
        <v>Y</v>
      </c>
      <c r="N57" s="5" t="str">
        <f>HLOOKUP($F57,'[1]Summary - Pricing'!$D$3:$L$16,14,FALSE)</f>
        <v>Y</v>
      </c>
      <c r="O57" s="9">
        <f>IF(M57="Y",'[1]Summary - Pricing'!$D$10,0)</f>
        <v>750</v>
      </c>
      <c r="P57" s="9">
        <f>IF(N57="Y",'[1]Summary - Pricing'!$D$13,0)</f>
        <v>750</v>
      </c>
      <c r="Q57" s="9">
        <f>IF(AND(E57&gt;5,E57&lt;16),0,IF(E57&lt;6,'[1]Summary - Pricing'!$D$11,IF('TR 01 Inventory'!E57&gt;15,('TR 01 Inventory'!E57-15)*'[1]Summary - Pricing'!$D$12)))</f>
        <v>0</v>
      </c>
      <c r="R57" s="8">
        <f>SUM(O57:Q57)</f>
        <v>1500</v>
      </c>
      <c r="S57" s="9">
        <f>R57*L57</f>
        <v>9075000</v>
      </c>
      <c r="T57" s="9">
        <v>750000</v>
      </c>
      <c r="U57" s="9">
        <f>HLOOKUP(F57,'[1]Summary - Pricing'!$D$3:$L$20,18,FALSE)*100000</f>
        <v>2250000</v>
      </c>
      <c r="V57" s="9">
        <f>SUM('[1]Summary - Pricing'!$D$18,'[1]Summary - Pricing'!$D$21)*'TR 01 Inventory'!L57</f>
        <v>3817550</v>
      </c>
      <c r="W57" s="9">
        <f>'[1]Summary - Pricing'!$D$7*'TR 01 Inventory'!L57</f>
        <v>81675000</v>
      </c>
      <c r="X57" s="8">
        <f>W57+V57+U57+T57+S57</f>
        <v>97567550</v>
      </c>
    </row>
    <row r="58" spans="2:24" x14ac:dyDescent="0.3">
      <c r="B58" s="21" t="s">
        <v>167</v>
      </c>
      <c r="C58" s="21" t="s">
        <v>169</v>
      </c>
      <c r="D58" s="21" t="s">
        <v>241</v>
      </c>
      <c r="E58" s="10">
        <v>10</v>
      </c>
      <c r="F58" s="10" t="s">
        <v>54</v>
      </c>
      <c r="G58" s="11">
        <v>352.74900000000002</v>
      </c>
      <c r="H58" s="11">
        <v>3796.9549611000002</v>
      </c>
      <c r="I58" s="11">
        <v>742.1063216</v>
      </c>
      <c r="J58" s="11">
        <v>472.52499999999998</v>
      </c>
      <c r="K58" s="11">
        <v>5086.2118474999997</v>
      </c>
      <c r="L58" s="10">
        <v>6050</v>
      </c>
      <c r="M58" s="5" t="str">
        <f>HLOOKUP($F58,'[1]Summary - Pricing'!$D$3:$L$16,13,FALSE)</f>
        <v>Y</v>
      </c>
      <c r="N58" s="5" t="str">
        <f>HLOOKUP($F58,'[1]Summary - Pricing'!$D$3:$L$16,14,FALSE)</f>
        <v>Y</v>
      </c>
      <c r="O58" s="9">
        <f>IF(M58="Y",'[1]Summary - Pricing'!$D$10,0)</f>
        <v>750</v>
      </c>
      <c r="P58" s="9">
        <f>IF(N58="Y",'[1]Summary - Pricing'!$D$13,0)</f>
        <v>750</v>
      </c>
      <c r="Q58" s="9">
        <f>IF(AND(E58&gt;5,E58&lt;16),0,IF(E58&lt;6,'[1]Summary - Pricing'!$D$11,IF('TR 01 Inventory'!E58&gt;15,('TR 01 Inventory'!E58-15)*'[1]Summary - Pricing'!$D$12)))</f>
        <v>0</v>
      </c>
      <c r="R58" s="8">
        <f>SUM(O58:Q58)</f>
        <v>1500</v>
      </c>
      <c r="S58" s="9">
        <f>R58*L58</f>
        <v>9075000</v>
      </c>
      <c r="T58" s="9">
        <v>750000</v>
      </c>
      <c r="U58" s="9">
        <f>HLOOKUP(F58,'[1]Summary - Pricing'!$D$3:$L$20,18,FALSE)*100000</f>
        <v>2250000</v>
      </c>
      <c r="V58" s="9">
        <f>SUM('[1]Summary - Pricing'!$D$18,'[1]Summary - Pricing'!$D$21)*'TR 01 Inventory'!L58</f>
        <v>3817550</v>
      </c>
      <c r="W58" s="9">
        <f>'[1]Summary - Pricing'!$D$7*'TR 01 Inventory'!L58</f>
        <v>81675000</v>
      </c>
      <c r="X58" s="8">
        <f>W58+V58+U58+T58+S58</f>
        <v>97567550</v>
      </c>
    </row>
    <row r="59" spans="2:24" x14ac:dyDescent="0.3">
      <c r="B59" s="21" t="s">
        <v>167</v>
      </c>
      <c r="C59" s="21" t="s">
        <v>169</v>
      </c>
      <c r="D59" s="21" t="s">
        <v>240</v>
      </c>
      <c r="E59" s="10">
        <v>11</v>
      </c>
      <c r="F59" s="10" t="s">
        <v>62</v>
      </c>
      <c r="G59" s="11">
        <v>350.75099999999998</v>
      </c>
      <c r="H59" s="11">
        <v>3775.4486888999995</v>
      </c>
      <c r="I59" s="11">
        <v>742.1063216</v>
      </c>
      <c r="J59" s="11">
        <v>472.80500000000001</v>
      </c>
      <c r="K59" s="11">
        <v>5089.2257394999997</v>
      </c>
      <c r="L59" s="10">
        <v>6050</v>
      </c>
      <c r="M59" s="5" t="str">
        <f>HLOOKUP($F59,'[1]Summary - Pricing'!$D$3:$L$16,13,FALSE)</f>
        <v>Y</v>
      </c>
      <c r="N59" s="5" t="str">
        <f>HLOOKUP($F59,'[1]Summary - Pricing'!$D$3:$L$16,14,FALSE)</f>
        <v>Y</v>
      </c>
      <c r="O59" s="9">
        <f>IF(M59="Y",'[1]Summary - Pricing'!$D$10,0)</f>
        <v>750</v>
      </c>
      <c r="P59" s="9">
        <f>IF(N59="Y",'[1]Summary - Pricing'!$D$13,0)</f>
        <v>750</v>
      </c>
      <c r="Q59" s="9">
        <f>IF(AND(E59&gt;5,E59&lt;16),0,IF(E59&lt;6,'[1]Summary - Pricing'!$D$11,IF('TR 01 Inventory'!E59&gt;15,('TR 01 Inventory'!E59-15)*'[1]Summary - Pricing'!$D$12)))</f>
        <v>0</v>
      </c>
      <c r="R59" s="8">
        <f>SUM(O59:Q59)</f>
        <v>1500</v>
      </c>
      <c r="S59" s="9">
        <f>R59*L59</f>
        <v>9075000</v>
      </c>
      <c r="T59" s="9">
        <v>750000</v>
      </c>
      <c r="U59" s="9">
        <f>HLOOKUP(F59,'[1]Summary - Pricing'!$D$3:$L$20,18,FALSE)*100000</f>
        <v>2250000</v>
      </c>
      <c r="V59" s="9">
        <f>SUM('[1]Summary - Pricing'!$D$18,'[1]Summary - Pricing'!$D$21)*'TR 01 Inventory'!L59</f>
        <v>3817550</v>
      </c>
      <c r="W59" s="9">
        <f>'[1]Summary - Pricing'!$D$7*'TR 01 Inventory'!L59</f>
        <v>81675000</v>
      </c>
      <c r="X59" s="8">
        <f>W59+V59+U59+T59+S59</f>
        <v>97567550</v>
      </c>
    </row>
    <row r="60" spans="2:24" x14ac:dyDescent="0.3">
      <c r="B60" s="21" t="s">
        <v>167</v>
      </c>
      <c r="C60" s="21" t="s">
        <v>169</v>
      </c>
      <c r="D60" s="21" t="s">
        <v>239</v>
      </c>
      <c r="E60" s="10">
        <v>12</v>
      </c>
      <c r="F60" s="10" t="s">
        <v>54</v>
      </c>
      <c r="G60" s="11">
        <v>352.74900000000002</v>
      </c>
      <c r="H60" s="11">
        <v>3796.9549611000002</v>
      </c>
      <c r="I60" s="11">
        <v>742.1063216</v>
      </c>
      <c r="J60" s="11">
        <v>472.52499999999998</v>
      </c>
      <c r="K60" s="11">
        <v>5086.2118474999997</v>
      </c>
      <c r="L60" s="10">
        <v>6050</v>
      </c>
      <c r="M60" s="5" t="str">
        <f>HLOOKUP($F60,'[1]Summary - Pricing'!$D$3:$L$16,13,FALSE)</f>
        <v>Y</v>
      </c>
      <c r="N60" s="5" t="str">
        <f>HLOOKUP($F60,'[1]Summary - Pricing'!$D$3:$L$16,14,FALSE)</f>
        <v>Y</v>
      </c>
      <c r="O60" s="9">
        <f>IF(M60="Y",'[1]Summary - Pricing'!$D$10,0)</f>
        <v>750</v>
      </c>
      <c r="P60" s="9">
        <f>IF(N60="Y",'[1]Summary - Pricing'!$D$13,0)</f>
        <v>750</v>
      </c>
      <c r="Q60" s="9">
        <f>IF(AND(E60&gt;5,E60&lt;16),0,IF(E60&lt;6,'[1]Summary - Pricing'!$D$11,IF('TR 01 Inventory'!E60&gt;15,('TR 01 Inventory'!E60-15)*'[1]Summary - Pricing'!$D$12)))</f>
        <v>0</v>
      </c>
      <c r="R60" s="8">
        <f>SUM(O60:Q60)</f>
        <v>1500</v>
      </c>
      <c r="S60" s="9">
        <f>R60*L60</f>
        <v>9075000</v>
      </c>
      <c r="T60" s="9">
        <v>750000</v>
      </c>
      <c r="U60" s="9">
        <f>HLOOKUP(F60,'[1]Summary - Pricing'!$D$3:$L$20,18,FALSE)*100000</f>
        <v>2250000</v>
      </c>
      <c r="V60" s="9">
        <f>SUM('[1]Summary - Pricing'!$D$18,'[1]Summary - Pricing'!$D$21)*'TR 01 Inventory'!L60</f>
        <v>3817550</v>
      </c>
      <c r="W60" s="9">
        <f>'[1]Summary - Pricing'!$D$7*'TR 01 Inventory'!L60</f>
        <v>81675000</v>
      </c>
      <c r="X60" s="8">
        <f>W60+V60+U60+T60+S60</f>
        <v>97567550</v>
      </c>
    </row>
    <row r="61" spans="2:24" x14ac:dyDescent="0.3">
      <c r="B61" s="21" t="s">
        <v>167</v>
      </c>
      <c r="C61" s="21" t="s">
        <v>169</v>
      </c>
      <c r="D61" s="21" t="s">
        <v>238</v>
      </c>
      <c r="E61" s="10">
        <v>14</v>
      </c>
      <c r="F61" s="10" t="s">
        <v>62</v>
      </c>
      <c r="G61" s="11">
        <v>350.75099999999998</v>
      </c>
      <c r="H61" s="11">
        <v>3775.4486888999995</v>
      </c>
      <c r="I61" s="11">
        <v>742.1063216</v>
      </c>
      <c r="J61" s="11">
        <v>472.80500000000001</v>
      </c>
      <c r="K61" s="11">
        <v>5089.2257394999997</v>
      </c>
      <c r="L61" s="10">
        <v>6050</v>
      </c>
      <c r="M61" s="5" t="str">
        <f>HLOOKUP($F61,'[1]Summary - Pricing'!$D$3:$L$16,13,FALSE)</f>
        <v>Y</v>
      </c>
      <c r="N61" s="5" t="str">
        <f>HLOOKUP($F61,'[1]Summary - Pricing'!$D$3:$L$16,14,FALSE)</f>
        <v>Y</v>
      </c>
      <c r="O61" s="9">
        <f>IF(M61="Y",'[1]Summary - Pricing'!$D$10,0)</f>
        <v>750</v>
      </c>
      <c r="P61" s="9">
        <f>IF(N61="Y",'[1]Summary - Pricing'!$D$13,0)</f>
        <v>750</v>
      </c>
      <c r="Q61" s="9">
        <f>IF(AND(E61&gt;5,E61&lt;16),0,IF(E61&lt;6,'[1]Summary - Pricing'!$D$11,IF('TR 01 Inventory'!E61&gt;15,('TR 01 Inventory'!E61-15)*'[1]Summary - Pricing'!$D$12)))</f>
        <v>0</v>
      </c>
      <c r="R61" s="8">
        <f>SUM(O61:Q61)</f>
        <v>1500</v>
      </c>
      <c r="S61" s="9">
        <f>R61*L61</f>
        <v>9075000</v>
      </c>
      <c r="T61" s="9">
        <v>750000</v>
      </c>
      <c r="U61" s="9">
        <f>HLOOKUP(F61,'[1]Summary - Pricing'!$D$3:$L$20,18,FALSE)*100000</f>
        <v>2250000</v>
      </c>
      <c r="V61" s="9">
        <f>SUM('[1]Summary - Pricing'!$D$18,'[1]Summary - Pricing'!$D$21)*'TR 01 Inventory'!L61</f>
        <v>3817550</v>
      </c>
      <c r="W61" s="9">
        <f>'[1]Summary - Pricing'!$D$7*'TR 01 Inventory'!L61</f>
        <v>81675000</v>
      </c>
      <c r="X61" s="8">
        <f>W61+V61+U61+T61+S61</f>
        <v>97567550</v>
      </c>
    </row>
    <row r="62" spans="2:24" x14ac:dyDescent="0.3">
      <c r="B62" s="21" t="s">
        <v>167</v>
      </c>
      <c r="C62" s="21" t="s">
        <v>169</v>
      </c>
      <c r="D62" s="21" t="s">
        <v>237</v>
      </c>
      <c r="E62" s="10">
        <v>15</v>
      </c>
      <c r="F62" s="10" t="s">
        <v>54</v>
      </c>
      <c r="G62" s="11">
        <v>352.74900000000002</v>
      </c>
      <c r="H62" s="11">
        <v>3796.9549611000002</v>
      </c>
      <c r="I62" s="11">
        <v>742.1063216</v>
      </c>
      <c r="J62" s="11">
        <v>472.52499999999998</v>
      </c>
      <c r="K62" s="11">
        <v>5086.2118474999997</v>
      </c>
      <c r="L62" s="10">
        <v>6050</v>
      </c>
      <c r="M62" s="5" t="str">
        <f>HLOOKUP($F62,'[1]Summary - Pricing'!$D$3:$L$16,13,FALSE)</f>
        <v>Y</v>
      </c>
      <c r="N62" s="5" t="str">
        <f>HLOOKUP($F62,'[1]Summary - Pricing'!$D$3:$L$16,14,FALSE)</f>
        <v>Y</v>
      </c>
      <c r="O62" s="9">
        <f>IF(M62="Y",'[1]Summary - Pricing'!$D$10,0)</f>
        <v>750</v>
      </c>
      <c r="P62" s="9">
        <f>IF(N62="Y",'[1]Summary - Pricing'!$D$13,0)</f>
        <v>750</v>
      </c>
      <c r="Q62" s="9">
        <f>IF(AND(E62&gt;5,E62&lt;16),0,IF(E62&lt;6,'[1]Summary - Pricing'!$D$11,IF('TR 01 Inventory'!E62&gt;15,('TR 01 Inventory'!E62-15)*'[1]Summary - Pricing'!$D$12)))</f>
        <v>0</v>
      </c>
      <c r="R62" s="8">
        <f>SUM(O62:Q62)</f>
        <v>1500</v>
      </c>
      <c r="S62" s="9">
        <f>R62*L62</f>
        <v>9075000</v>
      </c>
      <c r="T62" s="9">
        <v>750000</v>
      </c>
      <c r="U62" s="9">
        <f>HLOOKUP(F62,'[1]Summary - Pricing'!$D$3:$L$20,18,FALSE)*100000</f>
        <v>2250000</v>
      </c>
      <c r="V62" s="9">
        <f>SUM('[1]Summary - Pricing'!$D$18,'[1]Summary - Pricing'!$D$21)*'TR 01 Inventory'!L62</f>
        <v>3817550</v>
      </c>
      <c r="W62" s="9">
        <f>'[1]Summary - Pricing'!$D$7*'TR 01 Inventory'!L62</f>
        <v>81675000</v>
      </c>
      <c r="X62" s="8">
        <f>W62+V62+U62+T62+S62</f>
        <v>97567550</v>
      </c>
    </row>
    <row r="63" spans="2:24" x14ac:dyDescent="0.3">
      <c r="B63" s="21" t="s">
        <v>167</v>
      </c>
      <c r="C63" s="21" t="s">
        <v>169</v>
      </c>
      <c r="D63" s="21" t="s">
        <v>236</v>
      </c>
      <c r="E63" s="10">
        <v>16</v>
      </c>
      <c r="F63" s="10" t="s">
        <v>62</v>
      </c>
      <c r="G63" s="11">
        <v>350.75099999999998</v>
      </c>
      <c r="H63" s="11">
        <v>3775.4486888999995</v>
      </c>
      <c r="I63" s="11">
        <v>742.1063216</v>
      </c>
      <c r="J63" s="11">
        <v>472.80500000000001</v>
      </c>
      <c r="K63" s="11">
        <v>5089.2257394999997</v>
      </c>
      <c r="L63" s="10">
        <v>6050</v>
      </c>
      <c r="M63" s="5" t="str">
        <f>HLOOKUP($F63,'[1]Summary - Pricing'!$D$3:$L$16,13,FALSE)</f>
        <v>Y</v>
      </c>
      <c r="N63" s="5" t="str">
        <f>HLOOKUP($F63,'[1]Summary - Pricing'!$D$3:$L$16,14,FALSE)</f>
        <v>Y</v>
      </c>
      <c r="O63" s="9">
        <f>IF(M63="Y",'[1]Summary - Pricing'!$D$10,0)</f>
        <v>750</v>
      </c>
      <c r="P63" s="9">
        <f>IF(N63="Y",'[1]Summary - Pricing'!$D$13,0)</f>
        <v>750</v>
      </c>
      <c r="Q63" s="9">
        <f>IF(AND(E63&gt;5,E63&lt;16),0,IF(E63&lt;6,'[1]Summary - Pricing'!$D$11,IF('TR 01 Inventory'!E63&gt;15,('TR 01 Inventory'!E63-15)*'[1]Summary - Pricing'!$D$12)))</f>
        <v>50</v>
      </c>
      <c r="R63" s="8">
        <f>SUM(O63:Q63)</f>
        <v>1550</v>
      </c>
      <c r="S63" s="9">
        <f>R63*L63</f>
        <v>9377500</v>
      </c>
      <c r="T63" s="9">
        <v>750000</v>
      </c>
      <c r="U63" s="9">
        <f>HLOOKUP(F63,'[1]Summary - Pricing'!$D$3:$L$20,18,FALSE)*100000</f>
        <v>2250000</v>
      </c>
      <c r="V63" s="9">
        <f>SUM('[1]Summary - Pricing'!$D$18,'[1]Summary - Pricing'!$D$21)*'TR 01 Inventory'!L63</f>
        <v>3817550</v>
      </c>
      <c r="W63" s="9">
        <f>'[1]Summary - Pricing'!$D$7*'TR 01 Inventory'!L63</f>
        <v>81675000</v>
      </c>
      <c r="X63" s="8">
        <f>W63+V63+U63+T63+S63</f>
        <v>97870050</v>
      </c>
    </row>
    <row r="64" spans="2:24" x14ac:dyDescent="0.3">
      <c r="B64" s="21" t="s">
        <v>167</v>
      </c>
      <c r="C64" s="21" t="s">
        <v>169</v>
      </c>
      <c r="D64" s="21" t="s">
        <v>235</v>
      </c>
      <c r="E64" s="10">
        <v>17</v>
      </c>
      <c r="F64" s="10" t="s">
        <v>54</v>
      </c>
      <c r="G64" s="11">
        <v>352.74900000000002</v>
      </c>
      <c r="H64" s="11">
        <v>3796.9549611000002</v>
      </c>
      <c r="I64" s="11">
        <v>742.1063216</v>
      </c>
      <c r="J64" s="11">
        <v>472.52499999999998</v>
      </c>
      <c r="K64" s="11">
        <v>5086.2118474999997</v>
      </c>
      <c r="L64" s="10">
        <v>6050</v>
      </c>
      <c r="M64" s="5" t="str">
        <f>HLOOKUP($F64,'[1]Summary - Pricing'!$D$3:$L$16,13,FALSE)</f>
        <v>Y</v>
      </c>
      <c r="N64" s="5" t="str">
        <f>HLOOKUP($F64,'[1]Summary - Pricing'!$D$3:$L$16,14,FALSE)</f>
        <v>Y</v>
      </c>
      <c r="O64" s="9">
        <f>IF(M64="Y",'[1]Summary - Pricing'!$D$10,0)</f>
        <v>750</v>
      </c>
      <c r="P64" s="9">
        <f>IF(N64="Y",'[1]Summary - Pricing'!$D$13,0)</f>
        <v>750</v>
      </c>
      <c r="Q64" s="9">
        <f>IF(AND(E64&gt;5,E64&lt;16),0,IF(E64&lt;6,'[1]Summary - Pricing'!$D$11,IF('TR 01 Inventory'!E64&gt;15,('TR 01 Inventory'!E64-15)*'[1]Summary - Pricing'!$D$12)))</f>
        <v>100</v>
      </c>
      <c r="R64" s="8">
        <f>SUM(O64:Q64)</f>
        <v>1600</v>
      </c>
      <c r="S64" s="9">
        <f>R64*L64</f>
        <v>9680000</v>
      </c>
      <c r="T64" s="9">
        <v>750000</v>
      </c>
      <c r="U64" s="9">
        <f>HLOOKUP(F64,'[1]Summary - Pricing'!$D$3:$L$20,18,FALSE)*100000</f>
        <v>2250000</v>
      </c>
      <c r="V64" s="9">
        <f>SUM('[1]Summary - Pricing'!$D$18,'[1]Summary - Pricing'!$D$21)*'TR 01 Inventory'!L64</f>
        <v>3817550</v>
      </c>
      <c r="W64" s="9">
        <f>'[1]Summary - Pricing'!$D$7*'TR 01 Inventory'!L64</f>
        <v>81675000</v>
      </c>
      <c r="X64" s="8">
        <f>W64+V64+U64+T64+S64</f>
        <v>98172550</v>
      </c>
    </row>
    <row r="65" spans="2:24" x14ac:dyDescent="0.3">
      <c r="B65" s="21" t="s">
        <v>167</v>
      </c>
      <c r="C65" s="21" t="s">
        <v>169</v>
      </c>
      <c r="D65" s="21" t="s">
        <v>234</v>
      </c>
      <c r="E65" s="10">
        <v>18</v>
      </c>
      <c r="F65" s="10" t="s">
        <v>62</v>
      </c>
      <c r="G65" s="11">
        <v>350.75099999999998</v>
      </c>
      <c r="H65" s="11">
        <v>3775.4486888999995</v>
      </c>
      <c r="I65" s="11">
        <v>742.1063216</v>
      </c>
      <c r="J65" s="11">
        <v>472.80500000000001</v>
      </c>
      <c r="K65" s="11">
        <v>5089.2257394999997</v>
      </c>
      <c r="L65" s="10">
        <v>6050</v>
      </c>
      <c r="M65" s="5" t="str">
        <f>HLOOKUP($F65,'[1]Summary - Pricing'!$D$3:$L$16,13,FALSE)</f>
        <v>Y</v>
      </c>
      <c r="N65" s="5" t="str">
        <f>HLOOKUP($F65,'[1]Summary - Pricing'!$D$3:$L$16,14,FALSE)</f>
        <v>Y</v>
      </c>
      <c r="O65" s="9">
        <f>IF(M65="Y",'[1]Summary - Pricing'!$D$10,0)</f>
        <v>750</v>
      </c>
      <c r="P65" s="9">
        <f>IF(N65="Y",'[1]Summary - Pricing'!$D$13,0)</f>
        <v>750</v>
      </c>
      <c r="Q65" s="9">
        <f>IF(AND(E65&gt;5,E65&lt;16),0,IF(E65&lt;6,'[1]Summary - Pricing'!$D$11,IF('TR 01 Inventory'!E65&gt;15,('TR 01 Inventory'!E65-15)*'[1]Summary - Pricing'!$D$12)))</f>
        <v>150</v>
      </c>
      <c r="R65" s="8">
        <f>SUM(O65:Q65)</f>
        <v>1650</v>
      </c>
      <c r="S65" s="9">
        <f>R65*L65</f>
        <v>9982500</v>
      </c>
      <c r="T65" s="9">
        <v>750000</v>
      </c>
      <c r="U65" s="9">
        <f>HLOOKUP(F65,'[1]Summary - Pricing'!$D$3:$L$20,18,FALSE)*100000</f>
        <v>2250000</v>
      </c>
      <c r="V65" s="9">
        <f>SUM('[1]Summary - Pricing'!$D$18,'[1]Summary - Pricing'!$D$21)*'TR 01 Inventory'!L65</f>
        <v>3817550</v>
      </c>
      <c r="W65" s="9">
        <f>'[1]Summary - Pricing'!$D$7*'TR 01 Inventory'!L65</f>
        <v>81675000</v>
      </c>
      <c r="X65" s="8">
        <f>W65+V65+U65+T65+S65</f>
        <v>98475050</v>
      </c>
    </row>
    <row r="66" spans="2:24" x14ac:dyDescent="0.3">
      <c r="B66" s="21" t="s">
        <v>167</v>
      </c>
      <c r="C66" s="21" t="s">
        <v>169</v>
      </c>
      <c r="D66" s="21" t="s">
        <v>233</v>
      </c>
      <c r="E66" s="10">
        <v>19</v>
      </c>
      <c r="F66" s="10" t="s">
        <v>54</v>
      </c>
      <c r="G66" s="11">
        <v>352.74900000000002</v>
      </c>
      <c r="H66" s="11">
        <v>3796.9549611000002</v>
      </c>
      <c r="I66" s="11">
        <v>742.1063216</v>
      </c>
      <c r="J66" s="11">
        <v>472.52499999999998</v>
      </c>
      <c r="K66" s="11">
        <v>5086.2118474999997</v>
      </c>
      <c r="L66" s="10">
        <v>6050</v>
      </c>
      <c r="M66" s="5" t="str">
        <f>HLOOKUP($F66,'[1]Summary - Pricing'!$D$3:$L$16,13,FALSE)</f>
        <v>Y</v>
      </c>
      <c r="N66" s="5" t="str">
        <f>HLOOKUP($F66,'[1]Summary - Pricing'!$D$3:$L$16,14,FALSE)</f>
        <v>Y</v>
      </c>
      <c r="O66" s="9">
        <f>IF(M66="Y",'[1]Summary - Pricing'!$D$10,0)</f>
        <v>750</v>
      </c>
      <c r="P66" s="9">
        <f>IF(N66="Y",'[1]Summary - Pricing'!$D$13,0)</f>
        <v>750</v>
      </c>
      <c r="Q66" s="9">
        <f>IF(AND(E66&gt;5,E66&lt;16),0,IF(E66&lt;6,'[1]Summary - Pricing'!$D$11,IF('TR 01 Inventory'!E66&gt;15,('TR 01 Inventory'!E66-15)*'[1]Summary - Pricing'!$D$12)))</f>
        <v>200</v>
      </c>
      <c r="R66" s="8">
        <f>SUM(O66:Q66)</f>
        <v>1700</v>
      </c>
      <c r="S66" s="9">
        <f>R66*L66</f>
        <v>10285000</v>
      </c>
      <c r="T66" s="9">
        <v>750000</v>
      </c>
      <c r="U66" s="9">
        <f>HLOOKUP(F66,'[1]Summary - Pricing'!$D$3:$L$20,18,FALSE)*100000</f>
        <v>2250000</v>
      </c>
      <c r="V66" s="9">
        <f>SUM('[1]Summary - Pricing'!$D$18,'[1]Summary - Pricing'!$D$21)*'TR 01 Inventory'!L66</f>
        <v>3817550</v>
      </c>
      <c r="W66" s="9">
        <f>'[1]Summary - Pricing'!$D$7*'TR 01 Inventory'!L66</f>
        <v>81675000</v>
      </c>
      <c r="X66" s="8">
        <f>W66+V66+U66+T66+S66</f>
        <v>98777550</v>
      </c>
    </row>
    <row r="67" spans="2:24" x14ac:dyDescent="0.3">
      <c r="B67" s="21" t="s">
        <v>167</v>
      </c>
      <c r="C67" s="21" t="s">
        <v>169</v>
      </c>
      <c r="D67" s="21" t="s">
        <v>232</v>
      </c>
      <c r="E67" s="10">
        <v>20</v>
      </c>
      <c r="F67" s="10" t="s">
        <v>62</v>
      </c>
      <c r="G67" s="11">
        <v>350.75099999999998</v>
      </c>
      <c r="H67" s="11">
        <v>3775.4486888999995</v>
      </c>
      <c r="I67" s="11">
        <v>742.1063216</v>
      </c>
      <c r="J67" s="11">
        <v>472.80500000000001</v>
      </c>
      <c r="K67" s="11">
        <v>5089.2257394999997</v>
      </c>
      <c r="L67" s="10">
        <v>6050</v>
      </c>
      <c r="M67" s="5" t="str">
        <f>HLOOKUP($F67,'[1]Summary - Pricing'!$D$3:$L$16,13,FALSE)</f>
        <v>Y</v>
      </c>
      <c r="N67" s="5" t="str">
        <f>HLOOKUP($F67,'[1]Summary - Pricing'!$D$3:$L$16,14,FALSE)</f>
        <v>Y</v>
      </c>
      <c r="O67" s="9">
        <f>IF(M67="Y",'[1]Summary - Pricing'!$D$10,0)</f>
        <v>750</v>
      </c>
      <c r="P67" s="9">
        <f>IF(N67="Y",'[1]Summary - Pricing'!$D$13,0)</f>
        <v>750</v>
      </c>
      <c r="Q67" s="9">
        <f>IF(AND(E67&gt;5,E67&lt;16),0,IF(E67&lt;6,'[1]Summary - Pricing'!$D$11,IF('TR 01 Inventory'!E67&gt;15,('TR 01 Inventory'!E67-15)*'[1]Summary - Pricing'!$D$12)))</f>
        <v>250</v>
      </c>
      <c r="R67" s="8">
        <f>SUM(O67:Q67)</f>
        <v>1750</v>
      </c>
      <c r="S67" s="9">
        <f>R67*L67</f>
        <v>10587500</v>
      </c>
      <c r="T67" s="9">
        <v>750000</v>
      </c>
      <c r="U67" s="9">
        <f>HLOOKUP(F67,'[1]Summary - Pricing'!$D$3:$L$20,18,FALSE)*100000</f>
        <v>2250000</v>
      </c>
      <c r="V67" s="9">
        <f>SUM('[1]Summary - Pricing'!$D$18,'[1]Summary - Pricing'!$D$21)*'TR 01 Inventory'!L67</f>
        <v>3817550</v>
      </c>
      <c r="W67" s="9">
        <f>'[1]Summary - Pricing'!$D$7*'TR 01 Inventory'!L67</f>
        <v>81675000</v>
      </c>
      <c r="X67" s="8">
        <f>W67+V67+U67+T67+S67</f>
        <v>99080050</v>
      </c>
    </row>
    <row r="68" spans="2:24" x14ac:dyDescent="0.3">
      <c r="B68" s="21" t="s">
        <v>167</v>
      </c>
      <c r="C68" s="21" t="s">
        <v>169</v>
      </c>
      <c r="D68" s="21" t="s">
        <v>231</v>
      </c>
      <c r="E68" s="10">
        <v>21</v>
      </c>
      <c r="F68" s="10" t="s">
        <v>54</v>
      </c>
      <c r="G68" s="11">
        <v>352.74900000000002</v>
      </c>
      <c r="H68" s="11">
        <v>3796.9549611000002</v>
      </c>
      <c r="I68" s="11">
        <v>742.1063216</v>
      </c>
      <c r="J68" s="11">
        <v>472.52499999999998</v>
      </c>
      <c r="K68" s="11">
        <v>5086.2118474999997</v>
      </c>
      <c r="L68" s="10">
        <v>6050</v>
      </c>
      <c r="M68" s="5" t="str">
        <f>HLOOKUP($F68,'[1]Summary - Pricing'!$D$3:$L$16,13,FALSE)</f>
        <v>Y</v>
      </c>
      <c r="N68" s="5" t="str">
        <f>HLOOKUP($F68,'[1]Summary - Pricing'!$D$3:$L$16,14,FALSE)</f>
        <v>Y</v>
      </c>
      <c r="O68" s="9">
        <f>IF(M68="Y",'[1]Summary - Pricing'!$D$10,0)</f>
        <v>750</v>
      </c>
      <c r="P68" s="9">
        <f>IF(N68="Y",'[1]Summary - Pricing'!$D$13,0)</f>
        <v>750</v>
      </c>
      <c r="Q68" s="9">
        <f>IF(AND(E68&gt;5,E68&lt;16),0,IF(E68&lt;6,'[1]Summary - Pricing'!$D$11,IF('TR 01 Inventory'!E68&gt;15,('TR 01 Inventory'!E68-15)*'[1]Summary - Pricing'!$D$12)))</f>
        <v>300</v>
      </c>
      <c r="R68" s="8">
        <f>SUM(O68:Q68)</f>
        <v>1800</v>
      </c>
      <c r="S68" s="9">
        <f>R68*L68</f>
        <v>10890000</v>
      </c>
      <c r="T68" s="9">
        <v>750000</v>
      </c>
      <c r="U68" s="9">
        <f>HLOOKUP(F68,'[1]Summary - Pricing'!$D$3:$L$20,18,FALSE)*100000</f>
        <v>2250000</v>
      </c>
      <c r="V68" s="9">
        <f>SUM('[1]Summary - Pricing'!$D$18,'[1]Summary - Pricing'!$D$21)*'TR 01 Inventory'!L68</f>
        <v>3817550</v>
      </c>
      <c r="W68" s="9">
        <f>'[1]Summary - Pricing'!$D$7*'TR 01 Inventory'!L68</f>
        <v>81675000</v>
      </c>
      <c r="X68" s="8">
        <f>W68+V68+U68+T68+S68</f>
        <v>99382550</v>
      </c>
    </row>
    <row r="69" spans="2:24" x14ac:dyDescent="0.3">
      <c r="B69" s="21" t="s">
        <v>167</v>
      </c>
      <c r="C69" s="21" t="s">
        <v>169</v>
      </c>
      <c r="D69" s="21" t="s">
        <v>230</v>
      </c>
      <c r="E69" s="10">
        <v>22</v>
      </c>
      <c r="F69" s="10" t="s">
        <v>62</v>
      </c>
      <c r="G69" s="11">
        <v>350.75099999999998</v>
      </c>
      <c r="H69" s="11">
        <v>3775.4486888999995</v>
      </c>
      <c r="I69" s="11">
        <v>742.1063216</v>
      </c>
      <c r="J69" s="11">
        <v>472.80500000000001</v>
      </c>
      <c r="K69" s="11">
        <v>5089.2257394999997</v>
      </c>
      <c r="L69" s="10">
        <v>6050</v>
      </c>
      <c r="M69" s="5" t="str">
        <f>HLOOKUP($F69,'[1]Summary - Pricing'!$D$3:$L$16,13,FALSE)</f>
        <v>Y</v>
      </c>
      <c r="N69" s="5" t="str">
        <f>HLOOKUP($F69,'[1]Summary - Pricing'!$D$3:$L$16,14,FALSE)</f>
        <v>Y</v>
      </c>
      <c r="O69" s="9">
        <f>IF(M69="Y",'[1]Summary - Pricing'!$D$10,0)</f>
        <v>750</v>
      </c>
      <c r="P69" s="9">
        <f>IF(N69="Y",'[1]Summary - Pricing'!$D$13,0)</f>
        <v>750</v>
      </c>
      <c r="Q69" s="9">
        <f>IF(AND(E69&gt;5,E69&lt;16),0,IF(E69&lt;6,'[1]Summary - Pricing'!$D$11,IF('TR 01 Inventory'!E69&gt;15,('TR 01 Inventory'!E69-15)*'[1]Summary - Pricing'!$D$12)))</f>
        <v>350</v>
      </c>
      <c r="R69" s="8">
        <f>SUM(O69:Q69)</f>
        <v>1850</v>
      </c>
      <c r="S69" s="9">
        <f>R69*L69</f>
        <v>11192500</v>
      </c>
      <c r="T69" s="9">
        <v>750000</v>
      </c>
      <c r="U69" s="9">
        <f>HLOOKUP(F69,'[1]Summary - Pricing'!$D$3:$L$20,18,FALSE)*100000</f>
        <v>2250000</v>
      </c>
      <c r="V69" s="9">
        <f>SUM('[1]Summary - Pricing'!$D$18,'[1]Summary - Pricing'!$D$21)*'TR 01 Inventory'!L69</f>
        <v>3817550</v>
      </c>
      <c r="W69" s="9">
        <f>'[1]Summary - Pricing'!$D$7*'TR 01 Inventory'!L69</f>
        <v>81675000</v>
      </c>
      <c r="X69" s="8">
        <f>W69+V69+U69+T69+S69</f>
        <v>99685050</v>
      </c>
    </row>
    <row r="70" spans="2:24" x14ac:dyDescent="0.3">
      <c r="B70" s="21" t="s">
        <v>167</v>
      </c>
      <c r="C70" s="21" t="s">
        <v>169</v>
      </c>
      <c r="D70" s="21" t="s">
        <v>229</v>
      </c>
      <c r="E70" s="10">
        <v>23</v>
      </c>
      <c r="F70" s="10" t="s">
        <v>54</v>
      </c>
      <c r="G70" s="11">
        <v>352.74900000000002</v>
      </c>
      <c r="H70" s="11">
        <v>3796.9549611000002</v>
      </c>
      <c r="I70" s="11">
        <v>742.1063216</v>
      </c>
      <c r="J70" s="11">
        <v>472.52499999999998</v>
      </c>
      <c r="K70" s="11">
        <v>5086.2118474999997</v>
      </c>
      <c r="L70" s="10">
        <v>6050</v>
      </c>
      <c r="M70" s="5" t="str">
        <f>HLOOKUP($F70,'[1]Summary - Pricing'!$D$3:$L$16,13,FALSE)</f>
        <v>Y</v>
      </c>
      <c r="N70" s="5" t="str">
        <f>HLOOKUP($F70,'[1]Summary - Pricing'!$D$3:$L$16,14,FALSE)</f>
        <v>Y</v>
      </c>
      <c r="O70" s="9">
        <f>IF(M70="Y",'[1]Summary - Pricing'!$D$10,0)</f>
        <v>750</v>
      </c>
      <c r="P70" s="9">
        <f>IF(N70="Y",'[1]Summary - Pricing'!$D$13,0)</f>
        <v>750</v>
      </c>
      <c r="Q70" s="9">
        <f>IF(AND(E70&gt;5,E70&lt;16),0,IF(E70&lt;6,'[1]Summary - Pricing'!$D$11,IF('TR 01 Inventory'!E70&gt;15,('TR 01 Inventory'!E70-15)*'[1]Summary - Pricing'!$D$12)))</f>
        <v>400</v>
      </c>
      <c r="R70" s="8">
        <f>SUM(O70:Q70)</f>
        <v>1900</v>
      </c>
      <c r="S70" s="9">
        <f>R70*L70</f>
        <v>11495000</v>
      </c>
      <c r="T70" s="9">
        <v>750000</v>
      </c>
      <c r="U70" s="9">
        <f>HLOOKUP(F70,'[1]Summary - Pricing'!$D$3:$L$20,18,FALSE)*100000</f>
        <v>2250000</v>
      </c>
      <c r="V70" s="9">
        <f>SUM('[1]Summary - Pricing'!$D$18,'[1]Summary - Pricing'!$D$21)*'TR 01 Inventory'!L70</f>
        <v>3817550</v>
      </c>
      <c r="W70" s="9">
        <f>'[1]Summary - Pricing'!$D$7*'TR 01 Inventory'!L70</f>
        <v>81675000</v>
      </c>
      <c r="X70" s="8">
        <f>W70+V70+U70+T70+S70</f>
        <v>99987550</v>
      </c>
    </row>
    <row r="71" spans="2:24" x14ac:dyDescent="0.3">
      <c r="B71" s="21" t="s">
        <v>167</v>
      </c>
      <c r="C71" s="21" t="s">
        <v>169</v>
      </c>
      <c r="D71" s="21" t="s">
        <v>228</v>
      </c>
      <c r="E71" s="10">
        <v>24</v>
      </c>
      <c r="F71" s="10" t="s">
        <v>62</v>
      </c>
      <c r="G71" s="11">
        <v>350.75099999999998</v>
      </c>
      <c r="H71" s="11">
        <v>3775.4486888999995</v>
      </c>
      <c r="I71" s="11">
        <v>742.1063216</v>
      </c>
      <c r="J71" s="11">
        <v>472.80500000000001</v>
      </c>
      <c r="K71" s="11">
        <v>5089.2257394999997</v>
      </c>
      <c r="L71" s="10">
        <v>6050</v>
      </c>
      <c r="M71" s="5" t="str">
        <f>HLOOKUP($F71,'[1]Summary - Pricing'!$D$3:$L$16,13,FALSE)</f>
        <v>Y</v>
      </c>
      <c r="N71" s="5" t="str">
        <f>HLOOKUP($F71,'[1]Summary - Pricing'!$D$3:$L$16,14,FALSE)</f>
        <v>Y</v>
      </c>
      <c r="O71" s="9">
        <f>IF(M71="Y",'[1]Summary - Pricing'!$D$10,0)</f>
        <v>750</v>
      </c>
      <c r="P71" s="9">
        <f>IF(N71="Y",'[1]Summary - Pricing'!$D$13,0)</f>
        <v>750</v>
      </c>
      <c r="Q71" s="9">
        <f>IF(AND(E71&gt;5,E71&lt;16),0,IF(E71&lt;6,'[1]Summary - Pricing'!$D$11,IF('TR 01 Inventory'!E71&gt;15,('TR 01 Inventory'!E71-15)*'[1]Summary - Pricing'!$D$12)))</f>
        <v>450</v>
      </c>
      <c r="R71" s="8">
        <f>SUM(O71:Q71)</f>
        <v>1950</v>
      </c>
      <c r="S71" s="9">
        <f>R71*L71</f>
        <v>11797500</v>
      </c>
      <c r="T71" s="9">
        <v>750000</v>
      </c>
      <c r="U71" s="9">
        <f>HLOOKUP(F71,'[1]Summary - Pricing'!$D$3:$L$20,18,FALSE)*100000</f>
        <v>2250000</v>
      </c>
      <c r="V71" s="9">
        <f>SUM('[1]Summary - Pricing'!$D$18,'[1]Summary - Pricing'!$D$21)*'TR 01 Inventory'!L71</f>
        <v>3817550</v>
      </c>
      <c r="W71" s="9">
        <f>'[1]Summary - Pricing'!$D$7*'TR 01 Inventory'!L71</f>
        <v>81675000</v>
      </c>
      <c r="X71" s="8">
        <f>W71+V71+U71+T71+S71</f>
        <v>100290050</v>
      </c>
    </row>
    <row r="72" spans="2:24" x14ac:dyDescent="0.3">
      <c r="B72" s="21" t="s">
        <v>167</v>
      </c>
      <c r="C72" s="21" t="s">
        <v>169</v>
      </c>
      <c r="D72" s="21" t="s">
        <v>227</v>
      </c>
      <c r="E72" s="10">
        <v>25</v>
      </c>
      <c r="F72" s="10" t="s">
        <v>54</v>
      </c>
      <c r="G72" s="11">
        <v>352.74900000000002</v>
      </c>
      <c r="H72" s="11">
        <v>3796.9549611000002</v>
      </c>
      <c r="I72" s="11">
        <v>742.1063216</v>
      </c>
      <c r="J72" s="11">
        <v>472.52499999999998</v>
      </c>
      <c r="K72" s="11">
        <v>5086.2118474999997</v>
      </c>
      <c r="L72" s="10">
        <v>6050</v>
      </c>
      <c r="M72" s="5" t="str">
        <f>HLOOKUP($F72,'[1]Summary - Pricing'!$D$3:$L$16,13,FALSE)</f>
        <v>Y</v>
      </c>
      <c r="N72" s="5" t="str">
        <f>HLOOKUP($F72,'[1]Summary - Pricing'!$D$3:$L$16,14,FALSE)</f>
        <v>Y</v>
      </c>
      <c r="O72" s="9">
        <f>IF(M72="Y",'[1]Summary - Pricing'!$D$10,0)</f>
        <v>750</v>
      </c>
      <c r="P72" s="9">
        <f>IF(N72="Y",'[1]Summary - Pricing'!$D$13,0)</f>
        <v>750</v>
      </c>
      <c r="Q72" s="9">
        <f>IF(AND(E72&gt;5,E72&lt;16),0,IF(E72&lt;6,'[1]Summary - Pricing'!$D$11,IF('TR 01 Inventory'!E72&gt;15,('TR 01 Inventory'!E72-15)*'[1]Summary - Pricing'!$D$12)))</f>
        <v>500</v>
      </c>
      <c r="R72" s="8">
        <f>SUM(O72:Q72)</f>
        <v>2000</v>
      </c>
      <c r="S72" s="9">
        <f>R72*L72</f>
        <v>12100000</v>
      </c>
      <c r="T72" s="9">
        <v>750000</v>
      </c>
      <c r="U72" s="9">
        <f>HLOOKUP(F72,'[1]Summary - Pricing'!$D$3:$L$20,18,FALSE)*100000</f>
        <v>2250000</v>
      </c>
      <c r="V72" s="9">
        <f>SUM('[1]Summary - Pricing'!$D$18,'[1]Summary - Pricing'!$D$21)*'TR 01 Inventory'!L72</f>
        <v>3817550</v>
      </c>
      <c r="W72" s="9">
        <f>'[1]Summary - Pricing'!$D$7*'TR 01 Inventory'!L72</f>
        <v>81675000</v>
      </c>
      <c r="X72" s="8">
        <f>W72+V72+U72+T72+S72</f>
        <v>100592550</v>
      </c>
    </row>
    <row r="73" spans="2:24" x14ac:dyDescent="0.3">
      <c r="B73" s="21" t="s">
        <v>167</v>
      </c>
      <c r="C73" s="21" t="s">
        <v>169</v>
      </c>
      <c r="D73" s="21" t="s">
        <v>226</v>
      </c>
      <c r="E73" s="10">
        <v>26</v>
      </c>
      <c r="F73" s="10" t="s">
        <v>62</v>
      </c>
      <c r="G73" s="11">
        <v>350.75099999999998</v>
      </c>
      <c r="H73" s="11">
        <v>3775.4486888999995</v>
      </c>
      <c r="I73" s="11">
        <v>742.1063216</v>
      </c>
      <c r="J73" s="11">
        <v>472.80500000000001</v>
      </c>
      <c r="K73" s="11">
        <v>5089.2257394999997</v>
      </c>
      <c r="L73" s="10">
        <v>6050</v>
      </c>
      <c r="M73" s="5" t="str">
        <f>HLOOKUP($F73,'[1]Summary - Pricing'!$D$3:$L$16,13,FALSE)</f>
        <v>Y</v>
      </c>
      <c r="N73" s="5" t="str">
        <f>HLOOKUP($F73,'[1]Summary - Pricing'!$D$3:$L$16,14,FALSE)</f>
        <v>Y</v>
      </c>
      <c r="O73" s="9">
        <f>IF(M73="Y",'[1]Summary - Pricing'!$D$10,0)</f>
        <v>750</v>
      </c>
      <c r="P73" s="9">
        <f>IF(N73="Y",'[1]Summary - Pricing'!$D$13,0)</f>
        <v>750</v>
      </c>
      <c r="Q73" s="9">
        <f>IF(AND(E73&gt;5,E73&lt;16),0,IF(E73&lt;6,'[1]Summary - Pricing'!$D$11,IF('TR 01 Inventory'!E73&gt;15,('TR 01 Inventory'!E73-15)*'[1]Summary - Pricing'!$D$12)))</f>
        <v>550</v>
      </c>
      <c r="R73" s="8">
        <f>SUM(O73:Q73)</f>
        <v>2050</v>
      </c>
      <c r="S73" s="9">
        <f>R73*L73</f>
        <v>12402500</v>
      </c>
      <c r="T73" s="9">
        <v>750000</v>
      </c>
      <c r="U73" s="9">
        <f>HLOOKUP(F73,'[1]Summary - Pricing'!$D$3:$L$20,18,FALSE)*100000</f>
        <v>2250000</v>
      </c>
      <c r="V73" s="9">
        <f>SUM('[1]Summary - Pricing'!$D$18,'[1]Summary - Pricing'!$D$21)*'TR 01 Inventory'!L73</f>
        <v>3817550</v>
      </c>
      <c r="W73" s="9">
        <f>'[1]Summary - Pricing'!$D$7*'TR 01 Inventory'!L73</f>
        <v>81675000</v>
      </c>
      <c r="X73" s="8">
        <f>W73+V73+U73+T73+S73</f>
        <v>100895050</v>
      </c>
    </row>
    <row r="74" spans="2:24" x14ac:dyDescent="0.3">
      <c r="B74" s="21" t="s">
        <v>167</v>
      </c>
      <c r="C74" s="21" t="s">
        <v>169</v>
      </c>
      <c r="D74" s="21" t="s">
        <v>225</v>
      </c>
      <c r="E74" s="10">
        <v>27</v>
      </c>
      <c r="F74" s="10" t="s">
        <v>54</v>
      </c>
      <c r="G74" s="11">
        <v>352.74900000000002</v>
      </c>
      <c r="H74" s="11">
        <v>3796.9549611000002</v>
      </c>
      <c r="I74" s="11">
        <v>742.1063216</v>
      </c>
      <c r="J74" s="11">
        <v>472.52499999999998</v>
      </c>
      <c r="K74" s="11">
        <v>5086.2118474999997</v>
      </c>
      <c r="L74" s="10">
        <v>6050</v>
      </c>
      <c r="M74" s="5" t="str">
        <f>HLOOKUP($F74,'[1]Summary - Pricing'!$D$3:$L$16,13,FALSE)</f>
        <v>Y</v>
      </c>
      <c r="N74" s="5" t="str">
        <f>HLOOKUP($F74,'[1]Summary - Pricing'!$D$3:$L$16,14,FALSE)</f>
        <v>Y</v>
      </c>
      <c r="O74" s="9">
        <f>IF(M74="Y",'[1]Summary - Pricing'!$D$10,0)</f>
        <v>750</v>
      </c>
      <c r="P74" s="9">
        <f>IF(N74="Y",'[1]Summary - Pricing'!$D$13,0)</f>
        <v>750</v>
      </c>
      <c r="Q74" s="9">
        <f>IF(AND(E74&gt;5,E74&lt;16),0,IF(E74&lt;6,'[1]Summary - Pricing'!$D$11,IF('TR 01 Inventory'!E74&gt;15,('TR 01 Inventory'!E74-15)*'[1]Summary - Pricing'!$D$12)))</f>
        <v>600</v>
      </c>
      <c r="R74" s="8">
        <f>SUM(O74:Q74)</f>
        <v>2100</v>
      </c>
      <c r="S74" s="9">
        <f>R74*L74</f>
        <v>12705000</v>
      </c>
      <c r="T74" s="9">
        <v>750000</v>
      </c>
      <c r="U74" s="9">
        <f>HLOOKUP(F74,'[1]Summary - Pricing'!$D$3:$L$20,18,FALSE)*100000</f>
        <v>2250000</v>
      </c>
      <c r="V74" s="9">
        <f>SUM('[1]Summary - Pricing'!$D$18,'[1]Summary - Pricing'!$D$21)*'TR 01 Inventory'!L74</f>
        <v>3817550</v>
      </c>
      <c r="W74" s="9">
        <f>'[1]Summary - Pricing'!$D$7*'TR 01 Inventory'!L74</f>
        <v>81675000</v>
      </c>
      <c r="X74" s="8">
        <f>W74+V74+U74+T74+S74</f>
        <v>101197550</v>
      </c>
    </row>
    <row r="75" spans="2:24" x14ac:dyDescent="0.3">
      <c r="B75" s="21" t="s">
        <v>167</v>
      </c>
      <c r="C75" s="21" t="s">
        <v>169</v>
      </c>
      <c r="D75" s="21" t="s">
        <v>224</v>
      </c>
      <c r="E75" s="10">
        <v>28</v>
      </c>
      <c r="F75" s="10" t="s">
        <v>62</v>
      </c>
      <c r="G75" s="11">
        <v>350.75099999999998</v>
      </c>
      <c r="H75" s="11">
        <v>3775.4486888999995</v>
      </c>
      <c r="I75" s="11">
        <v>742.1063216</v>
      </c>
      <c r="J75" s="11">
        <v>472.80500000000001</v>
      </c>
      <c r="K75" s="11">
        <v>5089.2257394999997</v>
      </c>
      <c r="L75" s="10">
        <v>6050</v>
      </c>
      <c r="M75" s="5" t="str">
        <f>HLOOKUP($F75,'[1]Summary - Pricing'!$D$3:$L$16,13,FALSE)</f>
        <v>Y</v>
      </c>
      <c r="N75" s="5" t="str">
        <f>HLOOKUP($F75,'[1]Summary - Pricing'!$D$3:$L$16,14,FALSE)</f>
        <v>Y</v>
      </c>
      <c r="O75" s="9">
        <f>IF(M75="Y",'[1]Summary - Pricing'!$D$10,0)</f>
        <v>750</v>
      </c>
      <c r="P75" s="9">
        <f>IF(N75="Y",'[1]Summary - Pricing'!$D$13,0)</f>
        <v>750</v>
      </c>
      <c r="Q75" s="9">
        <f>IF(AND(E75&gt;5,E75&lt;16),0,IF(E75&lt;6,'[1]Summary - Pricing'!$D$11,IF('TR 01 Inventory'!E75&gt;15,('TR 01 Inventory'!E75-15)*'[1]Summary - Pricing'!$D$12)))</f>
        <v>650</v>
      </c>
      <c r="R75" s="8">
        <f>SUM(O75:Q75)</f>
        <v>2150</v>
      </c>
      <c r="S75" s="9">
        <f>R75*L75</f>
        <v>13007500</v>
      </c>
      <c r="T75" s="9">
        <v>750000</v>
      </c>
      <c r="U75" s="9">
        <f>HLOOKUP(F75,'[1]Summary - Pricing'!$D$3:$L$20,18,FALSE)*100000</f>
        <v>2250000</v>
      </c>
      <c r="V75" s="9">
        <f>SUM('[1]Summary - Pricing'!$D$18,'[1]Summary - Pricing'!$D$21)*'TR 01 Inventory'!L75</f>
        <v>3817550</v>
      </c>
      <c r="W75" s="9">
        <f>'[1]Summary - Pricing'!$D$7*'TR 01 Inventory'!L75</f>
        <v>81675000</v>
      </c>
      <c r="X75" s="8">
        <f>W75+V75+U75+T75+S75</f>
        <v>101500050</v>
      </c>
    </row>
    <row r="76" spans="2:24" x14ac:dyDescent="0.3">
      <c r="B76" s="21" t="s">
        <v>167</v>
      </c>
      <c r="C76" s="21" t="s">
        <v>169</v>
      </c>
      <c r="D76" s="21" t="s">
        <v>223</v>
      </c>
      <c r="E76" s="10">
        <v>29</v>
      </c>
      <c r="F76" s="10" t="s">
        <v>54</v>
      </c>
      <c r="G76" s="11">
        <v>352.74900000000002</v>
      </c>
      <c r="H76" s="11">
        <v>3796.9549611000002</v>
      </c>
      <c r="I76" s="11">
        <v>742.1063216</v>
      </c>
      <c r="J76" s="11">
        <v>472.52499999999998</v>
      </c>
      <c r="K76" s="11">
        <v>5086.2118474999997</v>
      </c>
      <c r="L76" s="10">
        <v>6050</v>
      </c>
      <c r="M76" s="5" t="str">
        <f>HLOOKUP($F76,'[1]Summary - Pricing'!$D$3:$L$16,13,FALSE)</f>
        <v>Y</v>
      </c>
      <c r="N76" s="5" t="str">
        <f>HLOOKUP($F76,'[1]Summary - Pricing'!$D$3:$L$16,14,FALSE)</f>
        <v>Y</v>
      </c>
      <c r="O76" s="9">
        <f>IF(M76="Y",'[1]Summary - Pricing'!$D$10,0)</f>
        <v>750</v>
      </c>
      <c r="P76" s="9">
        <f>IF(N76="Y",'[1]Summary - Pricing'!$D$13,0)</f>
        <v>750</v>
      </c>
      <c r="Q76" s="9">
        <f>IF(AND(E76&gt;5,E76&lt;16),0,IF(E76&lt;6,'[1]Summary - Pricing'!$D$11,IF('TR 01 Inventory'!E76&gt;15,('TR 01 Inventory'!E76-15)*'[1]Summary - Pricing'!$D$12)))</f>
        <v>700</v>
      </c>
      <c r="R76" s="8">
        <f>SUM(O76:Q76)</f>
        <v>2200</v>
      </c>
      <c r="S76" s="9">
        <f>R76*L76</f>
        <v>13310000</v>
      </c>
      <c r="T76" s="9">
        <v>750000</v>
      </c>
      <c r="U76" s="9">
        <f>HLOOKUP(F76,'[1]Summary - Pricing'!$D$3:$L$20,18,FALSE)*100000</f>
        <v>2250000</v>
      </c>
      <c r="V76" s="9">
        <f>SUM('[1]Summary - Pricing'!$D$18,'[1]Summary - Pricing'!$D$21)*'TR 01 Inventory'!L76</f>
        <v>3817550</v>
      </c>
      <c r="W76" s="9">
        <f>'[1]Summary - Pricing'!$D$7*'TR 01 Inventory'!L76</f>
        <v>81675000</v>
      </c>
      <c r="X76" s="8">
        <f>W76+V76+U76+T76+S76</f>
        <v>101802550</v>
      </c>
    </row>
    <row r="77" spans="2:24" x14ac:dyDescent="0.3">
      <c r="B77" s="21" t="s">
        <v>167</v>
      </c>
      <c r="C77" s="21" t="s">
        <v>169</v>
      </c>
      <c r="D77" s="21" t="s">
        <v>222</v>
      </c>
      <c r="E77" s="10">
        <v>30</v>
      </c>
      <c r="F77" s="10" t="s">
        <v>62</v>
      </c>
      <c r="G77" s="11">
        <v>350.75099999999998</v>
      </c>
      <c r="H77" s="11">
        <v>3775.4486888999995</v>
      </c>
      <c r="I77" s="11">
        <v>742.1063216</v>
      </c>
      <c r="J77" s="11">
        <v>472.80500000000001</v>
      </c>
      <c r="K77" s="11">
        <v>5089.2257394999997</v>
      </c>
      <c r="L77" s="10">
        <v>6050</v>
      </c>
      <c r="M77" s="5" t="str">
        <f>HLOOKUP($F77,'[1]Summary - Pricing'!$D$3:$L$16,13,FALSE)</f>
        <v>Y</v>
      </c>
      <c r="N77" s="5" t="str">
        <f>HLOOKUP($F77,'[1]Summary - Pricing'!$D$3:$L$16,14,FALSE)</f>
        <v>Y</v>
      </c>
      <c r="O77" s="9">
        <f>IF(M77="Y",'[1]Summary - Pricing'!$D$10,0)</f>
        <v>750</v>
      </c>
      <c r="P77" s="9">
        <f>IF(N77="Y",'[1]Summary - Pricing'!$D$13,0)</f>
        <v>750</v>
      </c>
      <c r="Q77" s="9">
        <f>IF(AND(E77&gt;5,E77&lt;16),0,IF(E77&lt;6,'[1]Summary - Pricing'!$D$11,IF('TR 01 Inventory'!E77&gt;15,('TR 01 Inventory'!E77-15)*'[1]Summary - Pricing'!$D$12)))</f>
        <v>750</v>
      </c>
      <c r="R77" s="8">
        <f>SUM(O77:Q77)</f>
        <v>2250</v>
      </c>
      <c r="S77" s="9">
        <f>R77*L77</f>
        <v>13612500</v>
      </c>
      <c r="T77" s="9">
        <v>750000</v>
      </c>
      <c r="U77" s="9">
        <f>HLOOKUP(F77,'[1]Summary - Pricing'!$D$3:$L$20,18,FALSE)*100000</f>
        <v>2250000</v>
      </c>
      <c r="V77" s="9">
        <f>SUM('[1]Summary - Pricing'!$D$18,'[1]Summary - Pricing'!$D$21)*'TR 01 Inventory'!L77</f>
        <v>3817550</v>
      </c>
      <c r="W77" s="9">
        <f>'[1]Summary - Pricing'!$D$7*'TR 01 Inventory'!L77</f>
        <v>81675000</v>
      </c>
      <c r="X77" s="8">
        <f>W77+V77+U77+T77+S77</f>
        <v>102105050</v>
      </c>
    </row>
    <row r="78" spans="2:24" x14ac:dyDescent="0.3">
      <c r="B78" s="21" t="s">
        <v>167</v>
      </c>
      <c r="C78" s="21" t="s">
        <v>169</v>
      </c>
      <c r="D78" s="21" t="s">
        <v>221</v>
      </c>
      <c r="E78" s="10">
        <v>31</v>
      </c>
      <c r="F78" s="10" t="s">
        <v>54</v>
      </c>
      <c r="G78" s="11">
        <v>352.74900000000002</v>
      </c>
      <c r="H78" s="11">
        <v>3796.9549611000002</v>
      </c>
      <c r="I78" s="11">
        <v>742.1063216</v>
      </c>
      <c r="J78" s="11">
        <v>472.52499999999998</v>
      </c>
      <c r="K78" s="11">
        <v>5086.2118474999997</v>
      </c>
      <c r="L78" s="10">
        <v>6050</v>
      </c>
      <c r="M78" s="5" t="str">
        <f>HLOOKUP($F78,'[1]Summary - Pricing'!$D$3:$L$16,13,FALSE)</f>
        <v>Y</v>
      </c>
      <c r="N78" s="5" t="str">
        <f>HLOOKUP($F78,'[1]Summary - Pricing'!$D$3:$L$16,14,FALSE)</f>
        <v>Y</v>
      </c>
      <c r="O78" s="9">
        <f>IF(M78="Y",'[1]Summary - Pricing'!$D$10,0)</f>
        <v>750</v>
      </c>
      <c r="P78" s="9">
        <f>IF(N78="Y",'[1]Summary - Pricing'!$D$13,0)</f>
        <v>750</v>
      </c>
      <c r="Q78" s="9">
        <f>IF(AND(E78&gt;5,E78&lt;16),0,IF(E78&lt;6,'[1]Summary - Pricing'!$D$11,IF('TR 01 Inventory'!E78&gt;15,('TR 01 Inventory'!E78-15)*'[1]Summary - Pricing'!$D$12)))</f>
        <v>800</v>
      </c>
      <c r="R78" s="8">
        <f>SUM(O78:Q78)</f>
        <v>2300</v>
      </c>
      <c r="S78" s="9">
        <f>R78*L78</f>
        <v>13915000</v>
      </c>
      <c r="T78" s="9">
        <v>750000</v>
      </c>
      <c r="U78" s="9">
        <f>HLOOKUP(F78,'[1]Summary - Pricing'!$D$3:$L$20,18,FALSE)*100000</f>
        <v>2250000</v>
      </c>
      <c r="V78" s="9">
        <f>SUM('[1]Summary - Pricing'!$D$18,'[1]Summary - Pricing'!$D$21)*'TR 01 Inventory'!L78</f>
        <v>3817550</v>
      </c>
      <c r="W78" s="9">
        <f>'[1]Summary - Pricing'!$D$7*'TR 01 Inventory'!L78</f>
        <v>81675000</v>
      </c>
      <c r="X78" s="8">
        <f>W78+V78+U78+T78+S78</f>
        <v>102407550</v>
      </c>
    </row>
    <row r="79" spans="2:24" x14ac:dyDescent="0.3">
      <c r="B79" s="21" t="s">
        <v>167</v>
      </c>
      <c r="C79" s="21" t="s">
        <v>169</v>
      </c>
      <c r="D79" s="21" t="s">
        <v>220</v>
      </c>
      <c r="E79" s="10">
        <v>32</v>
      </c>
      <c r="F79" s="10" t="s">
        <v>62</v>
      </c>
      <c r="G79" s="11">
        <v>350.75099999999998</v>
      </c>
      <c r="H79" s="11">
        <v>3775.4486888999995</v>
      </c>
      <c r="I79" s="11">
        <v>742.1063216</v>
      </c>
      <c r="J79" s="11">
        <v>472.80500000000001</v>
      </c>
      <c r="K79" s="11">
        <v>5089.2257394999997</v>
      </c>
      <c r="L79" s="10">
        <v>6050</v>
      </c>
      <c r="M79" s="5" t="str">
        <f>HLOOKUP($F79,'[1]Summary - Pricing'!$D$3:$L$16,13,FALSE)</f>
        <v>Y</v>
      </c>
      <c r="N79" s="5" t="str">
        <f>HLOOKUP($F79,'[1]Summary - Pricing'!$D$3:$L$16,14,FALSE)</f>
        <v>Y</v>
      </c>
      <c r="O79" s="9">
        <f>IF(M79="Y",'[1]Summary - Pricing'!$D$10,0)</f>
        <v>750</v>
      </c>
      <c r="P79" s="9">
        <f>IF(N79="Y",'[1]Summary - Pricing'!$D$13,0)</f>
        <v>750</v>
      </c>
      <c r="Q79" s="9">
        <f>IF(AND(E79&gt;5,E79&lt;16),0,IF(E79&lt;6,'[1]Summary - Pricing'!$D$11,IF('TR 01 Inventory'!E79&gt;15,('TR 01 Inventory'!E79-15)*'[1]Summary - Pricing'!$D$12)))</f>
        <v>850</v>
      </c>
      <c r="R79" s="8">
        <f>SUM(O79:Q79)</f>
        <v>2350</v>
      </c>
      <c r="S79" s="9">
        <f>R79*L79</f>
        <v>14217500</v>
      </c>
      <c r="T79" s="9">
        <v>750000</v>
      </c>
      <c r="U79" s="9">
        <f>HLOOKUP(F79,'[1]Summary - Pricing'!$D$3:$L$20,18,FALSE)*100000</f>
        <v>2250000</v>
      </c>
      <c r="V79" s="9">
        <f>SUM('[1]Summary - Pricing'!$D$18,'[1]Summary - Pricing'!$D$21)*'TR 01 Inventory'!L79</f>
        <v>3817550</v>
      </c>
      <c r="W79" s="9">
        <f>'[1]Summary - Pricing'!$D$7*'TR 01 Inventory'!L79</f>
        <v>81675000</v>
      </c>
      <c r="X79" s="8">
        <f>W79+V79+U79+T79+S79</f>
        <v>102710050</v>
      </c>
    </row>
    <row r="80" spans="2:24" x14ac:dyDescent="0.3">
      <c r="B80" s="21" t="s">
        <v>167</v>
      </c>
      <c r="C80" s="21" t="s">
        <v>169</v>
      </c>
      <c r="D80" s="21" t="s">
        <v>219</v>
      </c>
      <c r="E80" s="10">
        <v>33</v>
      </c>
      <c r="F80" s="10" t="s">
        <v>54</v>
      </c>
      <c r="G80" s="11">
        <v>352.74900000000002</v>
      </c>
      <c r="H80" s="11">
        <v>3796.9549611000002</v>
      </c>
      <c r="I80" s="11">
        <v>742.1063216</v>
      </c>
      <c r="J80" s="11">
        <v>472.52499999999998</v>
      </c>
      <c r="K80" s="11">
        <v>5086.2118474999997</v>
      </c>
      <c r="L80" s="10">
        <v>6050</v>
      </c>
      <c r="M80" s="5" t="str">
        <f>HLOOKUP($F80,'[1]Summary - Pricing'!$D$3:$L$16,13,FALSE)</f>
        <v>Y</v>
      </c>
      <c r="N80" s="5" t="str">
        <f>HLOOKUP($F80,'[1]Summary - Pricing'!$D$3:$L$16,14,FALSE)</f>
        <v>Y</v>
      </c>
      <c r="O80" s="9">
        <f>IF(M80="Y",'[1]Summary - Pricing'!$D$10,0)</f>
        <v>750</v>
      </c>
      <c r="P80" s="9">
        <f>IF(N80="Y",'[1]Summary - Pricing'!$D$13,0)</f>
        <v>750</v>
      </c>
      <c r="Q80" s="9">
        <f>IF(AND(E80&gt;5,E80&lt;16),0,IF(E80&lt;6,'[1]Summary - Pricing'!$D$11,IF('TR 01 Inventory'!E80&gt;15,('TR 01 Inventory'!E80-15)*'[1]Summary - Pricing'!$D$12)))</f>
        <v>900</v>
      </c>
      <c r="R80" s="8">
        <f>SUM(O80:Q80)</f>
        <v>2400</v>
      </c>
      <c r="S80" s="9">
        <f>R80*L80</f>
        <v>14520000</v>
      </c>
      <c r="T80" s="9">
        <v>750000</v>
      </c>
      <c r="U80" s="9">
        <f>HLOOKUP(F80,'[1]Summary - Pricing'!$D$3:$L$20,18,FALSE)*100000</f>
        <v>2250000</v>
      </c>
      <c r="V80" s="9">
        <f>SUM('[1]Summary - Pricing'!$D$18,'[1]Summary - Pricing'!$D$21)*'TR 01 Inventory'!L80</f>
        <v>3817550</v>
      </c>
      <c r="W80" s="9">
        <f>'[1]Summary - Pricing'!$D$7*'TR 01 Inventory'!L80</f>
        <v>81675000</v>
      </c>
      <c r="X80" s="8">
        <f>W80+V80+U80+T80+S80</f>
        <v>103012550</v>
      </c>
    </row>
    <row r="81" spans="2:24" x14ac:dyDescent="0.3">
      <c r="B81" s="21" t="s">
        <v>167</v>
      </c>
      <c r="C81" s="21" t="s">
        <v>169</v>
      </c>
      <c r="D81" s="21" t="s">
        <v>218</v>
      </c>
      <c r="E81" s="10">
        <v>34</v>
      </c>
      <c r="F81" s="10" t="s">
        <v>62</v>
      </c>
      <c r="G81" s="11">
        <v>350.75099999999998</v>
      </c>
      <c r="H81" s="11">
        <v>3775.4486888999995</v>
      </c>
      <c r="I81" s="11">
        <v>742.1063216</v>
      </c>
      <c r="J81" s="11">
        <v>472.80500000000001</v>
      </c>
      <c r="K81" s="11">
        <v>5089.2257394999997</v>
      </c>
      <c r="L81" s="10">
        <v>6050</v>
      </c>
      <c r="M81" s="5" t="str">
        <f>HLOOKUP($F81,'[1]Summary - Pricing'!$D$3:$L$16,13,FALSE)</f>
        <v>Y</v>
      </c>
      <c r="N81" s="5" t="str">
        <f>HLOOKUP($F81,'[1]Summary - Pricing'!$D$3:$L$16,14,FALSE)</f>
        <v>Y</v>
      </c>
      <c r="O81" s="9">
        <f>IF(M81="Y",'[1]Summary - Pricing'!$D$10,0)</f>
        <v>750</v>
      </c>
      <c r="P81" s="9">
        <f>IF(N81="Y",'[1]Summary - Pricing'!$D$13,0)</f>
        <v>750</v>
      </c>
      <c r="Q81" s="9">
        <f>IF(AND(E81&gt;5,E81&lt;16),0,IF(E81&lt;6,'[1]Summary - Pricing'!$D$11,IF('TR 01 Inventory'!E81&gt;15,('TR 01 Inventory'!E81-15)*'[1]Summary - Pricing'!$D$12)))</f>
        <v>950</v>
      </c>
      <c r="R81" s="8">
        <f>SUM(O81:Q81)</f>
        <v>2450</v>
      </c>
      <c r="S81" s="9">
        <f>R81*L81</f>
        <v>14822500</v>
      </c>
      <c r="T81" s="9">
        <v>750000</v>
      </c>
      <c r="U81" s="9">
        <f>HLOOKUP(F81,'[1]Summary - Pricing'!$D$3:$L$20,18,FALSE)*100000</f>
        <v>2250000</v>
      </c>
      <c r="V81" s="9">
        <f>SUM('[1]Summary - Pricing'!$D$18,'[1]Summary - Pricing'!$D$21)*'TR 01 Inventory'!L81</f>
        <v>3817550</v>
      </c>
      <c r="W81" s="9">
        <f>'[1]Summary - Pricing'!$D$7*'TR 01 Inventory'!L81</f>
        <v>81675000</v>
      </c>
      <c r="X81" s="8">
        <f>W81+V81+U81+T81+S81</f>
        <v>103315050</v>
      </c>
    </row>
    <row r="82" spans="2:24" x14ac:dyDescent="0.3">
      <c r="B82" s="21" t="s">
        <v>167</v>
      </c>
      <c r="C82" s="21" t="s">
        <v>169</v>
      </c>
      <c r="D82" s="21" t="s">
        <v>217</v>
      </c>
      <c r="E82" s="10">
        <v>35</v>
      </c>
      <c r="F82" s="10" t="s">
        <v>54</v>
      </c>
      <c r="G82" s="11">
        <v>352.74900000000002</v>
      </c>
      <c r="H82" s="11">
        <v>3796.9549611000002</v>
      </c>
      <c r="I82" s="11">
        <v>742.1063216</v>
      </c>
      <c r="J82" s="11">
        <v>472.52499999999998</v>
      </c>
      <c r="K82" s="11">
        <v>5086.2118474999997</v>
      </c>
      <c r="L82" s="10">
        <v>6050</v>
      </c>
      <c r="M82" s="5" t="str">
        <f>HLOOKUP($F82,'[1]Summary - Pricing'!$D$3:$L$16,13,FALSE)</f>
        <v>Y</v>
      </c>
      <c r="N82" s="5" t="str">
        <f>HLOOKUP($F82,'[1]Summary - Pricing'!$D$3:$L$16,14,FALSE)</f>
        <v>Y</v>
      </c>
      <c r="O82" s="9">
        <f>IF(M82="Y",'[1]Summary - Pricing'!$D$10,0)</f>
        <v>750</v>
      </c>
      <c r="P82" s="9">
        <f>IF(N82="Y",'[1]Summary - Pricing'!$D$13,0)</f>
        <v>750</v>
      </c>
      <c r="Q82" s="9">
        <f>IF(AND(E82&gt;5,E82&lt;16),0,IF(E82&lt;6,'[1]Summary - Pricing'!$D$11,IF('TR 01 Inventory'!E82&gt;15,('TR 01 Inventory'!E82-15)*'[1]Summary - Pricing'!$D$12)))</f>
        <v>1000</v>
      </c>
      <c r="R82" s="8">
        <f>SUM(O82:Q82)</f>
        <v>2500</v>
      </c>
      <c r="S82" s="9">
        <f>R82*L82</f>
        <v>15125000</v>
      </c>
      <c r="T82" s="9">
        <v>750000</v>
      </c>
      <c r="U82" s="9">
        <f>HLOOKUP(F82,'[1]Summary - Pricing'!$D$3:$L$20,18,FALSE)*100000</f>
        <v>2250000</v>
      </c>
      <c r="V82" s="9">
        <f>SUM('[1]Summary - Pricing'!$D$18,'[1]Summary - Pricing'!$D$21)*'TR 01 Inventory'!L82</f>
        <v>3817550</v>
      </c>
      <c r="W82" s="9">
        <f>'[1]Summary - Pricing'!$D$7*'TR 01 Inventory'!L82</f>
        <v>81675000</v>
      </c>
      <c r="X82" s="8">
        <f>W82+V82+U82+T82+S82</f>
        <v>103617550</v>
      </c>
    </row>
    <row r="83" spans="2:24" x14ac:dyDescent="0.3">
      <c r="B83" s="21" t="s">
        <v>167</v>
      </c>
      <c r="C83" s="21" t="s">
        <v>169</v>
      </c>
      <c r="D83" s="21" t="s">
        <v>216</v>
      </c>
      <c r="E83" s="10">
        <v>36</v>
      </c>
      <c r="F83" s="10" t="s">
        <v>52</v>
      </c>
      <c r="G83" s="11">
        <v>347.58</v>
      </c>
      <c r="H83" s="11">
        <v>3741.3163619999996</v>
      </c>
      <c r="I83" s="11">
        <v>486.14077959999992</v>
      </c>
      <c r="J83" s="11">
        <v>444.137</v>
      </c>
      <c r="K83" s="11">
        <v>4780.6462542999998</v>
      </c>
      <c r="L83" s="10">
        <v>5750</v>
      </c>
      <c r="M83" s="5" t="str">
        <f>HLOOKUP($F83,'[1]Summary - Pricing'!$D$3:$L$16,13,FALSE)</f>
        <v>Y</v>
      </c>
      <c r="N83" s="5" t="str">
        <f>HLOOKUP($F83,'[1]Summary - Pricing'!$D$3:$L$16,14,FALSE)</f>
        <v>Y</v>
      </c>
      <c r="O83" s="9">
        <f>IF(M83="Y",'[1]Summary - Pricing'!$D$10,0)</f>
        <v>750</v>
      </c>
      <c r="P83" s="9">
        <f>IF(N83="Y",'[1]Summary - Pricing'!$D$13,0)</f>
        <v>750</v>
      </c>
      <c r="Q83" s="9">
        <f>IF(AND(E83&gt;5,E83&lt;16),0,IF(E83&lt;6,'[1]Summary - Pricing'!$D$11,IF('TR 01 Inventory'!E83&gt;15,('TR 01 Inventory'!E83-15)*'[1]Summary - Pricing'!$D$12)))</f>
        <v>1050</v>
      </c>
      <c r="R83" s="8">
        <f>SUM(O83:Q83)</f>
        <v>2550</v>
      </c>
      <c r="S83" s="9">
        <f>R83*L83</f>
        <v>14662500</v>
      </c>
      <c r="T83" s="9">
        <v>750000</v>
      </c>
      <c r="U83" s="9">
        <f>HLOOKUP(F83,'[1]Summary - Pricing'!$D$3:$L$20,18,FALSE)*100000</f>
        <v>2250000</v>
      </c>
      <c r="V83" s="9">
        <f>SUM('[1]Summary - Pricing'!$D$18,'[1]Summary - Pricing'!$D$21)*'TR 01 Inventory'!L83</f>
        <v>3628250</v>
      </c>
      <c r="W83" s="9">
        <f>'[1]Summary - Pricing'!$D$7*'TR 01 Inventory'!L83</f>
        <v>77625000</v>
      </c>
      <c r="X83" s="8">
        <f>W83+V83+U83+T83+S83</f>
        <v>98915750</v>
      </c>
    </row>
    <row r="84" spans="2:24" x14ac:dyDescent="0.3">
      <c r="B84" s="21" t="s">
        <v>167</v>
      </c>
      <c r="C84" s="21" t="s">
        <v>169</v>
      </c>
      <c r="D84" s="21" t="s">
        <v>215</v>
      </c>
      <c r="E84" s="10">
        <v>37</v>
      </c>
      <c r="F84" s="10" t="s">
        <v>54</v>
      </c>
      <c r="G84" s="11">
        <v>352.74900000000002</v>
      </c>
      <c r="H84" s="11">
        <v>3796.9549611000002</v>
      </c>
      <c r="I84" s="11">
        <v>742.1063216</v>
      </c>
      <c r="J84" s="11">
        <v>472.52499999999998</v>
      </c>
      <c r="K84" s="11">
        <v>5086.2118474999997</v>
      </c>
      <c r="L84" s="10">
        <v>6050</v>
      </c>
      <c r="M84" s="5" t="str">
        <f>HLOOKUP($F84,'[1]Summary - Pricing'!$D$3:$L$16,13,FALSE)</f>
        <v>Y</v>
      </c>
      <c r="N84" s="5" t="str">
        <f>HLOOKUP($F84,'[1]Summary - Pricing'!$D$3:$L$16,14,FALSE)</f>
        <v>Y</v>
      </c>
      <c r="O84" s="9">
        <f>IF(M84="Y",'[1]Summary - Pricing'!$D$10,0)</f>
        <v>750</v>
      </c>
      <c r="P84" s="9">
        <f>IF(N84="Y",'[1]Summary - Pricing'!$D$13,0)</f>
        <v>750</v>
      </c>
      <c r="Q84" s="9">
        <f>IF(AND(E84&gt;5,E84&lt;16),0,IF(E84&lt;6,'[1]Summary - Pricing'!$D$11,IF('TR 01 Inventory'!E84&gt;15,('TR 01 Inventory'!E84-15)*'[1]Summary - Pricing'!$D$12)))</f>
        <v>1100</v>
      </c>
      <c r="R84" s="8">
        <f>SUM(O84:Q84)</f>
        <v>2600</v>
      </c>
      <c r="S84" s="9">
        <f>R84*L84</f>
        <v>15730000</v>
      </c>
      <c r="T84" s="9">
        <v>750000</v>
      </c>
      <c r="U84" s="9">
        <f>HLOOKUP(F84,'[1]Summary - Pricing'!$D$3:$L$20,18,FALSE)*100000</f>
        <v>2250000</v>
      </c>
      <c r="V84" s="9">
        <f>SUM('[1]Summary - Pricing'!$D$18,'[1]Summary - Pricing'!$D$21)*'TR 01 Inventory'!L84</f>
        <v>3817550</v>
      </c>
      <c r="W84" s="9">
        <f>'[1]Summary - Pricing'!$D$7*'TR 01 Inventory'!L84</f>
        <v>81675000</v>
      </c>
      <c r="X84" s="8">
        <f>W84+V84+U84+T84+S84</f>
        <v>104222550</v>
      </c>
    </row>
    <row r="85" spans="2:24" x14ac:dyDescent="0.3">
      <c r="B85" s="21" t="s">
        <v>167</v>
      </c>
      <c r="C85" s="21" t="s">
        <v>169</v>
      </c>
      <c r="D85" s="21" t="s">
        <v>214</v>
      </c>
      <c r="E85" s="10">
        <v>38</v>
      </c>
      <c r="F85" s="10" t="s">
        <v>52</v>
      </c>
      <c r="G85" s="11">
        <v>347.58</v>
      </c>
      <c r="H85" s="11">
        <v>3741.3163619999996</v>
      </c>
      <c r="I85" s="11">
        <v>486.14077959999992</v>
      </c>
      <c r="J85" s="11">
        <v>444.137</v>
      </c>
      <c r="K85" s="11">
        <v>4780.6462542999998</v>
      </c>
      <c r="L85" s="10">
        <v>5750</v>
      </c>
      <c r="M85" s="5" t="str">
        <f>HLOOKUP($F85,'[1]Summary - Pricing'!$D$3:$L$16,13,FALSE)</f>
        <v>Y</v>
      </c>
      <c r="N85" s="5" t="str">
        <f>HLOOKUP($F85,'[1]Summary - Pricing'!$D$3:$L$16,14,FALSE)</f>
        <v>Y</v>
      </c>
      <c r="O85" s="9">
        <f>IF(M85="Y",'[1]Summary - Pricing'!$D$10,0)</f>
        <v>750</v>
      </c>
      <c r="P85" s="9">
        <f>IF(N85="Y",'[1]Summary - Pricing'!$D$13,0)</f>
        <v>750</v>
      </c>
      <c r="Q85" s="9">
        <f>IF(AND(E85&gt;5,E85&lt;16),0,IF(E85&lt;6,'[1]Summary - Pricing'!$D$11,IF('TR 01 Inventory'!E85&gt;15,('TR 01 Inventory'!E85-15)*'[1]Summary - Pricing'!$D$12)))</f>
        <v>1150</v>
      </c>
      <c r="R85" s="8">
        <f>SUM(O85:Q85)</f>
        <v>2650</v>
      </c>
      <c r="S85" s="9">
        <f>R85*L85</f>
        <v>15237500</v>
      </c>
      <c r="T85" s="9">
        <v>750000</v>
      </c>
      <c r="U85" s="9">
        <f>HLOOKUP(F85,'[1]Summary - Pricing'!$D$3:$L$20,18,FALSE)*100000</f>
        <v>2250000</v>
      </c>
      <c r="V85" s="9">
        <f>SUM('[1]Summary - Pricing'!$D$18,'[1]Summary - Pricing'!$D$21)*'TR 01 Inventory'!L85</f>
        <v>3628250</v>
      </c>
      <c r="W85" s="9">
        <f>'[1]Summary - Pricing'!$D$7*'TR 01 Inventory'!L85</f>
        <v>77625000</v>
      </c>
      <c r="X85" s="8">
        <f>W85+V85+U85+T85+S85</f>
        <v>99490750</v>
      </c>
    </row>
    <row r="86" spans="2:24" x14ac:dyDescent="0.3">
      <c r="B86" s="21" t="s">
        <v>167</v>
      </c>
      <c r="C86" s="21" t="s">
        <v>169</v>
      </c>
      <c r="D86" s="21" t="s">
        <v>213</v>
      </c>
      <c r="E86" s="10">
        <v>39</v>
      </c>
      <c r="F86" s="10" t="s">
        <v>54</v>
      </c>
      <c r="G86" s="11">
        <v>352.74900000000002</v>
      </c>
      <c r="H86" s="11">
        <v>3796.9549611000002</v>
      </c>
      <c r="I86" s="11">
        <v>742.1063216</v>
      </c>
      <c r="J86" s="11">
        <v>472.52499999999998</v>
      </c>
      <c r="K86" s="11">
        <v>5086.2118474999997</v>
      </c>
      <c r="L86" s="10">
        <v>6050</v>
      </c>
      <c r="M86" s="5" t="str">
        <f>HLOOKUP($F86,'[1]Summary - Pricing'!$D$3:$L$16,13,FALSE)</f>
        <v>Y</v>
      </c>
      <c r="N86" s="5" t="str">
        <f>HLOOKUP($F86,'[1]Summary - Pricing'!$D$3:$L$16,14,FALSE)</f>
        <v>Y</v>
      </c>
      <c r="O86" s="9">
        <f>IF(M86="Y",'[1]Summary - Pricing'!$D$10,0)</f>
        <v>750</v>
      </c>
      <c r="P86" s="9">
        <f>IF(N86="Y",'[1]Summary - Pricing'!$D$13,0)</f>
        <v>750</v>
      </c>
      <c r="Q86" s="9">
        <f>IF(AND(E86&gt;5,E86&lt;16),0,IF(E86&lt;6,'[1]Summary - Pricing'!$D$11,IF('TR 01 Inventory'!E86&gt;15,('TR 01 Inventory'!E86-15)*'[1]Summary - Pricing'!$D$12)))</f>
        <v>1200</v>
      </c>
      <c r="R86" s="8">
        <f>SUM(O86:Q86)</f>
        <v>2700</v>
      </c>
      <c r="S86" s="9">
        <f>R86*L86</f>
        <v>16335000</v>
      </c>
      <c r="T86" s="9">
        <v>750000</v>
      </c>
      <c r="U86" s="9">
        <f>HLOOKUP(F86,'[1]Summary - Pricing'!$D$3:$L$20,18,FALSE)*100000</f>
        <v>2250000</v>
      </c>
      <c r="V86" s="9">
        <f>SUM('[1]Summary - Pricing'!$D$18,'[1]Summary - Pricing'!$D$21)*'TR 01 Inventory'!L86</f>
        <v>3817550</v>
      </c>
      <c r="W86" s="9">
        <f>'[1]Summary - Pricing'!$D$7*'TR 01 Inventory'!L86</f>
        <v>81675000</v>
      </c>
      <c r="X86" s="8">
        <f>W86+V86+U86+T86+S86</f>
        <v>104827550</v>
      </c>
    </row>
    <row r="87" spans="2:24" x14ac:dyDescent="0.3">
      <c r="B87" s="21" t="s">
        <v>167</v>
      </c>
      <c r="C87" s="21" t="s">
        <v>169</v>
      </c>
      <c r="D87" s="21" t="s">
        <v>212</v>
      </c>
      <c r="E87" s="10">
        <v>40</v>
      </c>
      <c r="F87" s="10" t="s">
        <v>52</v>
      </c>
      <c r="G87" s="11">
        <v>347.58</v>
      </c>
      <c r="H87" s="11">
        <v>3741.3163619999996</v>
      </c>
      <c r="I87" s="11">
        <v>486.14077959999992</v>
      </c>
      <c r="J87" s="11">
        <v>444.137</v>
      </c>
      <c r="K87" s="11">
        <v>4780.6462542999998</v>
      </c>
      <c r="L87" s="10">
        <v>5750</v>
      </c>
      <c r="M87" s="5" t="str">
        <f>HLOOKUP($F87,'[1]Summary - Pricing'!$D$3:$L$16,13,FALSE)</f>
        <v>Y</v>
      </c>
      <c r="N87" s="5" t="str">
        <f>HLOOKUP($F87,'[1]Summary - Pricing'!$D$3:$L$16,14,FALSE)</f>
        <v>Y</v>
      </c>
      <c r="O87" s="9">
        <f>IF(M87="Y",'[1]Summary - Pricing'!$D$10,0)</f>
        <v>750</v>
      </c>
      <c r="P87" s="9">
        <f>IF(N87="Y",'[1]Summary - Pricing'!$D$13,0)</f>
        <v>750</v>
      </c>
      <c r="Q87" s="9">
        <f>IF(AND(E87&gt;5,E87&lt;16),0,IF(E87&lt;6,'[1]Summary - Pricing'!$D$11,IF('TR 01 Inventory'!E87&gt;15,('TR 01 Inventory'!E87-15)*'[1]Summary - Pricing'!$D$12)))</f>
        <v>1250</v>
      </c>
      <c r="R87" s="8">
        <f>SUM(O87:Q87)</f>
        <v>2750</v>
      </c>
      <c r="S87" s="9">
        <f>R87*L87</f>
        <v>15812500</v>
      </c>
      <c r="T87" s="9">
        <v>750000</v>
      </c>
      <c r="U87" s="9">
        <f>HLOOKUP(F87,'[1]Summary - Pricing'!$D$3:$L$20,18,FALSE)*100000</f>
        <v>2250000</v>
      </c>
      <c r="V87" s="9">
        <f>SUM('[1]Summary - Pricing'!$D$18,'[1]Summary - Pricing'!$D$21)*'TR 01 Inventory'!L87</f>
        <v>3628250</v>
      </c>
      <c r="W87" s="9">
        <f>'[1]Summary - Pricing'!$D$7*'TR 01 Inventory'!L87</f>
        <v>77625000</v>
      </c>
      <c r="X87" s="8">
        <f>W87+V87+U87+T87+S87</f>
        <v>100065750</v>
      </c>
    </row>
    <row r="88" spans="2:24" x14ac:dyDescent="0.3">
      <c r="B88" s="21" t="s">
        <v>167</v>
      </c>
      <c r="C88" s="21" t="s">
        <v>169</v>
      </c>
      <c r="D88" s="21" t="s">
        <v>211</v>
      </c>
      <c r="E88" s="10">
        <v>41</v>
      </c>
      <c r="F88" s="10" t="s">
        <v>54</v>
      </c>
      <c r="G88" s="11">
        <v>352.74900000000002</v>
      </c>
      <c r="H88" s="11">
        <v>3796.9549611000002</v>
      </c>
      <c r="I88" s="11">
        <v>742.1063216</v>
      </c>
      <c r="J88" s="11">
        <v>472.52499999999998</v>
      </c>
      <c r="K88" s="11">
        <v>5086.2118474999997</v>
      </c>
      <c r="L88" s="10">
        <v>6050</v>
      </c>
      <c r="M88" s="5" t="str">
        <f>HLOOKUP($F88,'[1]Summary - Pricing'!$D$3:$L$16,13,FALSE)</f>
        <v>Y</v>
      </c>
      <c r="N88" s="5" t="str">
        <f>HLOOKUP($F88,'[1]Summary - Pricing'!$D$3:$L$16,14,FALSE)</f>
        <v>Y</v>
      </c>
      <c r="O88" s="9">
        <f>IF(M88="Y",'[1]Summary - Pricing'!$D$10,0)</f>
        <v>750</v>
      </c>
      <c r="P88" s="9">
        <f>IF(N88="Y",'[1]Summary - Pricing'!$D$13,0)</f>
        <v>750</v>
      </c>
      <c r="Q88" s="9">
        <f>IF(AND(E88&gt;5,E88&lt;16),0,IF(E88&lt;6,'[1]Summary - Pricing'!$D$11,IF('TR 01 Inventory'!E88&gt;15,('TR 01 Inventory'!E88-15)*'[1]Summary - Pricing'!$D$12)))</f>
        <v>1300</v>
      </c>
      <c r="R88" s="8">
        <f>SUM(O88:Q88)</f>
        <v>2800</v>
      </c>
      <c r="S88" s="9">
        <f>R88*L88</f>
        <v>16940000</v>
      </c>
      <c r="T88" s="9">
        <v>750000</v>
      </c>
      <c r="U88" s="9">
        <f>HLOOKUP(F88,'[1]Summary - Pricing'!$D$3:$L$20,18,FALSE)*100000</f>
        <v>2250000</v>
      </c>
      <c r="V88" s="9">
        <f>SUM('[1]Summary - Pricing'!$D$18,'[1]Summary - Pricing'!$D$21)*'TR 01 Inventory'!L88</f>
        <v>3817550</v>
      </c>
      <c r="W88" s="9">
        <f>'[1]Summary - Pricing'!$D$7*'TR 01 Inventory'!L88</f>
        <v>81675000</v>
      </c>
      <c r="X88" s="8">
        <f>W88+V88+U88+T88+S88</f>
        <v>105432550</v>
      </c>
    </row>
    <row r="89" spans="2:24" x14ac:dyDescent="0.3">
      <c r="B89" s="21" t="s">
        <v>167</v>
      </c>
      <c r="C89" s="21" t="s">
        <v>169</v>
      </c>
      <c r="D89" s="21" t="s">
        <v>210</v>
      </c>
      <c r="E89" s="10">
        <v>42</v>
      </c>
      <c r="F89" s="10" t="s">
        <v>52</v>
      </c>
      <c r="G89" s="11">
        <v>347.58</v>
      </c>
      <c r="H89" s="11">
        <v>3741.3163619999996</v>
      </c>
      <c r="I89" s="11">
        <v>486.14077959999992</v>
      </c>
      <c r="J89" s="11">
        <v>444.137</v>
      </c>
      <c r="K89" s="11">
        <v>4780.6462542999998</v>
      </c>
      <c r="L89" s="10">
        <v>5750</v>
      </c>
      <c r="M89" s="5" t="str">
        <f>HLOOKUP($F89,'[1]Summary - Pricing'!$D$3:$L$16,13,FALSE)</f>
        <v>Y</v>
      </c>
      <c r="N89" s="5" t="str">
        <f>HLOOKUP($F89,'[1]Summary - Pricing'!$D$3:$L$16,14,FALSE)</f>
        <v>Y</v>
      </c>
      <c r="O89" s="9">
        <f>IF(M89="Y",'[1]Summary - Pricing'!$D$10,0)</f>
        <v>750</v>
      </c>
      <c r="P89" s="9">
        <f>IF(N89="Y",'[1]Summary - Pricing'!$D$13,0)</f>
        <v>750</v>
      </c>
      <c r="Q89" s="9">
        <f>IF(AND(E89&gt;5,E89&lt;16),0,IF(E89&lt;6,'[1]Summary - Pricing'!$D$11,IF('TR 01 Inventory'!E89&gt;15,('TR 01 Inventory'!E89-15)*'[1]Summary - Pricing'!$D$12)))</f>
        <v>1350</v>
      </c>
      <c r="R89" s="8">
        <f>SUM(O89:Q89)</f>
        <v>2850</v>
      </c>
      <c r="S89" s="9">
        <f>R89*L89</f>
        <v>16387500</v>
      </c>
      <c r="T89" s="9">
        <v>750000</v>
      </c>
      <c r="U89" s="9">
        <f>HLOOKUP(F89,'[1]Summary - Pricing'!$D$3:$L$20,18,FALSE)*100000</f>
        <v>2250000</v>
      </c>
      <c r="V89" s="9">
        <f>SUM('[1]Summary - Pricing'!$D$18,'[1]Summary - Pricing'!$D$21)*'TR 01 Inventory'!L89</f>
        <v>3628250</v>
      </c>
      <c r="W89" s="9">
        <f>'[1]Summary - Pricing'!$D$7*'TR 01 Inventory'!L89</f>
        <v>77625000</v>
      </c>
      <c r="X89" s="8">
        <f>W89+V89+U89+T89+S89</f>
        <v>100640750</v>
      </c>
    </row>
    <row r="90" spans="2:24" x14ac:dyDescent="0.3">
      <c r="B90" s="21" t="s">
        <v>167</v>
      </c>
      <c r="C90" s="21" t="s">
        <v>171</v>
      </c>
      <c r="D90" s="21" t="s">
        <v>209</v>
      </c>
      <c r="E90" s="10">
        <v>1</v>
      </c>
      <c r="F90" s="10" t="s">
        <v>16</v>
      </c>
      <c r="G90" s="11">
        <v>214.428</v>
      </c>
      <c r="H90" s="11">
        <v>2308.0815491999997</v>
      </c>
      <c r="I90" s="11">
        <v>558.52800709999997</v>
      </c>
      <c r="J90" s="11">
        <v>290.23700000000002</v>
      </c>
      <c r="K90" s="11">
        <v>3124.0820443000002</v>
      </c>
      <c r="L90" s="10">
        <v>3525</v>
      </c>
      <c r="M90" s="5" t="str">
        <f>HLOOKUP($F90,'[1]Summary - Pricing'!$D$3:$L$16,13,FALSE)</f>
        <v>N</v>
      </c>
      <c r="N90" s="5" t="str">
        <f>HLOOKUP($F90,'[1]Summary - Pricing'!$D$3:$L$16,14,FALSE)</f>
        <v>N</v>
      </c>
      <c r="O90" s="9">
        <f>IF(M90="Y",'[1]Summary - Pricing'!$D$10,0)</f>
        <v>0</v>
      </c>
      <c r="P90" s="9">
        <f>IF(N90="Y",'[1]Summary - Pricing'!$D$13,0)</f>
        <v>0</v>
      </c>
      <c r="Q90" s="9">
        <f>IF(AND(E90&gt;5,E90&lt;16),0,IF(E90&lt;6,'[1]Summary - Pricing'!$D$11,IF('TR 01 Inventory'!E90&gt;15,('TR 01 Inventory'!E90-15)*'[1]Summary - Pricing'!$D$12)))</f>
        <v>500</v>
      </c>
      <c r="R90" s="8">
        <f>SUM(O90:Q90)</f>
        <v>500</v>
      </c>
      <c r="S90" s="9">
        <f>R90*L90</f>
        <v>1762500</v>
      </c>
      <c r="T90" s="9">
        <v>750000</v>
      </c>
      <c r="U90" s="9">
        <f>HLOOKUP(F90,'[1]Summary - Pricing'!$D$3:$L$20,18,FALSE)*100000</f>
        <v>1500000</v>
      </c>
      <c r="V90" s="9">
        <f>SUM('[1]Summary - Pricing'!$D$18,'[1]Summary - Pricing'!$D$21)*'TR 01 Inventory'!L90</f>
        <v>2224275</v>
      </c>
      <c r="W90" s="9">
        <f>'[1]Summary - Pricing'!$D$7*'TR 01 Inventory'!L90</f>
        <v>47587500</v>
      </c>
      <c r="X90" s="8">
        <f>W90+V90+U90+T90+S90</f>
        <v>53824275</v>
      </c>
    </row>
    <row r="91" spans="2:24" x14ac:dyDescent="0.3">
      <c r="B91" s="21" t="s">
        <v>167</v>
      </c>
      <c r="C91" s="21" t="s">
        <v>171</v>
      </c>
      <c r="D91" s="21" t="s">
        <v>208</v>
      </c>
      <c r="E91" s="10">
        <v>2</v>
      </c>
      <c r="F91" s="10" t="s">
        <v>16</v>
      </c>
      <c r="G91" s="11">
        <v>214.428</v>
      </c>
      <c r="H91" s="11">
        <v>2308.0815491999997</v>
      </c>
      <c r="I91" s="11">
        <v>558.52800709999997</v>
      </c>
      <c r="J91" s="11">
        <v>290.23700000000002</v>
      </c>
      <c r="K91" s="11">
        <v>3124.0820443000002</v>
      </c>
      <c r="L91" s="10">
        <v>3525</v>
      </c>
      <c r="M91" s="5" t="str">
        <f>HLOOKUP($F91,'[1]Summary - Pricing'!$D$3:$L$16,13,FALSE)</f>
        <v>N</v>
      </c>
      <c r="N91" s="5" t="str">
        <f>HLOOKUP($F91,'[1]Summary - Pricing'!$D$3:$L$16,14,FALSE)</f>
        <v>N</v>
      </c>
      <c r="O91" s="9">
        <f>IF(M91="Y",'[1]Summary - Pricing'!$D$10,0)</f>
        <v>0</v>
      </c>
      <c r="P91" s="9">
        <f>IF(N91="Y",'[1]Summary - Pricing'!$D$13,0)</f>
        <v>0</v>
      </c>
      <c r="Q91" s="9">
        <f>IF(AND(E91&gt;5,E91&lt;16),0,IF(E91&lt;6,'[1]Summary - Pricing'!$D$11,IF('TR 01 Inventory'!E91&gt;15,('TR 01 Inventory'!E91-15)*'[1]Summary - Pricing'!$D$12)))</f>
        <v>500</v>
      </c>
      <c r="R91" s="8">
        <f>SUM(O91:Q91)</f>
        <v>500</v>
      </c>
      <c r="S91" s="9">
        <f>R91*L91</f>
        <v>1762500</v>
      </c>
      <c r="T91" s="9">
        <v>750000</v>
      </c>
      <c r="U91" s="9">
        <f>HLOOKUP(F91,'[1]Summary - Pricing'!$D$3:$L$20,18,FALSE)*100000</f>
        <v>1500000</v>
      </c>
      <c r="V91" s="9">
        <f>SUM('[1]Summary - Pricing'!$D$18,'[1]Summary - Pricing'!$D$21)*'TR 01 Inventory'!L91</f>
        <v>2224275</v>
      </c>
      <c r="W91" s="9">
        <f>'[1]Summary - Pricing'!$D$7*'TR 01 Inventory'!L91</f>
        <v>47587500</v>
      </c>
      <c r="X91" s="8">
        <f>W91+V91+U91+T91+S91</f>
        <v>53824275</v>
      </c>
    </row>
    <row r="92" spans="2:24" x14ac:dyDescent="0.3">
      <c r="B92" s="21" t="s">
        <v>167</v>
      </c>
      <c r="C92" s="21" t="s">
        <v>171</v>
      </c>
      <c r="D92" s="21" t="s">
        <v>207</v>
      </c>
      <c r="E92" s="10">
        <v>3</v>
      </c>
      <c r="F92" s="10" t="s">
        <v>16</v>
      </c>
      <c r="G92" s="11">
        <v>214.428</v>
      </c>
      <c r="H92" s="11">
        <v>2308.0815491999997</v>
      </c>
      <c r="I92" s="11">
        <v>558.52800709999997</v>
      </c>
      <c r="J92" s="11">
        <v>290.23700000000002</v>
      </c>
      <c r="K92" s="11">
        <v>3124.0820443000002</v>
      </c>
      <c r="L92" s="10">
        <v>3525</v>
      </c>
      <c r="M92" s="5" t="str">
        <f>HLOOKUP($F92,'[1]Summary - Pricing'!$D$3:$L$16,13,FALSE)</f>
        <v>N</v>
      </c>
      <c r="N92" s="5" t="str">
        <f>HLOOKUP($F92,'[1]Summary - Pricing'!$D$3:$L$16,14,FALSE)</f>
        <v>N</v>
      </c>
      <c r="O92" s="9">
        <f>IF(M92="Y",'[1]Summary - Pricing'!$D$10,0)</f>
        <v>0</v>
      </c>
      <c r="P92" s="9">
        <f>IF(N92="Y",'[1]Summary - Pricing'!$D$13,0)</f>
        <v>0</v>
      </c>
      <c r="Q92" s="9">
        <f>IF(AND(E92&gt;5,E92&lt;16),0,IF(E92&lt;6,'[1]Summary - Pricing'!$D$11,IF('TR 01 Inventory'!E92&gt;15,('TR 01 Inventory'!E92-15)*'[1]Summary - Pricing'!$D$12)))</f>
        <v>500</v>
      </c>
      <c r="R92" s="8">
        <f>SUM(O92:Q92)</f>
        <v>500</v>
      </c>
      <c r="S92" s="9">
        <f>R92*L92</f>
        <v>1762500</v>
      </c>
      <c r="T92" s="9">
        <v>750000</v>
      </c>
      <c r="U92" s="9">
        <f>HLOOKUP(F92,'[1]Summary - Pricing'!$D$3:$L$20,18,FALSE)*100000</f>
        <v>1500000</v>
      </c>
      <c r="V92" s="9">
        <f>SUM('[1]Summary - Pricing'!$D$18,'[1]Summary - Pricing'!$D$21)*'TR 01 Inventory'!L92</f>
        <v>2224275</v>
      </c>
      <c r="W92" s="9">
        <f>'[1]Summary - Pricing'!$D$7*'TR 01 Inventory'!L92</f>
        <v>47587500</v>
      </c>
      <c r="X92" s="8">
        <f>W92+V92+U92+T92+S92</f>
        <v>53824275</v>
      </c>
    </row>
    <row r="93" spans="2:24" x14ac:dyDescent="0.3">
      <c r="B93" s="21" t="s">
        <v>167</v>
      </c>
      <c r="C93" s="21" t="s">
        <v>171</v>
      </c>
      <c r="D93" s="21" t="s">
        <v>206</v>
      </c>
      <c r="E93" s="10">
        <v>4</v>
      </c>
      <c r="F93" s="10" t="s">
        <v>16</v>
      </c>
      <c r="G93" s="11">
        <v>214.428</v>
      </c>
      <c r="H93" s="11">
        <v>2308.0815491999997</v>
      </c>
      <c r="I93" s="11">
        <v>558.52800709999997</v>
      </c>
      <c r="J93" s="11">
        <v>290.23700000000002</v>
      </c>
      <c r="K93" s="11">
        <v>3124.0820443000002</v>
      </c>
      <c r="L93" s="10">
        <v>3525</v>
      </c>
      <c r="M93" s="5" t="str">
        <f>HLOOKUP($F93,'[1]Summary - Pricing'!$D$3:$L$16,13,FALSE)</f>
        <v>N</v>
      </c>
      <c r="N93" s="5" t="str">
        <f>HLOOKUP($F93,'[1]Summary - Pricing'!$D$3:$L$16,14,FALSE)</f>
        <v>N</v>
      </c>
      <c r="O93" s="9">
        <f>IF(M93="Y",'[1]Summary - Pricing'!$D$10,0)</f>
        <v>0</v>
      </c>
      <c r="P93" s="9">
        <f>IF(N93="Y",'[1]Summary - Pricing'!$D$13,0)</f>
        <v>0</v>
      </c>
      <c r="Q93" s="9">
        <f>IF(AND(E93&gt;5,E93&lt;16),0,IF(E93&lt;6,'[1]Summary - Pricing'!$D$11,IF('TR 01 Inventory'!E93&gt;15,('TR 01 Inventory'!E93-15)*'[1]Summary - Pricing'!$D$12)))</f>
        <v>500</v>
      </c>
      <c r="R93" s="8">
        <f>SUM(O93:Q93)</f>
        <v>500</v>
      </c>
      <c r="S93" s="9">
        <f>R93*L93</f>
        <v>1762500</v>
      </c>
      <c r="T93" s="9">
        <v>750000</v>
      </c>
      <c r="U93" s="9">
        <f>HLOOKUP(F93,'[1]Summary - Pricing'!$D$3:$L$20,18,FALSE)*100000</f>
        <v>1500000</v>
      </c>
      <c r="V93" s="9">
        <f>SUM('[1]Summary - Pricing'!$D$18,'[1]Summary - Pricing'!$D$21)*'TR 01 Inventory'!L93</f>
        <v>2224275</v>
      </c>
      <c r="W93" s="9">
        <f>'[1]Summary - Pricing'!$D$7*'TR 01 Inventory'!L93</f>
        <v>47587500</v>
      </c>
      <c r="X93" s="8">
        <f>W93+V93+U93+T93+S93</f>
        <v>53824275</v>
      </c>
    </row>
    <row r="94" spans="2:24" x14ac:dyDescent="0.3">
      <c r="B94" s="21" t="s">
        <v>167</v>
      </c>
      <c r="C94" s="21" t="s">
        <v>171</v>
      </c>
      <c r="D94" s="21" t="s">
        <v>205</v>
      </c>
      <c r="E94" s="10">
        <v>5</v>
      </c>
      <c r="F94" s="10" t="s">
        <v>16</v>
      </c>
      <c r="G94" s="11">
        <v>214.428</v>
      </c>
      <c r="H94" s="11">
        <v>2308.0815491999997</v>
      </c>
      <c r="I94" s="11">
        <v>558.52800709999997</v>
      </c>
      <c r="J94" s="11">
        <v>290.23700000000002</v>
      </c>
      <c r="K94" s="11">
        <v>3124.0820443000002</v>
      </c>
      <c r="L94" s="10">
        <v>3525</v>
      </c>
      <c r="M94" s="5" t="str">
        <f>HLOOKUP($F94,'[1]Summary - Pricing'!$D$3:$L$16,13,FALSE)</f>
        <v>N</v>
      </c>
      <c r="N94" s="5" t="str">
        <f>HLOOKUP($F94,'[1]Summary - Pricing'!$D$3:$L$16,14,FALSE)</f>
        <v>N</v>
      </c>
      <c r="O94" s="9">
        <f>IF(M94="Y",'[1]Summary - Pricing'!$D$10,0)</f>
        <v>0</v>
      </c>
      <c r="P94" s="9">
        <f>IF(N94="Y",'[1]Summary - Pricing'!$D$13,0)</f>
        <v>0</v>
      </c>
      <c r="Q94" s="9">
        <f>IF(AND(E94&gt;5,E94&lt;16),0,IF(E94&lt;6,'[1]Summary - Pricing'!$D$11,IF('TR 01 Inventory'!E94&gt;15,('TR 01 Inventory'!E94-15)*'[1]Summary - Pricing'!$D$12)))</f>
        <v>500</v>
      </c>
      <c r="R94" s="8">
        <f>SUM(O94:Q94)</f>
        <v>500</v>
      </c>
      <c r="S94" s="9">
        <f>R94*L94</f>
        <v>1762500</v>
      </c>
      <c r="T94" s="9">
        <v>750000</v>
      </c>
      <c r="U94" s="9">
        <f>HLOOKUP(F94,'[1]Summary - Pricing'!$D$3:$L$20,18,FALSE)*100000</f>
        <v>1500000</v>
      </c>
      <c r="V94" s="9">
        <f>SUM('[1]Summary - Pricing'!$D$18,'[1]Summary - Pricing'!$D$21)*'TR 01 Inventory'!L94</f>
        <v>2224275</v>
      </c>
      <c r="W94" s="9">
        <f>'[1]Summary - Pricing'!$D$7*'TR 01 Inventory'!L94</f>
        <v>47587500</v>
      </c>
      <c r="X94" s="8">
        <f>W94+V94+U94+T94+S94</f>
        <v>53824275</v>
      </c>
    </row>
    <row r="95" spans="2:24" x14ac:dyDescent="0.3">
      <c r="B95" s="21" t="s">
        <v>167</v>
      </c>
      <c r="C95" s="21" t="s">
        <v>171</v>
      </c>
      <c r="D95" s="21" t="s">
        <v>204</v>
      </c>
      <c r="E95" s="10">
        <v>6</v>
      </c>
      <c r="F95" s="10" t="s">
        <v>16</v>
      </c>
      <c r="G95" s="11">
        <v>214.428</v>
      </c>
      <c r="H95" s="11">
        <v>2308.0815491999997</v>
      </c>
      <c r="I95" s="11">
        <v>558.52800709999997</v>
      </c>
      <c r="J95" s="11">
        <v>290.23700000000002</v>
      </c>
      <c r="K95" s="11">
        <v>3124.0820443000002</v>
      </c>
      <c r="L95" s="10">
        <v>3525</v>
      </c>
      <c r="M95" s="5" t="str">
        <f>HLOOKUP($F95,'[1]Summary - Pricing'!$D$3:$L$16,13,FALSE)</f>
        <v>N</v>
      </c>
      <c r="N95" s="5" t="str">
        <f>HLOOKUP($F95,'[1]Summary - Pricing'!$D$3:$L$16,14,FALSE)</f>
        <v>N</v>
      </c>
      <c r="O95" s="9">
        <f>IF(M95="Y",'[1]Summary - Pricing'!$D$10,0)</f>
        <v>0</v>
      </c>
      <c r="P95" s="9">
        <f>IF(N95="Y",'[1]Summary - Pricing'!$D$13,0)</f>
        <v>0</v>
      </c>
      <c r="Q95" s="9">
        <f>IF(AND(E95&gt;5,E95&lt;16),0,IF(E95&lt;6,'[1]Summary - Pricing'!$D$11,IF('TR 01 Inventory'!E95&gt;15,('TR 01 Inventory'!E95-15)*'[1]Summary - Pricing'!$D$12)))</f>
        <v>0</v>
      </c>
      <c r="R95" s="8">
        <f>SUM(O95:Q95)</f>
        <v>0</v>
      </c>
      <c r="S95" s="9">
        <f>R95*L95</f>
        <v>0</v>
      </c>
      <c r="T95" s="9">
        <v>750000</v>
      </c>
      <c r="U95" s="9">
        <f>HLOOKUP(F95,'[1]Summary - Pricing'!$D$3:$L$20,18,FALSE)*100000</f>
        <v>1500000</v>
      </c>
      <c r="V95" s="9">
        <f>SUM('[1]Summary - Pricing'!$D$18,'[1]Summary - Pricing'!$D$21)*'TR 01 Inventory'!L95</f>
        <v>2224275</v>
      </c>
      <c r="W95" s="9">
        <f>'[1]Summary - Pricing'!$D$7*'TR 01 Inventory'!L95</f>
        <v>47587500</v>
      </c>
      <c r="X95" s="8">
        <f>W95+V95+U95+T95+S95</f>
        <v>52061775</v>
      </c>
    </row>
    <row r="96" spans="2:24" x14ac:dyDescent="0.3">
      <c r="B96" s="21" t="s">
        <v>167</v>
      </c>
      <c r="C96" s="21" t="s">
        <v>171</v>
      </c>
      <c r="D96" s="21" t="s">
        <v>203</v>
      </c>
      <c r="E96" s="10">
        <v>7</v>
      </c>
      <c r="F96" s="10" t="s">
        <v>16</v>
      </c>
      <c r="G96" s="11">
        <v>214.428</v>
      </c>
      <c r="H96" s="11">
        <v>2308.0815491999997</v>
      </c>
      <c r="I96" s="11">
        <v>558.52800709999997</v>
      </c>
      <c r="J96" s="11">
        <v>290.23700000000002</v>
      </c>
      <c r="K96" s="11">
        <v>3124.0820443000002</v>
      </c>
      <c r="L96" s="10">
        <v>3525</v>
      </c>
      <c r="M96" s="5" t="str">
        <f>HLOOKUP($F96,'[1]Summary - Pricing'!$D$3:$L$16,13,FALSE)</f>
        <v>N</v>
      </c>
      <c r="N96" s="5" t="str">
        <f>HLOOKUP($F96,'[1]Summary - Pricing'!$D$3:$L$16,14,FALSE)</f>
        <v>N</v>
      </c>
      <c r="O96" s="9">
        <f>IF(M96="Y",'[1]Summary - Pricing'!$D$10,0)</f>
        <v>0</v>
      </c>
      <c r="P96" s="9">
        <f>IF(N96="Y",'[1]Summary - Pricing'!$D$13,0)</f>
        <v>0</v>
      </c>
      <c r="Q96" s="9">
        <f>IF(AND(E96&gt;5,E96&lt;16),0,IF(E96&lt;6,'[1]Summary - Pricing'!$D$11,IF('TR 01 Inventory'!E96&gt;15,('TR 01 Inventory'!E96-15)*'[1]Summary - Pricing'!$D$12)))</f>
        <v>0</v>
      </c>
      <c r="R96" s="8">
        <f>SUM(O96:Q96)</f>
        <v>0</v>
      </c>
      <c r="S96" s="9">
        <f>R96*L96</f>
        <v>0</v>
      </c>
      <c r="T96" s="9">
        <v>750000</v>
      </c>
      <c r="U96" s="9">
        <f>HLOOKUP(F96,'[1]Summary - Pricing'!$D$3:$L$20,18,FALSE)*100000</f>
        <v>1500000</v>
      </c>
      <c r="V96" s="9">
        <f>SUM('[1]Summary - Pricing'!$D$18,'[1]Summary - Pricing'!$D$21)*'TR 01 Inventory'!L96</f>
        <v>2224275</v>
      </c>
      <c r="W96" s="9">
        <f>'[1]Summary - Pricing'!$D$7*'TR 01 Inventory'!L96</f>
        <v>47587500</v>
      </c>
      <c r="X96" s="8">
        <f>W96+V96+U96+T96+S96</f>
        <v>52061775</v>
      </c>
    </row>
    <row r="97" spans="2:24" x14ac:dyDescent="0.3">
      <c r="B97" s="21" t="s">
        <v>167</v>
      </c>
      <c r="C97" s="21" t="s">
        <v>171</v>
      </c>
      <c r="D97" s="21" t="s">
        <v>202</v>
      </c>
      <c r="E97" s="10">
        <v>8</v>
      </c>
      <c r="F97" s="10" t="s">
        <v>16</v>
      </c>
      <c r="G97" s="11">
        <v>214.428</v>
      </c>
      <c r="H97" s="11">
        <v>2308.0815491999997</v>
      </c>
      <c r="I97" s="11">
        <v>558.52800709999997</v>
      </c>
      <c r="J97" s="11">
        <v>290.23700000000002</v>
      </c>
      <c r="K97" s="11">
        <v>3124.0820443000002</v>
      </c>
      <c r="L97" s="10">
        <v>3525</v>
      </c>
      <c r="M97" s="5" t="str">
        <f>HLOOKUP($F97,'[1]Summary - Pricing'!$D$3:$L$16,13,FALSE)</f>
        <v>N</v>
      </c>
      <c r="N97" s="5" t="str">
        <f>HLOOKUP($F97,'[1]Summary - Pricing'!$D$3:$L$16,14,FALSE)</f>
        <v>N</v>
      </c>
      <c r="O97" s="9">
        <f>IF(M97="Y",'[1]Summary - Pricing'!$D$10,0)</f>
        <v>0</v>
      </c>
      <c r="P97" s="9">
        <f>IF(N97="Y",'[1]Summary - Pricing'!$D$13,0)</f>
        <v>0</v>
      </c>
      <c r="Q97" s="9">
        <f>IF(AND(E97&gt;5,E97&lt;16),0,IF(E97&lt;6,'[1]Summary - Pricing'!$D$11,IF('TR 01 Inventory'!E97&gt;15,('TR 01 Inventory'!E97-15)*'[1]Summary - Pricing'!$D$12)))</f>
        <v>0</v>
      </c>
      <c r="R97" s="8">
        <f>SUM(O97:Q97)</f>
        <v>0</v>
      </c>
      <c r="S97" s="9">
        <f>R97*L97</f>
        <v>0</v>
      </c>
      <c r="T97" s="9">
        <v>750000</v>
      </c>
      <c r="U97" s="9">
        <f>HLOOKUP(F97,'[1]Summary - Pricing'!$D$3:$L$20,18,FALSE)*100000</f>
        <v>1500000</v>
      </c>
      <c r="V97" s="9">
        <f>SUM('[1]Summary - Pricing'!$D$18,'[1]Summary - Pricing'!$D$21)*'TR 01 Inventory'!L97</f>
        <v>2224275</v>
      </c>
      <c r="W97" s="9">
        <f>'[1]Summary - Pricing'!$D$7*'TR 01 Inventory'!L97</f>
        <v>47587500</v>
      </c>
      <c r="X97" s="8">
        <f>W97+V97+U97+T97+S97</f>
        <v>52061775</v>
      </c>
    </row>
    <row r="98" spans="2:24" x14ac:dyDescent="0.3">
      <c r="B98" s="21" t="s">
        <v>167</v>
      </c>
      <c r="C98" s="21" t="s">
        <v>171</v>
      </c>
      <c r="D98" s="21" t="s">
        <v>201</v>
      </c>
      <c r="E98" s="10">
        <v>9</v>
      </c>
      <c r="F98" s="10" t="s">
        <v>16</v>
      </c>
      <c r="G98" s="11">
        <v>214.428</v>
      </c>
      <c r="H98" s="11">
        <v>2308.0815491999997</v>
      </c>
      <c r="I98" s="11">
        <v>558.52800709999997</v>
      </c>
      <c r="J98" s="11">
        <v>290.23700000000002</v>
      </c>
      <c r="K98" s="11">
        <v>3124.0820443000002</v>
      </c>
      <c r="L98" s="10">
        <v>3525</v>
      </c>
      <c r="M98" s="5" t="str">
        <f>HLOOKUP($F98,'[1]Summary - Pricing'!$D$3:$L$16,13,FALSE)</f>
        <v>N</v>
      </c>
      <c r="N98" s="5" t="str">
        <f>HLOOKUP($F98,'[1]Summary - Pricing'!$D$3:$L$16,14,FALSE)</f>
        <v>N</v>
      </c>
      <c r="O98" s="9">
        <f>IF(M98="Y",'[1]Summary - Pricing'!$D$10,0)</f>
        <v>0</v>
      </c>
      <c r="P98" s="9">
        <f>IF(N98="Y",'[1]Summary - Pricing'!$D$13,0)</f>
        <v>0</v>
      </c>
      <c r="Q98" s="9">
        <f>IF(AND(E98&gt;5,E98&lt;16),0,IF(E98&lt;6,'[1]Summary - Pricing'!$D$11,IF('TR 01 Inventory'!E98&gt;15,('TR 01 Inventory'!E98-15)*'[1]Summary - Pricing'!$D$12)))</f>
        <v>0</v>
      </c>
      <c r="R98" s="8">
        <f>SUM(O98:Q98)</f>
        <v>0</v>
      </c>
      <c r="S98" s="9">
        <f>R98*L98</f>
        <v>0</v>
      </c>
      <c r="T98" s="9">
        <v>750000</v>
      </c>
      <c r="U98" s="9">
        <f>HLOOKUP(F98,'[1]Summary - Pricing'!$D$3:$L$20,18,FALSE)*100000</f>
        <v>1500000</v>
      </c>
      <c r="V98" s="9">
        <f>SUM('[1]Summary - Pricing'!$D$18,'[1]Summary - Pricing'!$D$21)*'TR 01 Inventory'!L98</f>
        <v>2224275</v>
      </c>
      <c r="W98" s="9">
        <f>'[1]Summary - Pricing'!$D$7*'TR 01 Inventory'!L98</f>
        <v>47587500</v>
      </c>
      <c r="X98" s="8">
        <f>W98+V98+U98+T98+S98</f>
        <v>52061775</v>
      </c>
    </row>
    <row r="99" spans="2:24" x14ac:dyDescent="0.3">
      <c r="B99" s="21" t="s">
        <v>167</v>
      </c>
      <c r="C99" s="21" t="s">
        <v>171</v>
      </c>
      <c r="D99" s="21" t="s">
        <v>200</v>
      </c>
      <c r="E99" s="10">
        <v>10</v>
      </c>
      <c r="F99" s="10" t="s">
        <v>16</v>
      </c>
      <c r="G99" s="11">
        <v>214.428</v>
      </c>
      <c r="H99" s="11">
        <v>2308.0815491999997</v>
      </c>
      <c r="I99" s="11">
        <v>558.52800709999997</v>
      </c>
      <c r="J99" s="11">
        <v>290.23700000000002</v>
      </c>
      <c r="K99" s="11">
        <v>3124.0820443000002</v>
      </c>
      <c r="L99" s="10">
        <v>3525</v>
      </c>
      <c r="M99" s="5" t="str">
        <f>HLOOKUP($F99,'[1]Summary - Pricing'!$D$3:$L$16,13,FALSE)</f>
        <v>N</v>
      </c>
      <c r="N99" s="5" t="str">
        <f>HLOOKUP($F99,'[1]Summary - Pricing'!$D$3:$L$16,14,FALSE)</f>
        <v>N</v>
      </c>
      <c r="O99" s="9">
        <f>IF(M99="Y",'[1]Summary - Pricing'!$D$10,0)</f>
        <v>0</v>
      </c>
      <c r="P99" s="9">
        <f>IF(N99="Y",'[1]Summary - Pricing'!$D$13,0)</f>
        <v>0</v>
      </c>
      <c r="Q99" s="9">
        <f>IF(AND(E99&gt;5,E99&lt;16),0,IF(E99&lt;6,'[1]Summary - Pricing'!$D$11,IF('TR 01 Inventory'!E99&gt;15,('TR 01 Inventory'!E99-15)*'[1]Summary - Pricing'!$D$12)))</f>
        <v>0</v>
      </c>
      <c r="R99" s="8">
        <f>SUM(O99:Q99)</f>
        <v>0</v>
      </c>
      <c r="S99" s="9">
        <f>R99*L99</f>
        <v>0</v>
      </c>
      <c r="T99" s="9">
        <v>750000</v>
      </c>
      <c r="U99" s="9">
        <f>HLOOKUP(F99,'[1]Summary - Pricing'!$D$3:$L$20,18,FALSE)*100000</f>
        <v>1500000</v>
      </c>
      <c r="V99" s="9">
        <f>SUM('[1]Summary - Pricing'!$D$18,'[1]Summary - Pricing'!$D$21)*'TR 01 Inventory'!L99</f>
        <v>2224275</v>
      </c>
      <c r="W99" s="9">
        <f>'[1]Summary - Pricing'!$D$7*'TR 01 Inventory'!L99</f>
        <v>47587500</v>
      </c>
      <c r="X99" s="8">
        <f>W99+V99+U99+T99+S99</f>
        <v>52061775</v>
      </c>
    </row>
    <row r="100" spans="2:24" x14ac:dyDescent="0.3">
      <c r="B100" s="21" t="s">
        <v>167</v>
      </c>
      <c r="C100" s="21" t="s">
        <v>171</v>
      </c>
      <c r="D100" s="21" t="s">
        <v>199</v>
      </c>
      <c r="E100" s="10">
        <v>11</v>
      </c>
      <c r="F100" s="10" t="s">
        <v>16</v>
      </c>
      <c r="G100" s="11">
        <v>214.428</v>
      </c>
      <c r="H100" s="11">
        <v>2308.0815491999997</v>
      </c>
      <c r="I100" s="11">
        <v>558.52800709999997</v>
      </c>
      <c r="J100" s="11">
        <v>290.23700000000002</v>
      </c>
      <c r="K100" s="11">
        <v>3124.0820443000002</v>
      </c>
      <c r="L100" s="10">
        <v>3525</v>
      </c>
      <c r="M100" s="5" t="str">
        <f>HLOOKUP($F100,'[1]Summary - Pricing'!$D$3:$L$16,13,FALSE)</f>
        <v>N</v>
      </c>
      <c r="N100" s="5" t="str">
        <f>HLOOKUP($F100,'[1]Summary - Pricing'!$D$3:$L$16,14,FALSE)</f>
        <v>N</v>
      </c>
      <c r="O100" s="9">
        <f>IF(M100="Y",'[1]Summary - Pricing'!$D$10,0)</f>
        <v>0</v>
      </c>
      <c r="P100" s="9">
        <f>IF(N100="Y",'[1]Summary - Pricing'!$D$13,0)</f>
        <v>0</v>
      </c>
      <c r="Q100" s="9">
        <f>IF(AND(E100&gt;5,E100&lt;16),0,IF(E100&lt;6,'[1]Summary - Pricing'!$D$11,IF('TR 01 Inventory'!E100&gt;15,('TR 01 Inventory'!E100-15)*'[1]Summary - Pricing'!$D$12)))</f>
        <v>0</v>
      </c>
      <c r="R100" s="8">
        <f>SUM(O100:Q100)</f>
        <v>0</v>
      </c>
      <c r="S100" s="9">
        <f>R100*L100</f>
        <v>0</v>
      </c>
      <c r="T100" s="9">
        <v>750000</v>
      </c>
      <c r="U100" s="9">
        <f>HLOOKUP(F100,'[1]Summary - Pricing'!$D$3:$L$20,18,FALSE)*100000</f>
        <v>1500000</v>
      </c>
      <c r="V100" s="9">
        <f>SUM('[1]Summary - Pricing'!$D$18,'[1]Summary - Pricing'!$D$21)*'TR 01 Inventory'!L100</f>
        <v>2224275</v>
      </c>
      <c r="W100" s="9">
        <f>'[1]Summary - Pricing'!$D$7*'TR 01 Inventory'!L100</f>
        <v>47587500</v>
      </c>
      <c r="X100" s="8">
        <f>W100+V100+U100+T100+S100</f>
        <v>52061775</v>
      </c>
    </row>
    <row r="101" spans="2:24" x14ac:dyDescent="0.3">
      <c r="B101" s="21" t="s">
        <v>167</v>
      </c>
      <c r="C101" s="21" t="s">
        <v>171</v>
      </c>
      <c r="D101" s="21" t="s">
        <v>198</v>
      </c>
      <c r="E101" s="10">
        <v>12</v>
      </c>
      <c r="F101" s="10" t="s">
        <v>16</v>
      </c>
      <c r="G101" s="11">
        <v>214.428</v>
      </c>
      <c r="H101" s="11">
        <v>2308.0815491999997</v>
      </c>
      <c r="I101" s="11">
        <v>558.52800709999997</v>
      </c>
      <c r="J101" s="11">
        <v>290.23700000000002</v>
      </c>
      <c r="K101" s="11">
        <v>3124.0820443000002</v>
      </c>
      <c r="L101" s="10">
        <v>3525</v>
      </c>
      <c r="M101" s="5" t="str">
        <f>HLOOKUP($F101,'[1]Summary - Pricing'!$D$3:$L$16,13,FALSE)</f>
        <v>N</v>
      </c>
      <c r="N101" s="5" t="str">
        <f>HLOOKUP($F101,'[1]Summary - Pricing'!$D$3:$L$16,14,FALSE)</f>
        <v>N</v>
      </c>
      <c r="O101" s="9">
        <f>IF(M101="Y",'[1]Summary - Pricing'!$D$10,0)</f>
        <v>0</v>
      </c>
      <c r="P101" s="9">
        <f>IF(N101="Y",'[1]Summary - Pricing'!$D$13,0)</f>
        <v>0</v>
      </c>
      <c r="Q101" s="9">
        <f>IF(AND(E101&gt;5,E101&lt;16),0,IF(E101&lt;6,'[1]Summary - Pricing'!$D$11,IF('TR 01 Inventory'!E101&gt;15,('TR 01 Inventory'!E101-15)*'[1]Summary - Pricing'!$D$12)))</f>
        <v>0</v>
      </c>
      <c r="R101" s="8">
        <f>SUM(O101:Q101)</f>
        <v>0</v>
      </c>
      <c r="S101" s="9">
        <f>R101*L101</f>
        <v>0</v>
      </c>
      <c r="T101" s="9">
        <v>750000</v>
      </c>
      <c r="U101" s="9">
        <f>HLOOKUP(F101,'[1]Summary - Pricing'!$D$3:$L$20,18,FALSE)*100000</f>
        <v>1500000</v>
      </c>
      <c r="V101" s="9">
        <f>SUM('[1]Summary - Pricing'!$D$18,'[1]Summary - Pricing'!$D$21)*'TR 01 Inventory'!L101</f>
        <v>2224275</v>
      </c>
      <c r="W101" s="9">
        <f>'[1]Summary - Pricing'!$D$7*'TR 01 Inventory'!L101</f>
        <v>47587500</v>
      </c>
      <c r="X101" s="8">
        <f>W101+V101+U101+T101+S101</f>
        <v>52061775</v>
      </c>
    </row>
    <row r="102" spans="2:24" x14ac:dyDescent="0.3">
      <c r="B102" s="21" t="s">
        <v>167</v>
      </c>
      <c r="C102" s="21" t="s">
        <v>171</v>
      </c>
      <c r="D102" s="21" t="s">
        <v>197</v>
      </c>
      <c r="E102" s="10">
        <v>14</v>
      </c>
      <c r="F102" s="10" t="s">
        <v>16</v>
      </c>
      <c r="G102" s="11">
        <v>214.428</v>
      </c>
      <c r="H102" s="11">
        <v>2308.0815491999997</v>
      </c>
      <c r="I102" s="11">
        <v>558.52800709999997</v>
      </c>
      <c r="J102" s="11">
        <v>290.23700000000002</v>
      </c>
      <c r="K102" s="11">
        <v>3124.0820443000002</v>
      </c>
      <c r="L102" s="10">
        <v>3525</v>
      </c>
      <c r="M102" s="5" t="str">
        <f>HLOOKUP($F102,'[1]Summary - Pricing'!$D$3:$L$16,13,FALSE)</f>
        <v>N</v>
      </c>
      <c r="N102" s="5" t="str">
        <f>HLOOKUP($F102,'[1]Summary - Pricing'!$D$3:$L$16,14,FALSE)</f>
        <v>N</v>
      </c>
      <c r="O102" s="9">
        <f>IF(M102="Y",'[1]Summary - Pricing'!$D$10,0)</f>
        <v>0</v>
      </c>
      <c r="P102" s="9">
        <f>IF(N102="Y",'[1]Summary - Pricing'!$D$13,0)</f>
        <v>0</v>
      </c>
      <c r="Q102" s="9">
        <f>IF(AND(E102&gt;5,E102&lt;16),0,IF(E102&lt;6,'[1]Summary - Pricing'!$D$11,IF('TR 01 Inventory'!E102&gt;15,('TR 01 Inventory'!E102-15)*'[1]Summary - Pricing'!$D$12)))</f>
        <v>0</v>
      </c>
      <c r="R102" s="8">
        <f>SUM(O102:Q102)</f>
        <v>0</v>
      </c>
      <c r="S102" s="9">
        <f>R102*L102</f>
        <v>0</v>
      </c>
      <c r="T102" s="9">
        <v>750000</v>
      </c>
      <c r="U102" s="9">
        <f>HLOOKUP(F102,'[1]Summary - Pricing'!$D$3:$L$20,18,FALSE)*100000</f>
        <v>1500000</v>
      </c>
      <c r="V102" s="9">
        <f>SUM('[1]Summary - Pricing'!$D$18,'[1]Summary - Pricing'!$D$21)*'TR 01 Inventory'!L102</f>
        <v>2224275</v>
      </c>
      <c r="W102" s="9">
        <f>'[1]Summary - Pricing'!$D$7*'TR 01 Inventory'!L102</f>
        <v>47587500</v>
      </c>
      <c r="X102" s="8">
        <f>W102+V102+U102+T102+S102</f>
        <v>52061775</v>
      </c>
    </row>
    <row r="103" spans="2:24" x14ac:dyDescent="0.3">
      <c r="B103" s="21" t="s">
        <v>167</v>
      </c>
      <c r="C103" s="21" t="s">
        <v>171</v>
      </c>
      <c r="D103" s="21" t="s">
        <v>196</v>
      </c>
      <c r="E103" s="10">
        <v>16</v>
      </c>
      <c r="F103" s="10" t="s">
        <v>16</v>
      </c>
      <c r="G103" s="11">
        <v>214.428</v>
      </c>
      <c r="H103" s="11">
        <v>2308.0815491999997</v>
      </c>
      <c r="I103" s="11">
        <v>558.52800709999997</v>
      </c>
      <c r="J103" s="11">
        <v>290.23700000000002</v>
      </c>
      <c r="K103" s="11">
        <v>3124.0820443000002</v>
      </c>
      <c r="L103" s="10">
        <v>3525</v>
      </c>
      <c r="M103" s="5" t="str">
        <f>HLOOKUP($F103,'[1]Summary - Pricing'!$D$3:$L$16,13,FALSE)</f>
        <v>N</v>
      </c>
      <c r="N103" s="5" t="str">
        <f>HLOOKUP($F103,'[1]Summary - Pricing'!$D$3:$L$16,14,FALSE)</f>
        <v>N</v>
      </c>
      <c r="O103" s="9">
        <f>IF(M103="Y",'[1]Summary - Pricing'!$D$10,0)</f>
        <v>0</v>
      </c>
      <c r="P103" s="9">
        <f>IF(N103="Y",'[1]Summary - Pricing'!$D$13,0)</f>
        <v>0</v>
      </c>
      <c r="Q103" s="9">
        <f>IF(AND(E103&gt;5,E103&lt;16),0,IF(E103&lt;6,'[1]Summary - Pricing'!$D$11,IF('TR 01 Inventory'!E103&gt;15,('TR 01 Inventory'!E103-15)*'[1]Summary - Pricing'!$D$12)))</f>
        <v>50</v>
      </c>
      <c r="R103" s="8">
        <f>SUM(O103:Q103)</f>
        <v>50</v>
      </c>
      <c r="S103" s="9">
        <f>R103*L103</f>
        <v>176250</v>
      </c>
      <c r="T103" s="9">
        <v>750000</v>
      </c>
      <c r="U103" s="9">
        <f>HLOOKUP(F103,'[1]Summary - Pricing'!$D$3:$L$20,18,FALSE)*100000</f>
        <v>1500000</v>
      </c>
      <c r="V103" s="9">
        <f>SUM('[1]Summary - Pricing'!$D$18,'[1]Summary - Pricing'!$D$21)*'TR 01 Inventory'!L103</f>
        <v>2224275</v>
      </c>
      <c r="W103" s="9">
        <f>'[1]Summary - Pricing'!$D$7*'TR 01 Inventory'!L103</f>
        <v>47587500</v>
      </c>
      <c r="X103" s="8">
        <f>W103+V103+U103+T103+S103</f>
        <v>52238025</v>
      </c>
    </row>
    <row r="104" spans="2:24" x14ac:dyDescent="0.3">
      <c r="B104" s="21" t="s">
        <v>167</v>
      </c>
      <c r="C104" s="21" t="s">
        <v>171</v>
      </c>
      <c r="D104" s="21" t="s">
        <v>195</v>
      </c>
      <c r="E104" s="10">
        <v>17</v>
      </c>
      <c r="F104" s="10" t="s">
        <v>16</v>
      </c>
      <c r="G104" s="11">
        <v>214.428</v>
      </c>
      <c r="H104" s="11">
        <v>2308.0815491999997</v>
      </c>
      <c r="I104" s="11">
        <v>558.52800709999997</v>
      </c>
      <c r="J104" s="11">
        <v>290.23700000000002</v>
      </c>
      <c r="K104" s="11">
        <v>3124.0820443000002</v>
      </c>
      <c r="L104" s="10">
        <v>3525</v>
      </c>
      <c r="M104" s="5" t="str">
        <f>HLOOKUP($F104,'[1]Summary - Pricing'!$D$3:$L$16,13,FALSE)</f>
        <v>N</v>
      </c>
      <c r="N104" s="5" t="str">
        <f>HLOOKUP($F104,'[1]Summary - Pricing'!$D$3:$L$16,14,FALSE)</f>
        <v>N</v>
      </c>
      <c r="O104" s="9">
        <f>IF(M104="Y",'[1]Summary - Pricing'!$D$10,0)</f>
        <v>0</v>
      </c>
      <c r="P104" s="9">
        <f>IF(N104="Y",'[1]Summary - Pricing'!$D$13,0)</f>
        <v>0</v>
      </c>
      <c r="Q104" s="9">
        <f>IF(AND(E104&gt;5,E104&lt;16),0,IF(E104&lt;6,'[1]Summary - Pricing'!$D$11,IF('TR 01 Inventory'!E104&gt;15,('TR 01 Inventory'!E104-15)*'[1]Summary - Pricing'!$D$12)))</f>
        <v>100</v>
      </c>
      <c r="R104" s="8">
        <f>SUM(O104:Q104)</f>
        <v>100</v>
      </c>
      <c r="S104" s="9">
        <f>R104*L104</f>
        <v>352500</v>
      </c>
      <c r="T104" s="9">
        <v>750000</v>
      </c>
      <c r="U104" s="9">
        <f>HLOOKUP(F104,'[1]Summary - Pricing'!$D$3:$L$20,18,FALSE)*100000</f>
        <v>1500000</v>
      </c>
      <c r="V104" s="9">
        <f>SUM('[1]Summary - Pricing'!$D$18,'[1]Summary - Pricing'!$D$21)*'TR 01 Inventory'!L104</f>
        <v>2224275</v>
      </c>
      <c r="W104" s="9">
        <f>'[1]Summary - Pricing'!$D$7*'TR 01 Inventory'!L104</f>
        <v>47587500</v>
      </c>
      <c r="X104" s="8">
        <f>W104+V104+U104+T104+S104</f>
        <v>52414275</v>
      </c>
    </row>
    <row r="105" spans="2:24" x14ac:dyDescent="0.3">
      <c r="B105" s="21" t="s">
        <v>167</v>
      </c>
      <c r="C105" s="21" t="s">
        <v>171</v>
      </c>
      <c r="D105" s="21" t="s">
        <v>194</v>
      </c>
      <c r="E105" s="10">
        <v>18</v>
      </c>
      <c r="F105" s="10" t="s">
        <v>16</v>
      </c>
      <c r="G105" s="11">
        <v>214.428</v>
      </c>
      <c r="H105" s="11">
        <v>2308.0815491999997</v>
      </c>
      <c r="I105" s="11">
        <v>558.52800709999997</v>
      </c>
      <c r="J105" s="11">
        <v>290.23700000000002</v>
      </c>
      <c r="K105" s="11">
        <v>3124.0820443000002</v>
      </c>
      <c r="L105" s="10">
        <v>3525</v>
      </c>
      <c r="M105" s="5" t="str">
        <f>HLOOKUP($F105,'[1]Summary - Pricing'!$D$3:$L$16,13,FALSE)</f>
        <v>N</v>
      </c>
      <c r="N105" s="5" t="str">
        <f>HLOOKUP($F105,'[1]Summary - Pricing'!$D$3:$L$16,14,FALSE)</f>
        <v>N</v>
      </c>
      <c r="O105" s="9">
        <f>IF(M105="Y",'[1]Summary - Pricing'!$D$10,0)</f>
        <v>0</v>
      </c>
      <c r="P105" s="9">
        <f>IF(N105="Y",'[1]Summary - Pricing'!$D$13,0)</f>
        <v>0</v>
      </c>
      <c r="Q105" s="9">
        <f>IF(AND(E105&gt;5,E105&lt;16),0,IF(E105&lt;6,'[1]Summary - Pricing'!$D$11,IF('TR 01 Inventory'!E105&gt;15,('TR 01 Inventory'!E105-15)*'[1]Summary - Pricing'!$D$12)))</f>
        <v>150</v>
      </c>
      <c r="R105" s="8">
        <f>SUM(O105:Q105)</f>
        <v>150</v>
      </c>
      <c r="S105" s="9">
        <f>R105*L105</f>
        <v>528750</v>
      </c>
      <c r="T105" s="9">
        <v>750000</v>
      </c>
      <c r="U105" s="9">
        <f>HLOOKUP(F105,'[1]Summary - Pricing'!$D$3:$L$20,18,FALSE)*100000</f>
        <v>1500000</v>
      </c>
      <c r="V105" s="9">
        <f>SUM('[1]Summary - Pricing'!$D$18,'[1]Summary - Pricing'!$D$21)*'TR 01 Inventory'!L105</f>
        <v>2224275</v>
      </c>
      <c r="W105" s="9">
        <f>'[1]Summary - Pricing'!$D$7*'TR 01 Inventory'!L105</f>
        <v>47587500</v>
      </c>
      <c r="X105" s="8">
        <f>W105+V105+U105+T105+S105</f>
        <v>52590525</v>
      </c>
    </row>
    <row r="106" spans="2:24" x14ac:dyDescent="0.3">
      <c r="B106" s="21" t="s">
        <v>167</v>
      </c>
      <c r="C106" s="21" t="s">
        <v>171</v>
      </c>
      <c r="D106" s="21" t="s">
        <v>193</v>
      </c>
      <c r="E106" s="10">
        <v>19</v>
      </c>
      <c r="F106" s="10" t="s">
        <v>16</v>
      </c>
      <c r="G106" s="11">
        <v>214.428</v>
      </c>
      <c r="H106" s="11">
        <v>2308.0815491999997</v>
      </c>
      <c r="I106" s="11">
        <v>558.52800709999997</v>
      </c>
      <c r="J106" s="11">
        <v>290.23700000000002</v>
      </c>
      <c r="K106" s="11">
        <v>3124.0820443000002</v>
      </c>
      <c r="L106" s="10">
        <v>3525</v>
      </c>
      <c r="M106" s="5" t="str">
        <f>HLOOKUP($F106,'[1]Summary - Pricing'!$D$3:$L$16,13,FALSE)</f>
        <v>N</v>
      </c>
      <c r="N106" s="5" t="str">
        <f>HLOOKUP($F106,'[1]Summary - Pricing'!$D$3:$L$16,14,FALSE)</f>
        <v>N</v>
      </c>
      <c r="O106" s="9">
        <f>IF(M106="Y",'[1]Summary - Pricing'!$D$10,0)</f>
        <v>0</v>
      </c>
      <c r="P106" s="9">
        <f>IF(N106="Y",'[1]Summary - Pricing'!$D$13,0)</f>
        <v>0</v>
      </c>
      <c r="Q106" s="9">
        <f>IF(AND(E106&gt;5,E106&lt;16),0,IF(E106&lt;6,'[1]Summary - Pricing'!$D$11,IF('TR 01 Inventory'!E106&gt;15,('TR 01 Inventory'!E106-15)*'[1]Summary - Pricing'!$D$12)))</f>
        <v>200</v>
      </c>
      <c r="R106" s="8">
        <f>SUM(O106:Q106)</f>
        <v>200</v>
      </c>
      <c r="S106" s="9">
        <f>R106*L106</f>
        <v>705000</v>
      </c>
      <c r="T106" s="9">
        <v>750000</v>
      </c>
      <c r="U106" s="9">
        <f>HLOOKUP(F106,'[1]Summary - Pricing'!$D$3:$L$20,18,FALSE)*100000</f>
        <v>1500000</v>
      </c>
      <c r="V106" s="9">
        <f>SUM('[1]Summary - Pricing'!$D$18,'[1]Summary - Pricing'!$D$21)*'TR 01 Inventory'!L106</f>
        <v>2224275</v>
      </c>
      <c r="W106" s="9">
        <f>'[1]Summary - Pricing'!$D$7*'TR 01 Inventory'!L106</f>
        <v>47587500</v>
      </c>
      <c r="X106" s="8">
        <f>W106+V106+U106+T106+S106</f>
        <v>52766775</v>
      </c>
    </row>
    <row r="107" spans="2:24" x14ac:dyDescent="0.3">
      <c r="B107" s="21" t="s">
        <v>167</v>
      </c>
      <c r="C107" s="21" t="s">
        <v>171</v>
      </c>
      <c r="D107" s="21" t="s">
        <v>192</v>
      </c>
      <c r="E107" s="10">
        <v>20</v>
      </c>
      <c r="F107" s="10" t="s">
        <v>16</v>
      </c>
      <c r="G107" s="11">
        <v>214.428</v>
      </c>
      <c r="H107" s="11">
        <v>2308.0815491999997</v>
      </c>
      <c r="I107" s="11">
        <v>558.52800709999997</v>
      </c>
      <c r="J107" s="11">
        <v>290.23700000000002</v>
      </c>
      <c r="K107" s="11">
        <v>3124.0820443000002</v>
      </c>
      <c r="L107" s="10">
        <v>3525</v>
      </c>
      <c r="M107" s="5" t="str">
        <f>HLOOKUP($F107,'[1]Summary - Pricing'!$D$3:$L$16,13,FALSE)</f>
        <v>N</v>
      </c>
      <c r="N107" s="5" t="str">
        <f>HLOOKUP($F107,'[1]Summary - Pricing'!$D$3:$L$16,14,FALSE)</f>
        <v>N</v>
      </c>
      <c r="O107" s="9">
        <f>IF(M107="Y",'[1]Summary - Pricing'!$D$10,0)</f>
        <v>0</v>
      </c>
      <c r="P107" s="9">
        <f>IF(N107="Y",'[1]Summary - Pricing'!$D$13,0)</f>
        <v>0</v>
      </c>
      <c r="Q107" s="9">
        <f>IF(AND(E107&gt;5,E107&lt;16),0,IF(E107&lt;6,'[1]Summary - Pricing'!$D$11,IF('TR 01 Inventory'!E107&gt;15,('TR 01 Inventory'!E107-15)*'[1]Summary - Pricing'!$D$12)))</f>
        <v>250</v>
      </c>
      <c r="R107" s="8">
        <f>SUM(O107:Q107)</f>
        <v>250</v>
      </c>
      <c r="S107" s="9">
        <f>R107*L107</f>
        <v>881250</v>
      </c>
      <c r="T107" s="9">
        <v>750000</v>
      </c>
      <c r="U107" s="9">
        <f>HLOOKUP(F107,'[1]Summary - Pricing'!$D$3:$L$20,18,FALSE)*100000</f>
        <v>1500000</v>
      </c>
      <c r="V107" s="9">
        <f>SUM('[1]Summary - Pricing'!$D$18,'[1]Summary - Pricing'!$D$21)*'TR 01 Inventory'!L107</f>
        <v>2224275</v>
      </c>
      <c r="W107" s="9">
        <f>'[1]Summary - Pricing'!$D$7*'TR 01 Inventory'!L107</f>
        <v>47587500</v>
      </c>
      <c r="X107" s="8">
        <f>W107+V107+U107+T107+S107</f>
        <v>52943025</v>
      </c>
    </row>
    <row r="108" spans="2:24" x14ac:dyDescent="0.3">
      <c r="B108" s="21" t="s">
        <v>167</v>
      </c>
      <c r="C108" s="21" t="s">
        <v>171</v>
      </c>
      <c r="D108" s="21" t="s">
        <v>191</v>
      </c>
      <c r="E108" s="10">
        <v>21</v>
      </c>
      <c r="F108" s="10" t="s">
        <v>16</v>
      </c>
      <c r="G108" s="11">
        <v>214.428</v>
      </c>
      <c r="H108" s="11">
        <v>2308.0815491999997</v>
      </c>
      <c r="I108" s="11">
        <v>558.52800709999997</v>
      </c>
      <c r="J108" s="11">
        <v>290.23700000000002</v>
      </c>
      <c r="K108" s="11">
        <v>3124.0820443000002</v>
      </c>
      <c r="L108" s="10">
        <v>3525</v>
      </c>
      <c r="M108" s="5" t="str">
        <f>HLOOKUP($F108,'[1]Summary - Pricing'!$D$3:$L$16,13,FALSE)</f>
        <v>N</v>
      </c>
      <c r="N108" s="5" t="str">
        <f>HLOOKUP($F108,'[1]Summary - Pricing'!$D$3:$L$16,14,FALSE)</f>
        <v>N</v>
      </c>
      <c r="O108" s="9">
        <f>IF(M108="Y",'[1]Summary - Pricing'!$D$10,0)</f>
        <v>0</v>
      </c>
      <c r="P108" s="9">
        <f>IF(N108="Y",'[1]Summary - Pricing'!$D$13,0)</f>
        <v>0</v>
      </c>
      <c r="Q108" s="9">
        <f>IF(AND(E108&gt;5,E108&lt;16),0,IF(E108&lt;6,'[1]Summary - Pricing'!$D$11,IF('TR 01 Inventory'!E108&gt;15,('TR 01 Inventory'!E108-15)*'[1]Summary - Pricing'!$D$12)))</f>
        <v>300</v>
      </c>
      <c r="R108" s="8">
        <f>SUM(O108:Q108)</f>
        <v>300</v>
      </c>
      <c r="S108" s="9">
        <f>R108*L108</f>
        <v>1057500</v>
      </c>
      <c r="T108" s="9">
        <v>750000</v>
      </c>
      <c r="U108" s="9">
        <f>HLOOKUP(F108,'[1]Summary - Pricing'!$D$3:$L$20,18,FALSE)*100000</f>
        <v>1500000</v>
      </c>
      <c r="V108" s="9">
        <f>SUM('[1]Summary - Pricing'!$D$18,'[1]Summary - Pricing'!$D$21)*'TR 01 Inventory'!L108</f>
        <v>2224275</v>
      </c>
      <c r="W108" s="9">
        <f>'[1]Summary - Pricing'!$D$7*'TR 01 Inventory'!L108</f>
        <v>47587500</v>
      </c>
      <c r="X108" s="8">
        <f>W108+V108+U108+T108+S108</f>
        <v>53119275</v>
      </c>
    </row>
    <row r="109" spans="2:24" x14ac:dyDescent="0.3">
      <c r="B109" s="21" t="s">
        <v>167</v>
      </c>
      <c r="C109" s="21" t="s">
        <v>171</v>
      </c>
      <c r="D109" s="21" t="s">
        <v>190</v>
      </c>
      <c r="E109" s="10">
        <v>22</v>
      </c>
      <c r="F109" s="10" t="s">
        <v>16</v>
      </c>
      <c r="G109" s="11">
        <v>214.428</v>
      </c>
      <c r="H109" s="11">
        <v>2308.0815491999997</v>
      </c>
      <c r="I109" s="11">
        <v>558.52800709999997</v>
      </c>
      <c r="J109" s="11">
        <v>290.23700000000002</v>
      </c>
      <c r="K109" s="11">
        <v>3124.0820443000002</v>
      </c>
      <c r="L109" s="10">
        <v>3525</v>
      </c>
      <c r="M109" s="5" t="str">
        <f>HLOOKUP($F109,'[1]Summary - Pricing'!$D$3:$L$16,13,FALSE)</f>
        <v>N</v>
      </c>
      <c r="N109" s="5" t="str">
        <f>HLOOKUP($F109,'[1]Summary - Pricing'!$D$3:$L$16,14,FALSE)</f>
        <v>N</v>
      </c>
      <c r="O109" s="9">
        <f>IF(M109="Y",'[1]Summary - Pricing'!$D$10,0)</f>
        <v>0</v>
      </c>
      <c r="P109" s="9">
        <f>IF(N109="Y",'[1]Summary - Pricing'!$D$13,0)</f>
        <v>0</v>
      </c>
      <c r="Q109" s="9">
        <f>IF(AND(E109&gt;5,E109&lt;16),0,IF(E109&lt;6,'[1]Summary - Pricing'!$D$11,IF('TR 01 Inventory'!E109&gt;15,('TR 01 Inventory'!E109-15)*'[1]Summary - Pricing'!$D$12)))</f>
        <v>350</v>
      </c>
      <c r="R109" s="8">
        <f>SUM(O109:Q109)</f>
        <v>350</v>
      </c>
      <c r="S109" s="9">
        <f>R109*L109</f>
        <v>1233750</v>
      </c>
      <c r="T109" s="9">
        <v>750000</v>
      </c>
      <c r="U109" s="9">
        <f>HLOOKUP(F109,'[1]Summary - Pricing'!$D$3:$L$20,18,FALSE)*100000</f>
        <v>1500000</v>
      </c>
      <c r="V109" s="9">
        <f>SUM('[1]Summary - Pricing'!$D$18,'[1]Summary - Pricing'!$D$21)*'TR 01 Inventory'!L109</f>
        <v>2224275</v>
      </c>
      <c r="W109" s="9">
        <f>'[1]Summary - Pricing'!$D$7*'TR 01 Inventory'!L109</f>
        <v>47587500</v>
      </c>
      <c r="X109" s="8">
        <f>W109+V109+U109+T109+S109</f>
        <v>53295525</v>
      </c>
    </row>
    <row r="110" spans="2:24" x14ac:dyDescent="0.3">
      <c r="B110" s="21" t="s">
        <v>167</v>
      </c>
      <c r="C110" s="21" t="s">
        <v>171</v>
      </c>
      <c r="D110" s="21" t="s">
        <v>189</v>
      </c>
      <c r="E110" s="10">
        <v>24</v>
      </c>
      <c r="F110" s="10" t="s">
        <v>16</v>
      </c>
      <c r="G110" s="11">
        <v>214.428</v>
      </c>
      <c r="H110" s="11">
        <v>2308.0815491999997</v>
      </c>
      <c r="I110" s="11">
        <v>558.52800709999997</v>
      </c>
      <c r="J110" s="11">
        <v>290.23700000000002</v>
      </c>
      <c r="K110" s="11">
        <v>3124.0820443000002</v>
      </c>
      <c r="L110" s="10">
        <v>3525</v>
      </c>
      <c r="M110" s="5" t="str">
        <f>HLOOKUP($F110,'[1]Summary - Pricing'!$D$3:$L$16,13,FALSE)</f>
        <v>N</v>
      </c>
      <c r="N110" s="5" t="str">
        <f>HLOOKUP($F110,'[1]Summary - Pricing'!$D$3:$L$16,14,FALSE)</f>
        <v>N</v>
      </c>
      <c r="O110" s="9">
        <f>IF(M110="Y",'[1]Summary - Pricing'!$D$10,0)</f>
        <v>0</v>
      </c>
      <c r="P110" s="9">
        <f>IF(N110="Y",'[1]Summary - Pricing'!$D$13,0)</f>
        <v>0</v>
      </c>
      <c r="Q110" s="9">
        <f>IF(AND(E110&gt;5,E110&lt;16),0,IF(E110&lt;6,'[1]Summary - Pricing'!$D$11,IF('TR 01 Inventory'!E110&gt;15,('TR 01 Inventory'!E110-15)*'[1]Summary - Pricing'!$D$12)))</f>
        <v>450</v>
      </c>
      <c r="R110" s="8">
        <f>SUM(O110:Q110)</f>
        <v>450</v>
      </c>
      <c r="S110" s="9">
        <f>R110*L110</f>
        <v>1586250</v>
      </c>
      <c r="T110" s="9">
        <v>750000</v>
      </c>
      <c r="U110" s="9">
        <f>HLOOKUP(F110,'[1]Summary - Pricing'!$D$3:$L$20,18,FALSE)*100000</f>
        <v>1500000</v>
      </c>
      <c r="V110" s="9">
        <f>SUM('[1]Summary - Pricing'!$D$18,'[1]Summary - Pricing'!$D$21)*'TR 01 Inventory'!L110</f>
        <v>2224275</v>
      </c>
      <c r="W110" s="9">
        <f>'[1]Summary - Pricing'!$D$7*'TR 01 Inventory'!L110</f>
        <v>47587500</v>
      </c>
      <c r="X110" s="8">
        <f>W110+V110+U110+T110+S110</f>
        <v>53648025</v>
      </c>
    </row>
    <row r="111" spans="2:24" x14ac:dyDescent="0.3">
      <c r="B111" s="21" t="s">
        <v>167</v>
      </c>
      <c r="C111" s="21" t="s">
        <v>171</v>
      </c>
      <c r="D111" s="21" t="s">
        <v>188</v>
      </c>
      <c r="E111" s="10">
        <v>25</v>
      </c>
      <c r="F111" s="10" t="s">
        <v>16</v>
      </c>
      <c r="G111" s="11">
        <v>214.428</v>
      </c>
      <c r="H111" s="11">
        <v>2308.0815491999997</v>
      </c>
      <c r="I111" s="11">
        <v>558.52800709999997</v>
      </c>
      <c r="J111" s="11">
        <v>290.23700000000002</v>
      </c>
      <c r="K111" s="11">
        <v>3124.0820443000002</v>
      </c>
      <c r="L111" s="10">
        <v>3525</v>
      </c>
      <c r="M111" s="5" t="str">
        <f>HLOOKUP($F111,'[1]Summary - Pricing'!$D$3:$L$16,13,FALSE)</f>
        <v>N</v>
      </c>
      <c r="N111" s="5" t="str">
        <f>HLOOKUP($F111,'[1]Summary - Pricing'!$D$3:$L$16,14,FALSE)</f>
        <v>N</v>
      </c>
      <c r="O111" s="9">
        <f>IF(M111="Y",'[1]Summary - Pricing'!$D$10,0)</f>
        <v>0</v>
      </c>
      <c r="P111" s="9">
        <f>IF(N111="Y",'[1]Summary - Pricing'!$D$13,0)</f>
        <v>0</v>
      </c>
      <c r="Q111" s="9">
        <f>IF(AND(E111&gt;5,E111&lt;16),0,IF(E111&lt;6,'[1]Summary - Pricing'!$D$11,IF('TR 01 Inventory'!E111&gt;15,('TR 01 Inventory'!E111-15)*'[1]Summary - Pricing'!$D$12)))</f>
        <v>500</v>
      </c>
      <c r="R111" s="8">
        <f>SUM(O111:Q111)</f>
        <v>500</v>
      </c>
      <c r="S111" s="9">
        <f>R111*L111</f>
        <v>1762500</v>
      </c>
      <c r="T111" s="9">
        <v>750000</v>
      </c>
      <c r="U111" s="9">
        <f>HLOOKUP(F111,'[1]Summary - Pricing'!$D$3:$L$20,18,FALSE)*100000</f>
        <v>1500000</v>
      </c>
      <c r="V111" s="9">
        <f>SUM('[1]Summary - Pricing'!$D$18,'[1]Summary - Pricing'!$D$21)*'TR 01 Inventory'!L111</f>
        <v>2224275</v>
      </c>
      <c r="W111" s="9">
        <f>'[1]Summary - Pricing'!$D$7*'TR 01 Inventory'!L111</f>
        <v>47587500</v>
      </c>
      <c r="X111" s="8">
        <f>W111+V111+U111+T111+S111</f>
        <v>53824275</v>
      </c>
    </row>
    <row r="112" spans="2:24" x14ac:dyDescent="0.3">
      <c r="B112" s="21" t="s">
        <v>167</v>
      </c>
      <c r="C112" s="21" t="s">
        <v>171</v>
      </c>
      <c r="D112" s="21" t="s">
        <v>187</v>
      </c>
      <c r="E112" s="10">
        <v>26</v>
      </c>
      <c r="F112" s="10" t="s">
        <v>16</v>
      </c>
      <c r="G112" s="11">
        <v>214.428</v>
      </c>
      <c r="H112" s="11">
        <v>2308.0815491999997</v>
      </c>
      <c r="I112" s="11">
        <v>558.52800709999997</v>
      </c>
      <c r="J112" s="11">
        <v>290.23700000000002</v>
      </c>
      <c r="K112" s="11">
        <v>3124.0820443000002</v>
      </c>
      <c r="L112" s="10">
        <v>3525</v>
      </c>
      <c r="M112" s="5" t="str">
        <f>HLOOKUP($F112,'[1]Summary - Pricing'!$D$3:$L$16,13,FALSE)</f>
        <v>N</v>
      </c>
      <c r="N112" s="5" t="str">
        <f>HLOOKUP($F112,'[1]Summary - Pricing'!$D$3:$L$16,14,FALSE)</f>
        <v>N</v>
      </c>
      <c r="O112" s="9">
        <f>IF(M112="Y",'[1]Summary - Pricing'!$D$10,0)</f>
        <v>0</v>
      </c>
      <c r="P112" s="9">
        <f>IF(N112="Y",'[1]Summary - Pricing'!$D$13,0)</f>
        <v>0</v>
      </c>
      <c r="Q112" s="9">
        <f>IF(AND(E112&gt;5,E112&lt;16),0,IF(E112&lt;6,'[1]Summary - Pricing'!$D$11,IF('TR 01 Inventory'!E112&gt;15,('TR 01 Inventory'!E112-15)*'[1]Summary - Pricing'!$D$12)))</f>
        <v>550</v>
      </c>
      <c r="R112" s="8">
        <f>SUM(O112:Q112)</f>
        <v>550</v>
      </c>
      <c r="S112" s="9">
        <f>R112*L112</f>
        <v>1938750</v>
      </c>
      <c r="T112" s="9">
        <v>750000</v>
      </c>
      <c r="U112" s="9">
        <f>HLOOKUP(F112,'[1]Summary - Pricing'!$D$3:$L$20,18,FALSE)*100000</f>
        <v>1500000</v>
      </c>
      <c r="V112" s="9">
        <f>SUM('[1]Summary - Pricing'!$D$18,'[1]Summary - Pricing'!$D$21)*'TR 01 Inventory'!L112</f>
        <v>2224275</v>
      </c>
      <c r="W112" s="9">
        <f>'[1]Summary - Pricing'!$D$7*'TR 01 Inventory'!L112</f>
        <v>47587500</v>
      </c>
      <c r="X112" s="8">
        <f>W112+V112+U112+T112+S112</f>
        <v>54000525</v>
      </c>
    </row>
    <row r="113" spans="2:24" x14ac:dyDescent="0.3">
      <c r="B113" s="21" t="s">
        <v>167</v>
      </c>
      <c r="C113" s="21" t="s">
        <v>171</v>
      </c>
      <c r="D113" s="21" t="s">
        <v>186</v>
      </c>
      <c r="E113" s="10">
        <v>27</v>
      </c>
      <c r="F113" s="10" t="s">
        <v>16</v>
      </c>
      <c r="G113" s="11">
        <v>214.428</v>
      </c>
      <c r="H113" s="11">
        <v>2308.0815491999997</v>
      </c>
      <c r="I113" s="11">
        <v>558.52800709999997</v>
      </c>
      <c r="J113" s="11">
        <v>290.23700000000002</v>
      </c>
      <c r="K113" s="11">
        <v>3124.0820443000002</v>
      </c>
      <c r="L113" s="10">
        <v>3525</v>
      </c>
      <c r="M113" s="5" t="str">
        <f>HLOOKUP($F113,'[1]Summary - Pricing'!$D$3:$L$16,13,FALSE)</f>
        <v>N</v>
      </c>
      <c r="N113" s="5" t="str">
        <f>HLOOKUP($F113,'[1]Summary - Pricing'!$D$3:$L$16,14,FALSE)</f>
        <v>N</v>
      </c>
      <c r="O113" s="9">
        <f>IF(M113="Y",'[1]Summary - Pricing'!$D$10,0)</f>
        <v>0</v>
      </c>
      <c r="P113" s="9">
        <f>IF(N113="Y",'[1]Summary - Pricing'!$D$13,0)</f>
        <v>0</v>
      </c>
      <c r="Q113" s="9">
        <f>IF(AND(E113&gt;5,E113&lt;16),0,IF(E113&lt;6,'[1]Summary - Pricing'!$D$11,IF('TR 01 Inventory'!E113&gt;15,('TR 01 Inventory'!E113-15)*'[1]Summary - Pricing'!$D$12)))</f>
        <v>600</v>
      </c>
      <c r="R113" s="8">
        <f>SUM(O113:Q113)</f>
        <v>600</v>
      </c>
      <c r="S113" s="9">
        <f>R113*L113</f>
        <v>2115000</v>
      </c>
      <c r="T113" s="9">
        <v>750000</v>
      </c>
      <c r="U113" s="9">
        <f>HLOOKUP(F113,'[1]Summary - Pricing'!$D$3:$L$20,18,FALSE)*100000</f>
        <v>1500000</v>
      </c>
      <c r="V113" s="9">
        <f>SUM('[1]Summary - Pricing'!$D$18,'[1]Summary - Pricing'!$D$21)*'TR 01 Inventory'!L113</f>
        <v>2224275</v>
      </c>
      <c r="W113" s="9">
        <f>'[1]Summary - Pricing'!$D$7*'TR 01 Inventory'!L113</f>
        <v>47587500</v>
      </c>
      <c r="X113" s="8">
        <f>W113+V113+U113+T113+S113</f>
        <v>54176775</v>
      </c>
    </row>
    <row r="114" spans="2:24" x14ac:dyDescent="0.3">
      <c r="B114" s="21" t="s">
        <v>167</v>
      </c>
      <c r="C114" s="21" t="s">
        <v>171</v>
      </c>
      <c r="D114" s="21" t="s">
        <v>185</v>
      </c>
      <c r="E114" s="10">
        <v>28</v>
      </c>
      <c r="F114" s="10" t="s">
        <v>16</v>
      </c>
      <c r="G114" s="11">
        <v>214.428</v>
      </c>
      <c r="H114" s="11">
        <v>2308.0815491999997</v>
      </c>
      <c r="I114" s="11">
        <v>558.52800709999997</v>
      </c>
      <c r="J114" s="11">
        <v>290.23700000000002</v>
      </c>
      <c r="K114" s="11">
        <v>3124.0820443000002</v>
      </c>
      <c r="L114" s="10">
        <v>3525</v>
      </c>
      <c r="M114" s="5" t="str">
        <f>HLOOKUP($F114,'[1]Summary - Pricing'!$D$3:$L$16,13,FALSE)</f>
        <v>N</v>
      </c>
      <c r="N114" s="5" t="str">
        <f>HLOOKUP($F114,'[1]Summary - Pricing'!$D$3:$L$16,14,FALSE)</f>
        <v>N</v>
      </c>
      <c r="O114" s="9">
        <f>IF(M114="Y",'[1]Summary - Pricing'!$D$10,0)</f>
        <v>0</v>
      </c>
      <c r="P114" s="9">
        <f>IF(N114="Y",'[1]Summary - Pricing'!$D$13,0)</f>
        <v>0</v>
      </c>
      <c r="Q114" s="9">
        <f>IF(AND(E114&gt;5,E114&lt;16),0,IF(E114&lt;6,'[1]Summary - Pricing'!$D$11,IF('TR 01 Inventory'!E114&gt;15,('TR 01 Inventory'!E114-15)*'[1]Summary - Pricing'!$D$12)))</f>
        <v>650</v>
      </c>
      <c r="R114" s="8">
        <f>SUM(O114:Q114)</f>
        <v>650</v>
      </c>
      <c r="S114" s="9">
        <f>R114*L114</f>
        <v>2291250</v>
      </c>
      <c r="T114" s="9">
        <v>750000</v>
      </c>
      <c r="U114" s="9">
        <f>HLOOKUP(F114,'[1]Summary - Pricing'!$D$3:$L$20,18,FALSE)*100000</f>
        <v>1500000</v>
      </c>
      <c r="V114" s="9">
        <f>SUM('[1]Summary - Pricing'!$D$18,'[1]Summary - Pricing'!$D$21)*'TR 01 Inventory'!L114</f>
        <v>2224275</v>
      </c>
      <c r="W114" s="9">
        <f>'[1]Summary - Pricing'!$D$7*'TR 01 Inventory'!L114</f>
        <v>47587500</v>
      </c>
      <c r="X114" s="8">
        <f>W114+V114+U114+T114+S114</f>
        <v>54353025</v>
      </c>
    </row>
    <row r="115" spans="2:24" x14ac:dyDescent="0.3">
      <c r="B115" s="21" t="s">
        <v>167</v>
      </c>
      <c r="C115" s="21" t="s">
        <v>171</v>
      </c>
      <c r="D115" s="21" t="s">
        <v>184</v>
      </c>
      <c r="E115" s="10">
        <v>29</v>
      </c>
      <c r="F115" s="10" t="s">
        <v>16</v>
      </c>
      <c r="G115" s="11">
        <v>214.428</v>
      </c>
      <c r="H115" s="11">
        <v>2308.0815491999997</v>
      </c>
      <c r="I115" s="11">
        <v>558.52800709999997</v>
      </c>
      <c r="J115" s="11">
        <v>290.23700000000002</v>
      </c>
      <c r="K115" s="11">
        <v>3124.0820443000002</v>
      </c>
      <c r="L115" s="10">
        <v>3525</v>
      </c>
      <c r="M115" s="5" t="str">
        <f>HLOOKUP($F115,'[1]Summary - Pricing'!$D$3:$L$16,13,FALSE)</f>
        <v>N</v>
      </c>
      <c r="N115" s="5" t="str">
        <f>HLOOKUP($F115,'[1]Summary - Pricing'!$D$3:$L$16,14,FALSE)</f>
        <v>N</v>
      </c>
      <c r="O115" s="9">
        <f>IF(M115="Y",'[1]Summary - Pricing'!$D$10,0)</f>
        <v>0</v>
      </c>
      <c r="P115" s="9">
        <f>IF(N115="Y",'[1]Summary - Pricing'!$D$13,0)</f>
        <v>0</v>
      </c>
      <c r="Q115" s="9">
        <f>IF(AND(E115&gt;5,E115&lt;16),0,IF(E115&lt;6,'[1]Summary - Pricing'!$D$11,IF('TR 01 Inventory'!E115&gt;15,('TR 01 Inventory'!E115-15)*'[1]Summary - Pricing'!$D$12)))</f>
        <v>700</v>
      </c>
      <c r="R115" s="8">
        <f>SUM(O115:Q115)</f>
        <v>700</v>
      </c>
      <c r="S115" s="9">
        <f>R115*L115</f>
        <v>2467500</v>
      </c>
      <c r="T115" s="9">
        <v>750000</v>
      </c>
      <c r="U115" s="9">
        <f>HLOOKUP(F115,'[1]Summary - Pricing'!$D$3:$L$20,18,FALSE)*100000</f>
        <v>1500000</v>
      </c>
      <c r="V115" s="9">
        <f>SUM('[1]Summary - Pricing'!$D$18,'[1]Summary - Pricing'!$D$21)*'TR 01 Inventory'!L115</f>
        <v>2224275</v>
      </c>
      <c r="W115" s="9">
        <f>'[1]Summary - Pricing'!$D$7*'TR 01 Inventory'!L115</f>
        <v>47587500</v>
      </c>
      <c r="X115" s="8">
        <f>W115+V115+U115+T115+S115</f>
        <v>54529275</v>
      </c>
    </row>
    <row r="116" spans="2:24" x14ac:dyDescent="0.3">
      <c r="B116" s="21" t="s">
        <v>167</v>
      </c>
      <c r="C116" s="21" t="s">
        <v>171</v>
      </c>
      <c r="D116" s="21" t="s">
        <v>183</v>
      </c>
      <c r="E116" s="10">
        <v>30</v>
      </c>
      <c r="F116" s="10" t="s">
        <v>16</v>
      </c>
      <c r="G116" s="11">
        <v>214.428</v>
      </c>
      <c r="H116" s="11">
        <v>2308.0815491999997</v>
      </c>
      <c r="I116" s="11">
        <v>558.52800709999997</v>
      </c>
      <c r="J116" s="11">
        <v>290.23700000000002</v>
      </c>
      <c r="K116" s="11">
        <v>3124.0820443000002</v>
      </c>
      <c r="L116" s="10">
        <v>3525</v>
      </c>
      <c r="M116" s="5" t="str">
        <f>HLOOKUP($F116,'[1]Summary - Pricing'!$D$3:$L$16,13,FALSE)</f>
        <v>N</v>
      </c>
      <c r="N116" s="5" t="str">
        <f>HLOOKUP($F116,'[1]Summary - Pricing'!$D$3:$L$16,14,FALSE)</f>
        <v>N</v>
      </c>
      <c r="O116" s="9">
        <f>IF(M116="Y",'[1]Summary - Pricing'!$D$10,0)</f>
        <v>0</v>
      </c>
      <c r="P116" s="9">
        <f>IF(N116="Y",'[1]Summary - Pricing'!$D$13,0)</f>
        <v>0</v>
      </c>
      <c r="Q116" s="9">
        <f>IF(AND(E116&gt;5,E116&lt;16),0,IF(E116&lt;6,'[1]Summary - Pricing'!$D$11,IF('TR 01 Inventory'!E116&gt;15,('TR 01 Inventory'!E116-15)*'[1]Summary - Pricing'!$D$12)))</f>
        <v>750</v>
      </c>
      <c r="R116" s="8">
        <f>SUM(O116:Q116)</f>
        <v>750</v>
      </c>
      <c r="S116" s="9">
        <f>R116*L116</f>
        <v>2643750</v>
      </c>
      <c r="T116" s="9">
        <v>750000</v>
      </c>
      <c r="U116" s="9">
        <f>HLOOKUP(F116,'[1]Summary - Pricing'!$D$3:$L$20,18,FALSE)*100000</f>
        <v>1500000</v>
      </c>
      <c r="V116" s="9">
        <f>SUM('[1]Summary - Pricing'!$D$18,'[1]Summary - Pricing'!$D$21)*'TR 01 Inventory'!L116</f>
        <v>2224275</v>
      </c>
      <c r="W116" s="9">
        <f>'[1]Summary - Pricing'!$D$7*'TR 01 Inventory'!L116</f>
        <v>47587500</v>
      </c>
      <c r="X116" s="8">
        <f>W116+V116+U116+T116+S116</f>
        <v>54705525</v>
      </c>
    </row>
    <row r="117" spans="2:24" x14ac:dyDescent="0.3">
      <c r="B117" s="21" t="s">
        <v>167</v>
      </c>
      <c r="C117" s="21" t="s">
        <v>171</v>
      </c>
      <c r="D117" s="21" t="s">
        <v>182</v>
      </c>
      <c r="E117" s="10">
        <v>32</v>
      </c>
      <c r="F117" s="10" t="s">
        <v>16</v>
      </c>
      <c r="G117" s="11">
        <v>214.428</v>
      </c>
      <c r="H117" s="11">
        <v>2308.0815491999997</v>
      </c>
      <c r="I117" s="11">
        <v>558.52800709999997</v>
      </c>
      <c r="J117" s="11">
        <v>290.23700000000002</v>
      </c>
      <c r="K117" s="11">
        <v>3124.0820443000002</v>
      </c>
      <c r="L117" s="10">
        <v>3525</v>
      </c>
      <c r="M117" s="5" t="str">
        <f>HLOOKUP($F117,'[1]Summary - Pricing'!$D$3:$L$16,13,FALSE)</f>
        <v>N</v>
      </c>
      <c r="N117" s="5" t="str">
        <f>HLOOKUP($F117,'[1]Summary - Pricing'!$D$3:$L$16,14,FALSE)</f>
        <v>N</v>
      </c>
      <c r="O117" s="9">
        <f>IF(M117="Y",'[1]Summary - Pricing'!$D$10,0)</f>
        <v>0</v>
      </c>
      <c r="P117" s="9">
        <f>IF(N117="Y",'[1]Summary - Pricing'!$D$13,0)</f>
        <v>0</v>
      </c>
      <c r="Q117" s="9">
        <f>IF(AND(E117&gt;5,E117&lt;16),0,IF(E117&lt;6,'[1]Summary - Pricing'!$D$11,IF('TR 01 Inventory'!E117&gt;15,('TR 01 Inventory'!E117-15)*'[1]Summary - Pricing'!$D$12)))</f>
        <v>850</v>
      </c>
      <c r="R117" s="8">
        <f>SUM(O117:Q117)</f>
        <v>850</v>
      </c>
      <c r="S117" s="9">
        <f>R117*L117</f>
        <v>2996250</v>
      </c>
      <c r="T117" s="9">
        <v>750000</v>
      </c>
      <c r="U117" s="9">
        <f>HLOOKUP(F117,'[1]Summary - Pricing'!$D$3:$L$20,18,FALSE)*100000</f>
        <v>1500000</v>
      </c>
      <c r="V117" s="9">
        <f>SUM('[1]Summary - Pricing'!$D$18,'[1]Summary - Pricing'!$D$21)*'TR 01 Inventory'!L117</f>
        <v>2224275</v>
      </c>
      <c r="W117" s="9">
        <f>'[1]Summary - Pricing'!$D$7*'TR 01 Inventory'!L117</f>
        <v>47587500</v>
      </c>
      <c r="X117" s="8">
        <f>W117+V117+U117+T117+S117</f>
        <v>55058025</v>
      </c>
    </row>
    <row r="118" spans="2:24" x14ac:dyDescent="0.3">
      <c r="B118" s="21" t="s">
        <v>167</v>
      </c>
      <c r="C118" s="21" t="s">
        <v>171</v>
      </c>
      <c r="D118" s="21" t="s">
        <v>181</v>
      </c>
      <c r="E118" s="10">
        <v>33</v>
      </c>
      <c r="F118" s="10" t="s">
        <v>16</v>
      </c>
      <c r="G118" s="11">
        <v>214.428</v>
      </c>
      <c r="H118" s="11">
        <v>2308.0815491999997</v>
      </c>
      <c r="I118" s="11">
        <v>558.52800709999997</v>
      </c>
      <c r="J118" s="11">
        <v>290.23700000000002</v>
      </c>
      <c r="K118" s="11">
        <v>3124.0820443000002</v>
      </c>
      <c r="L118" s="10">
        <v>3525</v>
      </c>
      <c r="M118" s="5" t="str">
        <f>HLOOKUP($F118,'[1]Summary - Pricing'!$D$3:$L$16,13,FALSE)</f>
        <v>N</v>
      </c>
      <c r="N118" s="5" t="str">
        <f>HLOOKUP($F118,'[1]Summary - Pricing'!$D$3:$L$16,14,FALSE)</f>
        <v>N</v>
      </c>
      <c r="O118" s="9">
        <f>IF(M118="Y",'[1]Summary - Pricing'!$D$10,0)</f>
        <v>0</v>
      </c>
      <c r="P118" s="9">
        <f>IF(N118="Y",'[1]Summary - Pricing'!$D$13,0)</f>
        <v>0</v>
      </c>
      <c r="Q118" s="9">
        <f>IF(AND(E118&gt;5,E118&lt;16),0,IF(E118&lt;6,'[1]Summary - Pricing'!$D$11,IF('TR 01 Inventory'!E118&gt;15,('TR 01 Inventory'!E118-15)*'[1]Summary - Pricing'!$D$12)))</f>
        <v>900</v>
      </c>
      <c r="R118" s="8">
        <f>SUM(O118:Q118)</f>
        <v>900</v>
      </c>
      <c r="S118" s="9">
        <f>R118*L118</f>
        <v>3172500</v>
      </c>
      <c r="T118" s="9">
        <v>750000</v>
      </c>
      <c r="U118" s="9">
        <f>HLOOKUP(F118,'[1]Summary - Pricing'!$D$3:$L$20,18,FALSE)*100000</f>
        <v>1500000</v>
      </c>
      <c r="V118" s="9">
        <f>SUM('[1]Summary - Pricing'!$D$18,'[1]Summary - Pricing'!$D$21)*'TR 01 Inventory'!L118</f>
        <v>2224275</v>
      </c>
      <c r="W118" s="9">
        <f>'[1]Summary - Pricing'!$D$7*'TR 01 Inventory'!L118</f>
        <v>47587500</v>
      </c>
      <c r="X118" s="8">
        <f>W118+V118+U118+T118+S118</f>
        <v>55234275</v>
      </c>
    </row>
    <row r="119" spans="2:24" x14ac:dyDescent="0.3">
      <c r="B119" s="21" t="s">
        <v>167</v>
      </c>
      <c r="C119" s="21" t="s">
        <v>171</v>
      </c>
      <c r="D119" s="21" t="s">
        <v>180</v>
      </c>
      <c r="E119" s="10">
        <v>34</v>
      </c>
      <c r="F119" s="10" t="s">
        <v>16</v>
      </c>
      <c r="G119" s="11">
        <v>214.428</v>
      </c>
      <c r="H119" s="11">
        <v>2308.0815491999997</v>
      </c>
      <c r="I119" s="11">
        <v>558.52800709999997</v>
      </c>
      <c r="J119" s="11">
        <v>290.23700000000002</v>
      </c>
      <c r="K119" s="11">
        <v>3124.0820443000002</v>
      </c>
      <c r="L119" s="10">
        <v>3525</v>
      </c>
      <c r="M119" s="5" t="str">
        <f>HLOOKUP($F119,'[1]Summary - Pricing'!$D$3:$L$16,13,FALSE)</f>
        <v>N</v>
      </c>
      <c r="N119" s="5" t="str">
        <f>HLOOKUP($F119,'[1]Summary - Pricing'!$D$3:$L$16,14,FALSE)</f>
        <v>N</v>
      </c>
      <c r="O119" s="9">
        <f>IF(M119="Y",'[1]Summary - Pricing'!$D$10,0)</f>
        <v>0</v>
      </c>
      <c r="P119" s="9">
        <f>IF(N119="Y",'[1]Summary - Pricing'!$D$13,0)</f>
        <v>0</v>
      </c>
      <c r="Q119" s="9">
        <f>IF(AND(E119&gt;5,E119&lt;16),0,IF(E119&lt;6,'[1]Summary - Pricing'!$D$11,IF('TR 01 Inventory'!E119&gt;15,('TR 01 Inventory'!E119-15)*'[1]Summary - Pricing'!$D$12)))</f>
        <v>950</v>
      </c>
      <c r="R119" s="8">
        <f>SUM(O119:Q119)</f>
        <v>950</v>
      </c>
      <c r="S119" s="9">
        <f>R119*L119</f>
        <v>3348750</v>
      </c>
      <c r="T119" s="9">
        <v>750000</v>
      </c>
      <c r="U119" s="9">
        <f>HLOOKUP(F119,'[1]Summary - Pricing'!$D$3:$L$20,18,FALSE)*100000</f>
        <v>1500000</v>
      </c>
      <c r="V119" s="9">
        <f>SUM('[1]Summary - Pricing'!$D$18,'[1]Summary - Pricing'!$D$21)*'TR 01 Inventory'!L119</f>
        <v>2224275</v>
      </c>
      <c r="W119" s="9">
        <f>'[1]Summary - Pricing'!$D$7*'TR 01 Inventory'!L119</f>
        <v>47587500</v>
      </c>
      <c r="X119" s="8">
        <f>W119+V119+U119+T119+S119</f>
        <v>55410525</v>
      </c>
    </row>
    <row r="120" spans="2:24" x14ac:dyDescent="0.3">
      <c r="B120" s="21" t="s">
        <v>167</v>
      </c>
      <c r="C120" s="21" t="s">
        <v>171</v>
      </c>
      <c r="D120" s="21" t="s">
        <v>179</v>
      </c>
      <c r="E120" s="10">
        <v>35</v>
      </c>
      <c r="F120" s="10" t="s">
        <v>16</v>
      </c>
      <c r="G120" s="11">
        <v>214.428</v>
      </c>
      <c r="H120" s="11">
        <v>2308.0815491999997</v>
      </c>
      <c r="I120" s="11">
        <v>558.52800709999997</v>
      </c>
      <c r="J120" s="11">
        <v>290.23700000000002</v>
      </c>
      <c r="K120" s="11">
        <v>3124.0820443000002</v>
      </c>
      <c r="L120" s="10">
        <v>3525</v>
      </c>
      <c r="M120" s="5" t="str">
        <f>HLOOKUP($F120,'[1]Summary - Pricing'!$D$3:$L$16,13,FALSE)</f>
        <v>N</v>
      </c>
      <c r="N120" s="5" t="str">
        <f>HLOOKUP($F120,'[1]Summary - Pricing'!$D$3:$L$16,14,FALSE)</f>
        <v>N</v>
      </c>
      <c r="O120" s="9">
        <f>IF(M120="Y",'[1]Summary - Pricing'!$D$10,0)</f>
        <v>0</v>
      </c>
      <c r="P120" s="9">
        <f>IF(N120="Y",'[1]Summary - Pricing'!$D$13,0)</f>
        <v>0</v>
      </c>
      <c r="Q120" s="9">
        <f>IF(AND(E120&gt;5,E120&lt;16),0,IF(E120&lt;6,'[1]Summary - Pricing'!$D$11,IF('TR 01 Inventory'!E120&gt;15,('TR 01 Inventory'!E120-15)*'[1]Summary - Pricing'!$D$12)))</f>
        <v>1000</v>
      </c>
      <c r="R120" s="8">
        <f>SUM(O120:Q120)</f>
        <v>1000</v>
      </c>
      <c r="S120" s="9">
        <f>R120*L120</f>
        <v>3525000</v>
      </c>
      <c r="T120" s="9">
        <v>750000</v>
      </c>
      <c r="U120" s="9">
        <f>HLOOKUP(F120,'[1]Summary - Pricing'!$D$3:$L$20,18,FALSE)*100000</f>
        <v>1500000</v>
      </c>
      <c r="V120" s="9">
        <f>SUM('[1]Summary - Pricing'!$D$18,'[1]Summary - Pricing'!$D$21)*'TR 01 Inventory'!L120</f>
        <v>2224275</v>
      </c>
      <c r="W120" s="9">
        <f>'[1]Summary - Pricing'!$D$7*'TR 01 Inventory'!L120</f>
        <v>47587500</v>
      </c>
      <c r="X120" s="8">
        <f>W120+V120+U120+T120+S120</f>
        <v>55586775</v>
      </c>
    </row>
    <row r="121" spans="2:24" x14ac:dyDescent="0.3">
      <c r="B121" s="21" t="s">
        <v>167</v>
      </c>
      <c r="C121" s="21" t="s">
        <v>171</v>
      </c>
      <c r="D121" s="21" t="s">
        <v>178</v>
      </c>
      <c r="E121" s="10">
        <v>36</v>
      </c>
      <c r="F121" s="10" t="s">
        <v>16</v>
      </c>
      <c r="G121" s="11">
        <v>214.428</v>
      </c>
      <c r="H121" s="11">
        <v>2308.0815491999997</v>
      </c>
      <c r="I121" s="11">
        <v>558.52800709999997</v>
      </c>
      <c r="J121" s="11">
        <v>290.23700000000002</v>
      </c>
      <c r="K121" s="11">
        <v>3124.0820443000002</v>
      </c>
      <c r="L121" s="10">
        <v>3525</v>
      </c>
      <c r="M121" s="5" t="str">
        <f>HLOOKUP($F121,'[1]Summary - Pricing'!$D$3:$L$16,13,FALSE)</f>
        <v>N</v>
      </c>
      <c r="N121" s="5" t="str">
        <f>HLOOKUP($F121,'[1]Summary - Pricing'!$D$3:$L$16,14,FALSE)</f>
        <v>N</v>
      </c>
      <c r="O121" s="9">
        <f>IF(M121="Y",'[1]Summary - Pricing'!$D$10,0)</f>
        <v>0</v>
      </c>
      <c r="P121" s="9">
        <f>IF(N121="Y",'[1]Summary - Pricing'!$D$13,0)</f>
        <v>0</v>
      </c>
      <c r="Q121" s="9">
        <f>IF(AND(E121&gt;5,E121&lt;16),0,IF(E121&lt;6,'[1]Summary - Pricing'!$D$11,IF('TR 01 Inventory'!E121&gt;15,('TR 01 Inventory'!E121-15)*'[1]Summary - Pricing'!$D$12)))</f>
        <v>1050</v>
      </c>
      <c r="R121" s="8">
        <f>SUM(O121:Q121)</f>
        <v>1050</v>
      </c>
      <c r="S121" s="9">
        <f>R121*L121</f>
        <v>3701250</v>
      </c>
      <c r="T121" s="9">
        <v>750000</v>
      </c>
      <c r="U121" s="9">
        <f>HLOOKUP(F121,'[1]Summary - Pricing'!$D$3:$L$20,18,FALSE)*100000</f>
        <v>1500000</v>
      </c>
      <c r="V121" s="9">
        <f>SUM('[1]Summary - Pricing'!$D$18,'[1]Summary - Pricing'!$D$21)*'TR 01 Inventory'!L121</f>
        <v>2224275</v>
      </c>
      <c r="W121" s="9">
        <f>'[1]Summary - Pricing'!$D$7*'TR 01 Inventory'!L121</f>
        <v>47587500</v>
      </c>
      <c r="X121" s="8">
        <f>W121+V121+U121+T121+S121</f>
        <v>55763025</v>
      </c>
    </row>
    <row r="122" spans="2:24" x14ac:dyDescent="0.3">
      <c r="B122" s="21" t="s">
        <v>167</v>
      </c>
      <c r="C122" s="21" t="s">
        <v>171</v>
      </c>
      <c r="D122" s="21" t="s">
        <v>177</v>
      </c>
      <c r="E122" s="10">
        <v>37</v>
      </c>
      <c r="F122" s="10" t="s">
        <v>16</v>
      </c>
      <c r="G122" s="11">
        <v>214.428</v>
      </c>
      <c r="H122" s="11">
        <v>2308.0815491999997</v>
      </c>
      <c r="I122" s="11">
        <v>558.52800709999997</v>
      </c>
      <c r="J122" s="11">
        <v>290.23700000000002</v>
      </c>
      <c r="K122" s="11">
        <v>3124.0820443000002</v>
      </c>
      <c r="L122" s="10">
        <v>3525</v>
      </c>
      <c r="M122" s="5" t="str">
        <f>HLOOKUP($F122,'[1]Summary - Pricing'!$D$3:$L$16,13,FALSE)</f>
        <v>N</v>
      </c>
      <c r="N122" s="5" t="str">
        <f>HLOOKUP($F122,'[1]Summary - Pricing'!$D$3:$L$16,14,FALSE)</f>
        <v>N</v>
      </c>
      <c r="O122" s="9">
        <f>IF(M122="Y",'[1]Summary - Pricing'!$D$10,0)</f>
        <v>0</v>
      </c>
      <c r="P122" s="9">
        <f>IF(N122="Y",'[1]Summary - Pricing'!$D$13,0)</f>
        <v>0</v>
      </c>
      <c r="Q122" s="9">
        <f>IF(AND(E122&gt;5,E122&lt;16),0,IF(E122&lt;6,'[1]Summary - Pricing'!$D$11,IF('TR 01 Inventory'!E122&gt;15,('TR 01 Inventory'!E122-15)*'[1]Summary - Pricing'!$D$12)))</f>
        <v>1100</v>
      </c>
      <c r="R122" s="8">
        <f>SUM(O122:Q122)</f>
        <v>1100</v>
      </c>
      <c r="S122" s="9">
        <f>R122*L122</f>
        <v>3877500</v>
      </c>
      <c r="T122" s="9">
        <v>750000</v>
      </c>
      <c r="U122" s="9">
        <f>HLOOKUP(F122,'[1]Summary - Pricing'!$D$3:$L$20,18,FALSE)*100000</f>
        <v>1500000</v>
      </c>
      <c r="V122" s="9">
        <f>SUM('[1]Summary - Pricing'!$D$18,'[1]Summary - Pricing'!$D$21)*'TR 01 Inventory'!L122</f>
        <v>2224275</v>
      </c>
      <c r="W122" s="9">
        <f>'[1]Summary - Pricing'!$D$7*'TR 01 Inventory'!L122</f>
        <v>47587500</v>
      </c>
      <c r="X122" s="8">
        <f>W122+V122+U122+T122+S122</f>
        <v>55939275</v>
      </c>
    </row>
    <row r="123" spans="2:24" x14ac:dyDescent="0.3">
      <c r="B123" s="21" t="s">
        <v>167</v>
      </c>
      <c r="C123" s="21" t="s">
        <v>171</v>
      </c>
      <c r="D123" s="21" t="s">
        <v>176</v>
      </c>
      <c r="E123" s="10">
        <v>38</v>
      </c>
      <c r="F123" s="10" t="s">
        <v>16</v>
      </c>
      <c r="G123" s="11">
        <v>214.428</v>
      </c>
      <c r="H123" s="11">
        <v>2308.0815491999997</v>
      </c>
      <c r="I123" s="11">
        <v>558.52800709999997</v>
      </c>
      <c r="J123" s="11">
        <v>290.23700000000002</v>
      </c>
      <c r="K123" s="11">
        <v>3124.0820443000002</v>
      </c>
      <c r="L123" s="10">
        <v>3525</v>
      </c>
      <c r="M123" s="5" t="str">
        <f>HLOOKUP($F123,'[1]Summary - Pricing'!$D$3:$L$16,13,FALSE)</f>
        <v>N</v>
      </c>
      <c r="N123" s="5" t="str">
        <f>HLOOKUP($F123,'[1]Summary - Pricing'!$D$3:$L$16,14,FALSE)</f>
        <v>N</v>
      </c>
      <c r="O123" s="9">
        <f>IF(M123="Y",'[1]Summary - Pricing'!$D$10,0)</f>
        <v>0</v>
      </c>
      <c r="P123" s="9">
        <f>IF(N123="Y",'[1]Summary - Pricing'!$D$13,0)</f>
        <v>0</v>
      </c>
      <c r="Q123" s="9">
        <f>IF(AND(E123&gt;5,E123&lt;16),0,IF(E123&lt;6,'[1]Summary - Pricing'!$D$11,IF('TR 01 Inventory'!E123&gt;15,('TR 01 Inventory'!E123-15)*'[1]Summary - Pricing'!$D$12)))</f>
        <v>1150</v>
      </c>
      <c r="R123" s="8">
        <f>SUM(O123:Q123)</f>
        <v>1150</v>
      </c>
      <c r="S123" s="9">
        <f>R123*L123</f>
        <v>4053750</v>
      </c>
      <c r="T123" s="9">
        <v>750000</v>
      </c>
      <c r="U123" s="9">
        <f>HLOOKUP(F123,'[1]Summary - Pricing'!$D$3:$L$20,18,FALSE)*100000</f>
        <v>1500000</v>
      </c>
      <c r="V123" s="9">
        <f>SUM('[1]Summary - Pricing'!$D$18,'[1]Summary - Pricing'!$D$21)*'TR 01 Inventory'!L123</f>
        <v>2224275</v>
      </c>
      <c r="W123" s="9">
        <f>'[1]Summary - Pricing'!$D$7*'TR 01 Inventory'!L123</f>
        <v>47587500</v>
      </c>
      <c r="X123" s="8">
        <f>W123+V123+U123+T123+S123</f>
        <v>56115525</v>
      </c>
    </row>
    <row r="124" spans="2:24" x14ac:dyDescent="0.3">
      <c r="B124" s="21" t="s">
        <v>167</v>
      </c>
      <c r="C124" s="21" t="s">
        <v>171</v>
      </c>
      <c r="D124" s="21" t="s">
        <v>175</v>
      </c>
      <c r="E124" s="10">
        <v>40</v>
      </c>
      <c r="F124" s="10" t="s">
        <v>16</v>
      </c>
      <c r="G124" s="11">
        <v>214.428</v>
      </c>
      <c r="H124" s="11">
        <v>2308.0815491999997</v>
      </c>
      <c r="I124" s="11">
        <v>558.52800709999997</v>
      </c>
      <c r="J124" s="11">
        <v>290.23700000000002</v>
      </c>
      <c r="K124" s="11">
        <v>3124.0820443000002</v>
      </c>
      <c r="L124" s="10">
        <v>3525</v>
      </c>
      <c r="M124" s="5" t="str">
        <f>HLOOKUP($F124,'[1]Summary - Pricing'!$D$3:$L$16,13,FALSE)</f>
        <v>N</v>
      </c>
      <c r="N124" s="5" t="str">
        <f>HLOOKUP($F124,'[1]Summary - Pricing'!$D$3:$L$16,14,FALSE)</f>
        <v>N</v>
      </c>
      <c r="O124" s="9">
        <f>IF(M124="Y",'[1]Summary - Pricing'!$D$10,0)</f>
        <v>0</v>
      </c>
      <c r="P124" s="9">
        <f>IF(N124="Y",'[1]Summary - Pricing'!$D$13,0)</f>
        <v>0</v>
      </c>
      <c r="Q124" s="9">
        <f>IF(AND(E124&gt;5,E124&lt;16),0,IF(E124&lt;6,'[1]Summary - Pricing'!$D$11,IF('TR 01 Inventory'!E124&gt;15,('TR 01 Inventory'!E124-15)*'[1]Summary - Pricing'!$D$12)))</f>
        <v>1250</v>
      </c>
      <c r="R124" s="8">
        <f>SUM(O124:Q124)</f>
        <v>1250</v>
      </c>
      <c r="S124" s="9">
        <f>R124*L124</f>
        <v>4406250</v>
      </c>
      <c r="T124" s="9">
        <v>750000</v>
      </c>
      <c r="U124" s="9">
        <f>HLOOKUP(F124,'[1]Summary - Pricing'!$D$3:$L$20,18,FALSE)*100000</f>
        <v>1500000</v>
      </c>
      <c r="V124" s="9">
        <f>SUM('[1]Summary - Pricing'!$D$18,'[1]Summary - Pricing'!$D$21)*'TR 01 Inventory'!L124</f>
        <v>2224275</v>
      </c>
      <c r="W124" s="9">
        <f>'[1]Summary - Pricing'!$D$7*'TR 01 Inventory'!L124</f>
        <v>47587500</v>
      </c>
      <c r="X124" s="8">
        <f>W124+V124+U124+T124+S124</f>
        <v>56468025</v>
      </c>
    </row>
    <row r="125" spans="2:24" x14ac:dyDescent="0.3">
      <c r="B125" s="21" t="s">
        <v>167</v>
      </c>
      <c r="C125" s="21" t="s">
        <v>171</v>
      </c>
      <c r="D125" s="21" t="s">
        <v>174</v>
      </c>
      <c r="E125" s="10">
        <v>15</v>
      </c>
      <c r="F125" s="10" t="s">
        <v>10</v>
      </c>
      <c r="G125" s="11">
        <v>192.26900000000001</v>
      </c>
      <c r="H125" s="11">
        <v>2069.5642890999998</v>
      </c>
      <c r="I125" s="11">
        <v>558.52800709999997</v>
      </c>
      <c r="J125" s="11">
        <v>261.80799999999994</v>
      </c>
      <c r="K125" s="11">
        <v>2818.0751311999993</v>
      </c>
      <c r="L125" s="10">
        <v>3150</v>
      </c>
      <c r="M125" s="5" t="str">
        <f>HLOOKUP($F125,'[1]Summary - Pricing'!$D$3:$L$16,13,FALSE)</f>
        <v>N</v>
      </c>
      <c r="N125" s="5" t="str">
        <f>HLOOKUP($F125,'[1]Summary - Pricing'!$D$3:$L$16,14,FALSE)</f>
        <v>N</v>
      </c>
      <c r="O125" s="9">
        <f>IF(M125="Y",'[1]Summary - Pricing'!$D$10,0)</f>
        <v>0</v>
      </c>
      <c r="P125" s="9">
        <f>IF(N125="Y",'[1]Summary - Pricing'!$D$13,0)</f>
        <v>0</v>
      </c>
      <c r="Q125" s="9">
        <f>IF(AND(E125&gt;5,E125&lt;16),0,IF(E125&lt;6,'[1]Summary - Pricing'!$D$11,IF('TR 01 Inventory'!E125&gt;15,('TR 01 Inventory'!E125-15)*'[1]Summary - Pricing'!$D$12)))</f>
        <v>0</v>
      </c>
      <c r="R125" s="8">
        <f>SUM(O125:Q125)</f>
        <v>0</v>
      </c>
      <c r="S125" s="9">
        <f>R125*L125</f>
        <v>0</v>
      </c>
      <c r="T125" s="9">
        <v>750000</v>
      </c>
      <c r="U125" s="9">
        <f>HLOOKUP(F125,'[1]Summary - Pricing'!$D$3:$L$20,18,FALSE)*100000</f>
        <v>1500000</v>
      </c>
      <c r="V125" s="9">
        <f>SUM('[1]Summary - Pricing'!$D$18,'[1]Summary - Pricing'!$D$21)*'TR 01 Inventory'!L125</f>
        <v>1987650</v>
      </c>
      <c r="W125" s="9">
        <f>'[1]Summary - Pricing'!$D$7*'TR 01 Inventory'!L125</f>
        <v>42525000</v>
      </c>
      <c r="X125" s="8">
        <f>W125+V125+U125+T125+S125</f>
        <v>46762650</v>
      </c>
    </row>
    <row r="126" spans="2:24" x14ac:dyDescent="0.3">
      <c r="B126" s="21" t="s">
        <v>167</v>
      </c>
      <c r="C126" s="21" t="s">
        <v>171</v>
      </c>
      <c r="D126" s="21" t="s">
        <v>173</v>
      </c>
      <c r="E126" s="10">
        <v>23</v>
      </c>
      <c r="F126" s="10" t="s">
        <v>10</v>
      </c>
      <c r="G126" s="11">
        <v>192.26900000000001</v>
      </c>
      <c r="H126" s="11">
        <v>2069.5642890999998</v>
      </c>
      <c r="I126" s="11">
        <v>558.52800709999997</v>
      </c>
      <c r="J126" s="11">
        <v>261.80799999999994</v>
      </c>
      <c r="K126" s="11">
        <v>2818.0751311999993</v>
      </c>
      <c r="L126" s="10">
        <v>3150</v>
      </c>
      <c r="M126" s="5" t="str">
        <f>HLOOKUP($F126,'[1]Summary - Pricing'!$D$3:$L$16,13,FALSE)</f>
        <v>N</v>
      </c>
      <c r="N126" s="5" t="str">
        <f>HLOOKUP($F126,'[1]Summary - Pricing'!$D$3:$L$16,14,FALSE)</f>
        <v>N</v>
      </c>
      <c r="O126" s="9">
        <f>IF(M126="Y",'[1]Summary - Pricing'!$D$10,0)</f>
        <v>0</v>
      </c>
      <c r="P126" s="9">
        <f>IF(N126="Y",'[1]Summary - Pricing'!$D$13,0)</f>
        <v>0</v>
      </c>
      <c r="Q126" s="9">
        <f>IF(AND(E126&gt;5,E126&lt;16),0,IF(E126&lt;6,'[1]Summary - Pricing'!$D$11,IF('TR 01 Inventory'!E126&gt;15,('TR 01 Inventory'!E126-15)*'[1]Summary - Pricing'!$D$12)))</f>
        <v>400</v>
      </c>
      <c r="R126" s="8">
        <f>SUM(O126:Q126)</f>
        <v>400</v>
      </c>
      <c r="S126" s="9">
        <f>R126*L126</f>
        <v>1260000</v>
      </c>
      <c r="T126" s="9">
        <v>750000</v>
      </c>
      <c r="U126" s="9">
        <f>HLOOKUP(F126,'[1]Summary - Pricing'!$D$3:$L$20,18,FALSE)*100000</f>
        <v>1500000</v>
      </c>
      <c r="V126" s="9">
        <f>SUM('[1]Summary - Pricing'!$D$18,'[1]Summary - Pricing'!$D$21)*'TR 01 Inventory'!L126</f>
        <v>1987650</v>
      </c>
      <c r="W126" s="9">
        <f>'[1]Summary - Pricing'!$D$7*'TR 01 Inventory'!L126</f>
        <v>42525000</v>
      </c>
      <c r="X126" s="8">
        <f>W126+V126+U126+T126+S126</f>
        <v>48022650</v>
      </c>
    </row>
    <row r="127" spans="2:24" x14ac:dyDescent="0.3">
      <c r="B127" s="21" t="s">
        <v>167</v>
      </c>
      <c r="C127" s="21" t="s">
        <v>171</v>
      </c>
      <c r="D127" s="21" t="s">
        <v>172</v>
      </c>
      <c r="E127" s="10">
        <v>31</v>
      </c>
      <c r="F127" s="10" t="s">
        <v>10</v>
      </c>
      <c r="G127" s="11">
        <v>192.26900000000001</v>
      </c>
      <c r="H127" s="11">
        <v>2069.5642890999998</v>
      </c>
      <c r="I127" s="11">
        <v>558.52800709999997</v>
      </c>
      <c r="J127" s="11">
        <v>261.80799999999994</v>
      </c>
      <c r="K127" s="11">
        <v>2818.0751311999993</v>
      </c>
      <c r="L127" s="10">
        <v>3150</v>
      </c>
      <c r="M127" s="5" t="str">
        <f>HLOOKUP($F127,'[1]Summary - Pricing'!$D$3:$L$16,13,FALSE)</f>
        <v>N</v>
      </c>
      <c r="N127" s="5" t="str">
        <f>HLOOKUP($F127,'[1]Summary - Pricing'!$D$3:$L$16,14,FALSE)</f>
        <v>N</v>
      </c>
      <c r="O127" s="9">
        <f>IF(M127="Y",'[1]Summary - Pricing'!$D$10,0)</f>
        <v>0</v>
      </c>
      <c r="P127" s="9">
        <f>IF(N127="Y",'[1]Summary - Pricing'!$D$13,0)</f>
        <v>0</v>
      </c>
      <c r="Q127" s="9">
        <f>IF(AND(E127&gt;5,E127&lt;16),0,IF(E127&lt;6,'[1]Summary - Pricing'!$D$11,IF('TR 01 Inventory'!E127&gt;15,('TR 01 Inventory'!E127-15)*'[1]Summary - Pricing'!$D$12)))</f>
        <v>800</v>
      </c>
      <c r="R127" s="8">
        <f>SUM(O127:Q127)</f>
        <v>800</v>
      </c>
      <c r="S127" s="9">
        <f>R127*L127</f>
        <v>2520000</v>
      </c>
      <c r="T127" s="9">
        <v>750000</v>
      </c>
      <c r="U127" s="9">
        <f>HLOOKUP(F127,'[1]Summary - Pricing'!$D$3:$L$20,18,FALSE)*100000</f>
        <v>1500000</v>
      </c>
      <c r="V127" s="9">
        <f>SUM('[1]Summary - Pricing'!$D$18,'[1]Summary - Pricing'!$D$21)*'TR 01 Inventory'!L127</f>
        <v>1987650</v>
      </c>
      <c r="W127" s="9">
        <f>'[1]Summary - Pricing'!$D$7*'TR 01 Inventory'!L127</f>
        <v>42525000</v>
      </c>
      <c r="X127" s="8">
        <f>W127+V127+U127+T127+S127</f>
        <v>49282650</v>
      </c>
    </row>
    <row r="128" spans="2:24" x14ac:dyDescent="0.3">
      <c r="B128" s="21" t="s">
        <v>167</v>
      </c>
      <c r="C128" s="21" t="s">
        <v>171</v>
      </c>
      <c r="D128" s="21" t="s">
        <v>170</v>
      </c>
      <c r="E128" s="10">
        <v>39</v>
      </c>
      <c r="F128" s="10" t="s">
        <v>10</v>
      </c>
      <c r="G128" s="11">
        <v>192.26900000000001</v>
      </c>
      <c r="H128" s="11">
        <v>2069.5642890999998</v>
      </c>
      <c r="I128" s="11">
        <v>558.52800709999997</v>
      </c>
      <c r="J128" s="11">
        <v>261.80799999999994</v>
      </c>
      <c r="K128" s="11">
        <v>2818.0751311999993</v>
      </c>
      <c r="L128" s="10">
        <v>3150</v>
      </c>
      <c r="M128" s="5" t="str">
        <f>HLOOKUP($F128,'[1]Summary - Pricing'!$D$3:$L$16,13,FALSE)</f>
        <v>N</v>
      </c>
      <c r="N128" s="5" t="str">
        <f>HLOOKUP($F128,'[1]Summary - Pricing'!$D$3:$L$16,14,FALSE)</f>
        <v>N</v>
      </c>
      <c r="O128" s="9">
        <f>IF(M128="Y",'[1]Summary - Pricing'!$D$10,0)</f>
        <v>0</v>
      </c>
      <c r="P128" s="9">
        <f>IF(N128="Y",'[1]Summary - Pricing'!$D$13,0)</f>
        <v>0</v>
      </c>
      <c r="Q128" s="9">
        <f>IF(AND(E128&gt;5,E128&lt;16),0,IF(E128&lt;6,'[1]Summary - Pricing'!$D$11,IF('TR 01 Inventory'!E128&gt;15,('TR 01 Inventory'!E128-15)*'[1]Summary - Pricing'!$D$12)))</f>
        <v>1200</v>
      </c>
      <c r="R128" s="8">
        <f>SUM(O128:Q128)</f>
        <v>1200</v>
      </c>
      <c r="S128" s="9">
        <f>R128*L128</f>
        <v>3780000</v>
      </c>
      <c r="T128" s="9">
        <v>750000</v>
      </c>
      <c r="U128" s="9">
        <f>HLOOKUP(F128,'[1]Summary - Pricing'!$D$3:$L$20,18,FALSE)*100000</f>
        <v>1500000</v>
      </c>
      <c r="V128" s="9">
        <f>SUM('[1]Summary - Pricing'!$D$18,'[1]Summary - Pricing'!$D$21)*'TR 01 Inventory'!L128</f>
        <v>1987650</v>
      </c>
      <c r="W128" s="9">
        <f>'[1]Summary - Pricing'!$D$7*'TR 01 Inventory'!L128</f>
        <v>42525000</v>
      </c>
      <c r="X128" s="8">
        <f>W128+V128+U128+T128+S128</f>
        <v>50542650</v>
      </c>
    </row>
    <row r="129" spans="2:24" x14ac:dyDescent="0.3">
      <c r="B129" s="21" t="s">
        <v>167</v>
      </c>
      <c r="C129" s="21" t="s">
        <v>169</v>
      </c>
      <c r="D129" s="21" t="s">
        <v>168</v>
      </c>
      <c r="E129" s="10" t="s">
        <v>7</v>
      </c>
      <c r="F129" s="10" t="s">
        <v>6</v>
      </c>
      <c r="G129" s="11">
        <v>621.83500000000004</v>
      </c>
      <c r="H129" s="11">
        <v>6693.3697565000002</v>
      </c>
      <c r="I129" s="11">
        <v>1306.3499595999999</v>
      </c>
      <c r="J129" s="11">
        <v>833.79399999999998</v>
      </c>
      <c r="K129" s="11">
        <v>8974.875236599999</v>
      </c>
      <c r="L129" s="10">
        <v>10600</v>
      </c>
      <c r="M129" s="5" t="str">
        <f>HLOOKUP($F129,'[1]Summary - Pricing'!$D$3:$L$16,13,FALSE)</f>
        <v>Y</v>
      </c>
      <c r="N129" s="5" t="str">
        <f>HLOOKUP($F129,'[1]Summary - Pricing'!$D$3:$L$16,14,FALSE)</f>
        <v>Y</v>
      </c>
      <c r="O129" s="9">
        <f>IF(M129="Y",'[1]Summary - Pricing'!$D$10,0)</f>
        <v>750</v>
      </c>
      <c r="P129" s="9">
        <f>IF(N129="Y",'[1]Summary - Pricing'!$D$13,0)</f>
        <v>750</v>
      </c>
      <c r="Q129" s="9">
        <f>(43-15)*'[1]Summary - Pricing'!$D$12</f>
        <v>1400</v>
      </c>
      <c r="R129" s="8">
        <f>SUM(O129:Q129)</f>
        <v>2900</v>
      </c>
      <c r="S129" s="9">
        <f>R129*L129</f>
        <v>30740000</v>
      </c>
      <c r="T129" s="9">
        <v>750000</v>
      </c>
      <c r="U129" s="9">
        <f>HLOOKUP(F129,'[1]Summary - Pricing'!$D$3:$L$20,18,FALSE)*100000</f>
        <v>2250000</v>
      </c>
      <c r="V129" s="9">
        <f>SUM('[1]Summary - Pricing'!$D$18,'[1]Summary - Pricing'!$D$21)*'TR 01 Inventory'!L129</f>
        <v>6688600</v>
      </c>
      <c r="W129" s="9">
        <f>'[1]Summary - Pricing'!$D$7*'TR 01 Inventory'!L129</f>
        <v>143100000</v>
      </c>
      <c r="X129" s="8">
        <f>W129+V129+U129+T129+S129</f>
        <v>183528600</v>
      </c>
    </row>
    <row r="130" spans="2:24" x14ac:dyDescent="0.3">
      <c r="B130" s="21" t="s">
        <v>167</v>
      </c>
      <c r="C130" s="21" t="s">
        <v>166</v>
      </c>
      <c r="D130" s="21" t="s">
        <v>165</v>
      </c>
      <c r="E130" s="10" t="s">
        <v>2</v>
      </c>
      <c r="F130" s="10" t="s">
        <v>1</v>
      </c>
      <c r="G130" s="11">
        <v>429.09</v>
      </c>
      <c r="H130" s="11">
        <v>4618.6818509999994</v>
      </c>
      <c r="I130" s="11">
        <v>749.9962602999999</v>
      </c>
      <c r="J130" s="11">
        <v>570.82800000000009</v>
      </c>
      <c r="K130" s="11">
        <v>6144.3355092000002</v>
      </c>
      <c r="L130" s="10">
        <v>7400</v>
      </c>
      <c r="M130" s="5" t="str">
        <f>HLOOKUP($F130,'[1]Summary - Pricing'!$D$3:$L$16,13,FALSE)</f>
        <v>Y</v>
      </c>
      <c r="N130" s="5" t="str">
        <f>HLOOKUP($F130,'[1]Summary - Pricing'!$D$3:$L$16,14,FALSE)</f>
        <v>Y</v>
      </c>
      <c r="O130" s="9">
        <f>IF(M130="Y",'[1]Summary - Pricing'!$D$10,0)</f>
        <v>750</v>
      </c>
      <c r="P130" s="9">
        <f>IF(N130="Y",'[1]Summary - Pricing'!$D$13,0)</f>
        <v>750</v>
      </c>
      <c r="Q130" s="9">
        <f>(47-15)*'[1]Summary - Pricing'!$D$12</f>
        <v>1600</v>
      </c>
      <c r="R130" s="8">
        <f>SUM(O130:Q130)</f>
        <v>3100</v>
      </c>
      <c r="S130" s="9">
        <f>R130*L130</f>
        <v>22940000</v>
      </c>
      <c r="T130" s="9">
        <v>750000</v>
      </c>
      <c r="U130" s="9">
        <f>HLOOKUP(F130,'[1]Summary - Pricing'!$D$3:$L$20,18,FALSE)*100000</f>
        <v>2250000</v>
      </c>
      <c r="V130" s="9">
        <f>SUM('[1]Summary - Pricing'!$D$18,'[1]Summary - Pricing'!$D$21)*'TR 01 Inventory'!L130</f>
        <v>4669400</v>
      </c>
      <c r="W130" s="9">
        <f>'[1]Summary - Pricing'!$D$7*'TR 01 Inventory'!L130</f>
        <v>99900000</v>
      </c>
      <c r="X130" s="8">
        <f>W130+V130+U130+T130+S130</f>
        <v>130509400</v>
      </c>
    </row>
    <row r="131" spans="2:24" x14ac:dyDescent="0.3">
      <c r="B131" s="7" t="s">
        <v>0</v>
      </c>
      <c r="C131" s="7"/>
      <c r="D131" s="7"/>
      <c r="E131" s="7"/>
      <c r="F131" s="7"/>
      <c r="G131" s="20">
        <f>SUM(G4:G130)</f>
        <v>35644.445000000007</v>
      </c>
      <c r="H131" s="20">
        <f>SUM(H4:H130)</f>
        <v>383673.24153550022</v>
      </c>
      <c r="I131" s="20">
        <f>SUM(I4:I130)</f>
        <v>79882.088014399968</v>
      </c>
      <c r="J131" s="20">
        <f>SUM(J4:J130)</f>
        <v>48052.249000000076</v>
      </c>
      <c r="K131" s="20">
        <f>SUM(K4:K130)</f>
        <v>517229.60301109968</v>
      </c>
      <c r="L131" s="20">
        <f>SUM(L4:L130)</f>
        <v>606075</v>
      </c>
      <c r="M131" s="5"/>
      <c r="N131" s="5"/>
      <c r="O131" s="5"/>
      <c r="P131" s="5"/>
      <c r="Q131" s="5"/>
      <c r="R131" s="5"/>
      <c r="S131" s="4">
        <f>SUM(S4:S130)</f>
        <v>895956250</v>
      </c>
      <c r="T131" s="4">
        <f>SUM(T4:T130)</f>
        <v>95250000</v>
      </c>
      <c r="U131" s="4">
        <f>SUM(U4:U130)</f>
        <v>256500000</v>
      </c>
      <c r="V131" s="4">
        <f>SUM(V4:V130)</f>
        <v>382433325</v>
      </c>
      <c r="W131" s="4">
        <f>SUM(W4:W130)</f>
        <v>8182012500</v>
      </c>
      <c r="X131" s="4">
        <f>SUM(X4:X130)</f>
        <v>9812152075</v>
      </c>
    </row>
    <row r="134" spans="2:24" x14ac:dyDescent="0.3">
      <c r="F134" s="2">
        <f>20000000000</f>
        <v>20000000000</v>
      </c>
    </row>
    <row r="135" spans="2:24" x14ac:dyDescent="0.3">
      <c r="F135" s="19">
        <f>F134*0.25%</f>
        <v>50000000</v>
      </c>
    </row>
  </sheetData>
  <mergeCells count="1">
    <mergeCell ref="B131:F13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 01 Inventory</vt:lpstr>
      <vt:lpstr>TR 02 Inventory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Anant Singhal</dc:creator>
  <cp:lastModifiedBy>Anant Singhal</cp:lastModifiedBy>
  <dcterms:created xsi:type="dcterms:W3CDTF">2017-12-28T05:29:31Z</dcterms:created>
  <dcterms:modified xsi:type="dcterms:W3CDTF">2017-12-28T05:29:52Z</dcterms:modified>
</cp:coreProperties>
</file>