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 Progress Files\Babul\VIS(2023-24)-PL361-291-459_Angarika\"/>
    </mc:Choice>
  </mc:AlternateContent>
  <bookViews>
    <workbookView xWindow="0" yWindow="0" windowWidth="21600" windowHeight="8535" firstSheet="6" activeTab="11"/>
  </bookViews>
  <sheets>
    <sheet name="Project Brief" sheetId="5" r:id="rId1"/>
    <sheet name="UNIT LIST BUILDING NO 1" sheetId="20" state="hidden" r:id="rId2"/>
    <sheet name="Implementation and Revenue" sheetId="1" r:id="rId3"/>
    <sheet name="Inflow Calculation" sheetId="6" r:id="rId4"/>
    <sheet name="Cashflow" sheetId="7" r:id="rId5"/>
    <sheet name="Working" sheetId="25" r:id="rId6"/>
    <sheet name="Assessment Tables" sheetId="24" r:id="rId7"/>
    <sheet name="Loan - SBI" sheetId="15" r:id="rId8"/>
    <sheet name="FACR" sheetId="21" r:id="rId9"/>
    <sheet name="Annualised Cashflow" sheetId="22" r:id="rId10"/>
    <sheet name="CMA" sheetId="23" r:id="rId11"/>
    <sheet name="Residual Method" sheetId="27" r:id="rId12"/>
    <sheet name="Sheet3" sheetId="30" r:id="rId13"/>
    <sheet name="Sheet1" sheetId="29" r:id="rId14"/>
    <sheet name="Sheet2" sheetId="26" r:id="rId15"/>
    <sheet name="Cost of construction" sheetId="28" r:id="rId16"/>
    <sheet name="Bar Chart Construction - Sale" sheetId="8" state="hidden" r:id="rId17"/>
  </sheets>
  <externalReferences>
    <externalReference r:id="rId18"/>
  </externalReferences>
  <definedNames>
    <definedName name="Beg_Bal" localSheetId="7">#REF!</definedName>
    <definedName name="Beg_Bal" localSheetId="1">#REF!</definedName>
    <definedName name="Beg_Bal">#REF!</definedName>
    <definedName name="Cum_Int" localSheetId="7">#REF!</definedName>
    <definedName name="Cum_Int" localSheetId="1">#REF!</definedName>
    <definedName name="Cum_Int">#REF!</definedName>
    <definedName name="Data" localSheetId="7">#REF!</definedName>
    <definedName name="Data" localSheetId="1">#REF!</definedName>
    <definedName name="Data">#REF!</definedName>
    <definedName name="End_Bal" localSheetId="7">#REF!</definedName>
    <definedName name="End_Bal" localSheetId="1">#REF!</definedName>
    <definedName name="End_Bal">#REF!</definedName>
    <definedName name="Extra_Pay" localSheetId="7">#REF!</definedName>
    <definedName name="Extra_Pay" localSheetId="1">#REF!</definedName>
    <definedName name="Extra_Pay">#REF!</definedName>
    <definedName name="Full_Print" localSheetId="7">#REF!</definedName>
    <definedName name="Full_Print" localSheetId="1">#REF!</definedName>
    <definedName name="Full_Print">#REF!</definedName>
    <definedName name="Header_Row">ROW(#REF!)</definedName>
    <definedName name="Int" localSheetId="7">#REF!</definedName>
    <definedName name="Int" localSheetId="1">#REF!</definedName>
    <definedName name="Int">#REF!</definedName>
    <definedName name="Interest_Rate" localSheetId="7">#REF!</definedName>
    <definedName name="Interest_Rate" localSheetId="1">#REF!</definedName>
    <definedName name="Interest_Rate">#REF!</definedName>
    <definedName name="Jinesh">#REF!</definedName>
    <definedName name="Last_Row" localSheetId="7">IF('Loan - SBI'!Values_Entered,Header_Row+'Loan - SBI'!Number_of_Payments,Header_Row)</definedName>
    <definedName name="Last_Row" localSheetId="1">IF('UNIT LIST BUILDING NO 1'!Values_Entered,Header_Row+'UNIT LIST BUILDING NO 1'!Number_of_Payments,Header_Row)</definedName>
    <definedName name="Last_Row">IF('Loan - SBI'!Values_Entered,Header_Row+'Loan - SBI'!Number_of_Payments,Header_Row)</definedName>
    <definedName name="Loan_Amount" localSheetId="7">#REF!</definedName>
    <definedName name="Loan_Amount" localSheetId="1">#REF!</definedName>
    <definedName name="Loan_Amount">#REF!</definedName>
    <definedName name="Loan_Start" localSheetId="7">#REF!</definedName>
    <definedName name="Loan_Start" localSheetId="1">#REF!</definedName>
    <definedName name="Loan_Start">#REF!</definedName>
    <definedName name="Loan_Years" localSheetId="7">#REF!</definedName>
    <definedName name="Loan_Years" localSheetId="1">#REF!</definedName>
    <definedName name="Loan_Years">#REF!</definedName>
    <definedName name="Num_Pmt_Per_Year" localSheetId="7">#REF!</definedName>
    <definedName name="Num_Pmt_Per_Year" localSheetId="1">#REF!</definedName>
    <definedName name="Num_Pmt_Per_Year">#REF!</definedName>
    <definedName name="Number_of_Payments" localSheetId="7">MATCH(0.01,'Loan - SBI'!End_Bal,-1)+1</definedName>
    <definedName name="Number_of_Payments" localSheetId="1">MATCH(0.01,'UNIT LIST BUILDING NO 1'!End_Bal,-1)+1</definedName>
    <definedName name="Number_of_Payments">MATCH(0.01,End_Bal,-1)+1</definedName>
    <definedName name="Oct_17">#REF!</definedName>
    <definedName name="Pay_Date" localSheetId="7">#REF!</definedName>
    <definedName name="Pay_Date" localSheetId="1">#REF!</definedName>
    <definedName name="Pay_Date">#REF!</definedName>
    <definedName name="Pay_Num" localSheetId="7">#REF!</definedName>
    <definedName name="Pay_Num" localSheetId="1">#REF!</definedName>
    <definedName name="Pay_Num">#REF!</definedName>
    <definedName name="Payment_Date" localSheetId="7">DATE(YEAR('Loan - SBI'!Loan_Start),MONTH('Loan - SBI'!Loan_Start)+Payment_Number,DAY('Loan - SBI'!Loan_Start))</definedName>
    <definedName name="Payment_Date" localSheetId="1">DATE(YEAR('UNIT LIST BUILDING NO 1'!Loan_Start),MONTH('UNIT LIST BUILDING NO 1'!Loan_Start)+Payment_Number,DAY('UNIT LIST BUILDING NO 1'!Loan_Start))</definedName>
    <definedName name="Payment_Date">DATE(YEAR(Loan_Start),MONTH(Loan_Start)+Payment_Number,DAY(Loan_Start))</definedName>
    <definedName name="Princ" localSheetId="7">#REF!</definedName>
    <definedName name="Princ" localSheetId="1">#REF!</definedName>
    <definedName name="Princ">#REF!</definedName>
    <definedName name="Print_Area_Reset" localSheetId="7">OFFSET('Loan - SBI'!Full_Print,0,0,'Loan - SBI'!Last_Row)</definedName>
    <definedName name="Print_Area_Reset" localSheetId="1">OFFSET('UNIT LIST BUILDING NO 1'!Full_Print,0,0,'UNIT LIST BUILDING NO 1'!Last_Row)</definedName>
    <definedName name="Print_Area_Reset">OFFSET(Full_Print,0,0,Last_Row)</definedName>
    <definedName name="Sched_Pay" localSheetId="7">#REF!</definedName>
    <definedName name="Sched_Pay" localSheetId="1">#REF!</definedName>
    <definedName name="Sched_Pay">#REF!</definedName>
    <definedName name="Scheduled_Extra_Payments" localSheetId="7">#REF!</definedName>
    <definedName name="Scheduled_Extra_Payments" localSheetId="1">#REF!</definedName>
    <definedName name="Scheduled_Extra_Payments">#REF!</definedName>
    <definedName name="Scheduled_Interest_Rate" localSheetId="7">#REF!</definedName>
    <definedName name="Scheduled_Interest_Rate" localSheetId="1">#REF!</definedName>
    <definedName name="Scheduled_Interest_Rate">#REF!</definedName>
    <definedName name="Scheduled_Monthly_Payment" localSheetId="7">#REF!</definedName>
    <definedName name="Scheduled_Monthly_Payment" localSheetId="1">#REF!</definedName>
    <definedName name="Scheduled_Monthly_Payment">#REF!</definedName>
    <definedName name="Total_Interest" localSheetId="7">#REF!</definedName>
    <definedName name="Total_Interest" localSheetId="1">#REF!</definedName>
    <definedName name="Total_Interest">#REF!</definedName>
    <definedName name="Total_Pay" localSheetId="7">#REF!</definedName>
    <definedName name="Total_Pay" localSheetId="1">#REF!</definedName>
    <definedName name="Total_Pay">#REF!</definedName>
    <definedName name="Total_Payment" localSheetId="7">Scheduled_Payment+Extra_Payment</definedName>
    <definedName name="Total_Payment" localSheetId="1">Scheduled_Payment+Extra_Payment</definedName>
    <definedName name="Total_Payment">Scheduled_Payment+Extra_Payment</definedName>
    <definedName name="Values_Entered" localSheetId="7">IF('Loan - SBI'!Loan_Amount*'Loan - SBI'!Interest_Rate*'Loan - SBI'!Loan_Years*'Loan - SBI'!Loan_Start&gt;0,1,0)</definedName>
    <definedName name="Values_Entered" localSheetId="1">IF('UNIT LIST BUILDING NO 1'!Loan_Amount*'UNIT LIST BUILDING NO 1'!Interest_Rate*'UNIT LIST BUILDING NO 1'!Loan_Years*'UNIT LIST BUILDING NO 1'!Loan_Start&gt;0,1,0)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I38" i="27" l="1"/>
  <c r="I37" i="27"/>
  <c r="M30" i="27"/>
  <c r="L30" i="27"/>
  <c r="K30" i="27"/>
  <c r="J30" i="27"/>
  <c r="D19" i="28"/>
  <c r="D7" i="29"/>
  <c r="H7" i="29" s="1"/>
  <c r="B7" i="29" s="1"/>
  <c r="N29" i="27"/>
  <c r="N28" i="27"/>
  <c r="N26" i="27"/>
  <c r="N25" i="27"/>
  <c r="N23" i="27"/>
  <c r="N20" i="27"/>
  <c r="N19" i="27"/>
  <c r="N18" i="27"/>
  <c r="G5" i="29" l="1"/>
  <c r="F5" i="29"/>
  <c r="D5" i="29"/>
  <c r="E5" i="29"/>
  <c r="I27" i="27"/>
  <c r="N27" i="27" l="1"/>
  <c r="I30" i="27"/>
  <c r="N30" i="27"/>
  <c r="C17" i="27"/>
  <c r="C16" i="27"/>
  <c r="C15" i="27"/>
  <c r="C14" i="27"/>
  <c r="E20" i="28"/>
  <c r="E18" i="28"/>
  <c r="E17" i="28"/>
  <c r="E16" i="28"/>
  <c r="E15" i="28"/>
  <c r="E14" i="28"/>
  <c r="E19" i="28" l="1"/>
  <c r="D21" i="28"/>
  <c r="G14" i="5" l="1"/>
  <c r="G13" i="5"/>
  <c r="J33" i="27" l="1"/>
  <c r="K33" i="27" s="1"/>
  <c r="J15" i="27"/>
  <c r="K15" i="27" s="1"/>
  <c r="L15" i="27" s="1"/>
  <c r="M15" i="27" s="1"/>
  <c r="J14" i="27"/>
  <c r="K14" i="27" s="1"/>
  <c r="L14" i="27" s="1"/>
  <c r="M14" i="27" s="1"/>
  <c r="J13" i="27"/>
  <c r="XEN8" i="27"/>
  <c r="F8" i="27"/>
  <c r="D8" i="27"/>
  <c r="C8" i="27"/>
  <c r="E7" i="27"/>
  <c r="E6" i="27"/>
  <c r="E5" i="27"/>
  <c r="I22" i="27" l="1"/>
  <c r="E8" i="27"/>
  <c r="K13" i="27"/>
  <c r="J22" i="27"/>
  <c r="I31" i="27" l="1"/>
  <c r="I34" i="27" s="1"/>
  <c r="J31" i="27"/>
  <c r="J34" i="27" s="1"/>
  <c r="L13" i="27"/>
  <c r="M13" i="27" s="1"/>
  <c r="M22" i="27" s="1"/>
  <c r="M31" i="27" s="1"/>
  <c r="K22" i="27"/>
  <c r="C11" i="27" l="1"/>
  <c r="K31" i="27"/>
  <c r="L22" i="27"/>
  <c r="L31" i="27" s="1"/>
  <c r="B47" i="25"/>
  <c r="C47" i="25" s="1"/>
  <c r="D47" i="25" s="1"/>
  <c r="E47" i="25" s="1"/>
  <c r="F47" i="25" s="1"/>
  <c r="B46" i="25"/>
  <c r="B10" i="25"/>
  <c r="B8" i="25"/>
  <c r="B4" i="25"/>
  <c r="B43" i="25" s="1"/>
  <c r="B63" i="25"/>
  <c r="C62" i="25"/>
  <c r="C63" i="25" s="1"/>
  <c r="G59" i="25"/>
  <c r="B55" i="25"/>
  <c r="F54" i="25"/>
  <c r="E54" i="25"/>
  <c r="D54" i="25"/>
  <c r="C54" i="25"/>
  <c r="B54" i="25"/>
  <c r="G53" i="25"/>
  <c r="F45" i="25"/>
  <c r="E45" i="25"/>
  <c r="D45" i="25"/>
  <c r="C45" i="25"/>
  <c r="B45" i="25"/>
  <c r="G44" i="25"/>
  <c r="B40" i="25"/>
  <c r="F39" i="25"/>
  <c r="E39" i="25"/>
  <c r="E38" i="25"/>
  <c r="D38" i="25"/>
  <c r="D40" i="25" s="1"/>
  <c r="C38" i="25"/>
  <c r="C40" i="25" s="1"/>
  <c r="F36" i="25"/>
  <c r="G36" i="25" s="1"/>
  <c r="G35" i="25"/>
  <c r="B34" i="25"/>
  <c r="B22" i="25"/>
  <c r="B20" i="25"/>
  <c r="B21" i="25" s="1"/>
  <c r="B11" i="25"/>
  <c r="B52" i="25" s="1"/>
  <c r="B9" i="25"/>
  <c r="N22" i="27" l="1"/>
  <c r="K34" i="27"/>
  <c r="N31" i="27"/>
  <c r="I35" i="27"/>
  <c r="B48" i="25"/>
  <c r="B50" i="25" s="1"/>
  <c r="G43" i="25"/>
  <c r="G45" i="25"/>
  <c r="F40" i="25"/>
  <c r="G40" i="25" s="1"/>
  <c r="C46" i="25"/>
  <c r="B19" i="25"/>
  <c r="E40" i="25"/>
  <c r="C55" i="25"/>
  <c r="B56" i="25"/>
  <c r="B58" i="25" s="1"/>
  <c r="D62" i="25"/>
  <c r="G38" i="25"/>
  <c r="G39" i="25"/>
  <c r="D46" i="25"/>
  <c r="D48" i="25" s="1"/>
  <c r="C48" i="25" l="1"/>
  <c r="C50" i="25" s="1"/>
  <c r="F60" i="25"/>
  <c r="D60" i="25"/>
  <c r="B60" i="25"/>
  <c r="E60" i="25"/>
  <c r="C60" i="25"/>
  <c r="D63" i="25"/>
  <c r="E62" i="25"/>
  <c r="C56" i="25"/>
  <c r="C58" i="25" s="1"/>
  <c r="D55" i="25"/>
  <c r="E46" i="25"/>
  <c r="E49" i="25" l="1"/>
  <c r="E48" i="25"/>
  <c r="D50" i="25"/>
  <c r="C61" i="25"/>
  <c r="C64" i="25" s="1"/>
  <c r="F46" i="25"/>
  <c r="F48" i="25" s="1"/>
  <c r="D56" i="25"/>
  <c r="D58" i="25" s="1"/>
  <c r="E55" i="25"/>
  <c r="E57" i="25" s="1"/>
  <c r="E63" i="25"/>
  <c r="F62" i="25"/>
  <c r="F63" i="25" s="1"/>
  <c r="B61" i="25"/>
  <c r="G60" i="25"/>
  <c r="D61" i="25" l="1"/>
  <c r="D64" i="25" s="1"/>
  <c r="E50" i="25"/>
  <c r="B64" i="25"/>
  <c r="E56" i="25"/>
  <c r="E58" i="25" s="1"/>
  <c r="F55" i="25"/>
  <c r="F49" i="25"/>
  <c r="G48" i="25"/>
  <c r="E61" i="25" l="1"/>
  <c r="E64" i="25" s="1"/>
  <c r="F50" i="25"/>
  <c r="G50" i="25" s="1"/>
  <c r="G49" i="25"/>
  <c r="F57" i="25"/>
  <c r="F56" i="25"/>
  <c r="F58" i="25" l="1"/>
  <c r="F61" i="25" s="1"/>
  <c r="G58" i="25" l="1"/>
  <c r="F64" i="25"/>
  <c r="B65" i="25" s="1"/>
  <c r="G61" i="25"/>
  <c r="H30" i="7" l="1"/>
  <c r="D30" i="7"/>
  <c r="F32" i="6" l="1"/>
  <c r="I30" i="7" l="1"/>
  <c r="C6" i="21" l="1"/>
  <c r="C15" i="7" l="1"/>
  <c r="H32" i="6"/>
  <c r="B4" i="24" l="1"/>
  <c r="C4" i="24" s="1"/>
  <c r="B5" i="24"/>
  <c r="C5" i="24" s="1"/>
  <c r="B6" i="24"/>
  <c r="C6" i="24" s="1"/>
  <c r="B7" i="24"/>
  <c r="C7" i="24" s="1"/>
  <c r="B8" i="24"/>
  <c r="C8" i="24" s="1"/>
  <c r="B9" i="24"/>
  <c r="C9" i="24" s="1"/>
  <c r="B10" i="24"/>
  <c r="C10" i="24" s="1"/>
  <c r="B11" i="24"/>
  <c r="C11" i="24" s="1"/>
  <c r="B12" i="24"/>
  <c r="C12" i="24" s="1"/>
  <c r="B13" i="24"/>
  <c r="C13" i="24" s="1"/>
  <c r="B14" i="24"/>
  <c r="C14" i="24" s="1"/>
  <c r="B15" i="24"/>
  <c r="C15" i="24" s="1"/>
  <c r="B16" i="24"/>
  <c r="C16" i="24" s="1"/>
  <c r="B17" i="24"/>
  <c r="C17" i="24" s="1"/>
  <c r="B18" i="24"/>
  <c r="C18" i="24" s="1"/>
  <c r="B19" i="24"/>
  <c r="C19" i="24" s="1"/>
  <c r="B20" i="24"/>
  <c r="C20" i="24" s="1"/>
  <c r="B21" i="24"/>
  <c r="C21" i="24" s="1"/>
  <c r="B22" i="24"/>
  <c r="C22" i="24" s="1"/>
  <c r="B23" i="24"/>
  <c r="C23" i="24" s="1"/>
  <c r="B24" i="24"/>
  <c r="C24" i="24" s="1"/>
  <c r="B25" i="24"/>
  <c r="C25" i="24" s="1"/>
  <c r="B26" i="24"/>
  <c r="C26" i="24" s="1"/>
  <c r="B27" i="24"/>
  <c r="C27" i="24" s="1"/>
  <c r="B28" i="24"/>
  <c r="C28" i="24" s="1"/>
  <c r="B29" i="24"/>
  <c r="C29" i="24" s="1"/>
  <c r="B30" i="24"/>
  <c r="C30" i="24" s="1"/>
  <c r="B31" i="24"/>
  <c r="C31" i="24" s="1"/>
  <c r="B3" i="24"/>
  <c r="C3" i="24" s="1"/>
  <c r="A27" i="24"/>
  <c r="A28" i="24"/>
  <c r="A29" i="24"/>
  <c r="A30" i="24"/>
  <c r="A31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3" i="24"/>
  <c r="B15" i="7" l="1"/>
  <c r="E13" i="27" l="1"/>
  <c r="E14" i="27" s="1"/>
  <c r="L15" i="7"/>
  <c r="C4" i="21" s="1"/>
  <c r="B2" i="23"/>
  <c r="C8" i="21" l="1"/>
  <c r="AF20" i="7" l="1"/>
  <c r="A8" i="23"/>
  <c r="A7" i="23"/>
  <c r="A6" i="23"/>
  <c r="I2" i="23"/>
  <c r="I37" i="23" s="1"/>
  <c r="H2" i="23"/>
  <c r="H37" i="23" s="1"/>
  <c r="G2" i="23"/>
  <c r="G37" i="23" s="1"/>
  <c r="F2" i="23"/>
  <c r="F37" i="23" s="1"/>
  <c r="E2" i="23"/>
  <c r="E37" i="23" s="1"/>
  <c r="D2" i="23"/>
  <c r="D37" i="23" s="1"/>
  <c r="C2" i="23"/>
  <c r="C37" i="23" s="1"/>
  <c r="B37" i="23" l="1"/>
  <c r="C4" i="15" l="1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D31" i="15" s="1"/>
  <c r="C3" i="15"/>
  <c r="D3" i="15" s="1"/>
  <c r="D27" i="15" l="1"/>
  <c r="E27" i="15"/>
  <c r="E23" i="15"/>
  <c r="D23" i="15"/>
  <c r="D19" i="15"/>
  <c r="E19" i="15"/>
  <c r="E15" i="15"/>
  <c r="D15" i="15"/>
  <c r="D11" i="15"/>
  <c r="E11" i="15"/>
  <c r="D7" i="15"/>
  <c r="E7" i="15"/>
  <c r="D30" i="15"/>
  <c r="E30" i="15"/>
  <c r="D26" i="15"/>
  <c r="E26" i="15"/>
  <c r="D22" i="15"/>
  <c r="E22" i="15"/>
  <c r="D18" i="15"/>
  <c r="E18" i="15"/>
  <c r="D14" i="15"/>
  <c r="E14" i="15"/>
  <c r="D10" i="15"/>
  <c r="E10" i="15"/>
  <c r="E6" i="15"/>
  <c r="D6" i="15"/>
  <c r="E29" i="15"/>
  <c r="D29" i="15"/>
  <c r="D25" i="15"/>
  <c r="E25" i="15"/>
  <c r="E21" i="15"/>
  <c r="D21" i="15"/>
  <c r="D17" i="15"/>
  <c r="E17" i="15"/>
  <c r="E13" i="15"/>
  <c r="D13" i="15"/>
  <c r="D9" i="15"/>
  <c r="E9" i="15"/>
  <c r="D5" i="15"/>
  <c r="E5" i="15"/>
  <c r="E28" i="15"/>
  <c r="D28" i="15"/>
  <c r="E24" i="15"/>
  <c r="D24" i="15"/>
  <c r="E20" i="15"/>
  <c r="D20" i="15"/>
  <c r="E16" i="15"/>
  <c r="D16" i="15"/>
  <c r="E12" i="15"/>
  <c r="D12" i="15"/>
  <c r="E8" i="15"/>
  <c r="D8" i="15"/>
  <c r="D4" i="15"/>
  <c r="D32" i="15" s="1"/>
  <c r="E4" i="15"/>
  <c r="E31" i="15"/>
  <c r="E3" i="15"/>
  <c r="E32" i="15" l="1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C10" i="7"/>
  <c r="C11" i="7"/>
  <c r="C12" i="7"/>
  <c r="C13" i="7"/>
  <c r="C3" i="21" s="1"/>
  <c r="C14" i="7"/>
  <c r="C16" i="7"/>
  <c r="C17" i="7"/>
  <c r="AF17" i="7" s="1"/>
  <c r="C19" i="7"/>
  <c r="C9" i="7"/>
  <c r="B10" i="7"/>
  <c r="B11" i="7"/>
  <c r="B12" i="7"/>
  <c r="B13" i="7"/>
  <c r="AB13" i="7" s="1"/>
  <c r="B14" i="7"/>
  <c r="B16" i="7"/>
  <c r="B17" i="7"/>
  <c r="B18" i="7"/>
  <c r="B9" i="7"/>
  <c r="A18" i="7"/>
  <c r="A19" i="7"/>
  <c r="A10" i="7"/>
  <c r="A11" i="7"/>
  <c r="A12" i="7"/>
  <c r="A13" i="7"/>
  <c r="A14" i="7"/>
  <c r="A15" i="7"/>
  <c r="A16" i="7"/>
  <c r="A17" i="7"/>
  <c r="A9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C2" i="7"/>
  <c r="I32" i="6"/>
  <c r="I2" i="6"/>
  <c r="H2" i="6"/>
  <c r="G2" i="6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2" i="1"/>
  <c r="C21" i="7" l="1"/>
  <c r="AF16" i="7"/>
  <c r="E3" i="24"/>
  <c r="B28" i="15"/>
  <c r="D28" i="24"/>
  <c r="B16" i="15"/>
  <c r="D16" i="24"/>
  <c r="B12" i="15"/>
  <c r="D12" i="24"/>
  <c r="B8" i="15"/>
  <c r="D8" i="24"/>
  <c r="B4" i="15"/>
  <c r="D4" i="24"/>
  <c r="B3" i="15"/>
  <c r="D3" i="24"/>
  <c r="B20" i="15"/>
  <c r="D20" i="24"/>
  <c r="B31" i="15"/>
  <c r="D31" i="24"/>
  <c r="B27" i="15"/>
  <c r="D27" i="24"/>
  <c r="B23" i="15"/>
  <c r="D23" i="24"/>
  <c r="B19" i="15"/>
  <c r="D19" i="24"/>
  <c r="B15" i="15"/>
  <c r="D15" i="24"/>
  <c r="B11" i="15"/>
  <c r="D11" i="24"/>
  <c r="B7" i="15"/>
  <c r="D7" i="24"/>
  <c r="B25" i="15"/>
  <c r="D25" i="24"/>
  <c r="B24" i="15"/>
  <c r="D24" i="24"/>
  <c r="B30" i="15"/>
  <c r="D30" i="24"/>
  <c r="B26" i="15"/>
  <c r="D26" i="24"/>
  <c r="B22" i="15"/>
  <c r="D22" i="24"/>
  <c r="B18" i="15"/>
  <c r="D18" i="24"/>
  <c r="B14" i="15"/>
  <c r="D14" i="24"/>
  <c r="B10" i="15"/>
  <c r="D10" i="24"/>
  <c r="B6" i="15"/>
  <c r="D6" i="24"/>
  <c r="B29" i="15"/>
  <c r="D29" i="24"/>
  <c r="B21" i="15"/>
  <c r="D21" i="24"/>
  <c r="B17" i="15"/>
  <c r="D17" i="24"/>
  <c r="B13" i="15"/>
  <c r="D13" i="24"/>
  <c r="B9" i="15"/>
  <c r="D9" i="24"/>
  <c r="B5" i="15"/>
  <c r="D5" i="24"/>
  <c r="I7" i="22"/>
  <c r="I20" i="23"/>
  <c r="I23" i="22"/>
  <c r="I39" i="23" s="1"/>
  <c r="E23" i="22"/>
  <c r="H21" i="22"/>
  <c r="H41" i="23" s="1"/>
  <c r="D21" i="22"/>
  <c r="D41" i="23" s="1"/>
  <c r="H11" i="22"/>
  <c r="D11" i="22"/>
  <c r="H23" i="22"/>
  <c r="H39" i="23" s="1"/>
  <c r="D23" i="22"/>
  <c r="G21" i="22"/>
  <c r="G41" i="23" s="1"/>
  <c r="C21" i="22"/>
  <c r="C41" i="23" s="1"/>
  <c r="G11" i="22"/>
  <c r="C11" i="22"/>
  <c r="G23" i="22"/>
  <c r="C23" i="22"/>
  <c r="F21" i="22"/>
  <c r="F41" i="23" s="1"/>
  <c r="I9" i="22"/>
  <c r="F11" i="22"/>
  <c r="F23" i="22"/>
  <c r="I21" i="22"/>
  <c r="I41" i="23" s="1"/>
  <c r="E21" i="22"/>
  <c r="E41" i="23" s="1"/>
  <c r="I11" i="22"/>
  <c r="E11" i="22"/>
  <c r="E20" i="23"/>
  <c r="G20" i="23"/>
  <c r="B21" i="22"/>
  <c r="B41" i="23" s="1"/>
  <c r="B20" i="23"/>
  <c r="D20" i="23"/>
  <c r="B23" i="22"/>
  <c r="B11" i="22"/>
  <c r="F20" i="23"/>
  <c r="H20" i="23"/>
  <c r="C20" i="23"/>
  <c r="B9" i="22"/>
  <c r="I6" i="22"/>
  <c r="I5" i="23" s="1"/>
  <c r="E6" i="22"/>
  <c r="E5" i="23" s="1"/>
  <c r="H6" i="22"/>
  <c r="H5" i="23" s="1"/>
  <c r="D6" i="22"/>
  <c r="D5" i="23" s="1"/>
  <c r="G6" i="22"/>
  <c r="G5" i="23" s="1"/>
  <c r="C6" i="22"/>
  <c r="C5" i="23" s="1"/>
  <c r="F6" i="22"/>
  <c r="F5" i="23" s="1"/>
  <c r="B6" i="22"/>
  <c r="B5" i="23" s="1"/>
  <c r="I8" i="22"/>
  <c r="I7" i="23" s="1"/>
  <c r="E8" i="22"/>
  <c r="E7" i="23" s="1"/>
  <c r="H8" i="22"/>
  <c r="H7" i="23" s="1"/>
  <c r="D8" i="22"/>
  <c r="D7" i="23" s="1"/>
  <c r="G8" i="22"/>
  <c r="G7" i="23" s="1"/>
  <c r="C8" i="22"/>
  <c r="C7" i="23" s="1"/>
  <c r="F8" i="22"/>
  <c r="F7" i="23" s="1"/>
  <c r="B8" i="22"/>
  <c r="B7" i="23" s="1"/>
  <c r="D7" i="22"/>
  <c r="F7" i="22"/>
  <c r="G9" i="22"/>
  <c r="G30" i="23" l="1"/>
  <c r="I6" i="23"/>
  <c r="C7" i="22"/>
  <c r="B7" i="22"/>
  <c r="B6" i="23" s="1"/>
  <c r="G7" i="22"/>
  <c r="G6" i="23" s="1"/>
  <c r="H7" i="22"/>
  <c r="E4" i="24"/>
  <c r="E7" i="22"/>
  <c r="E30" i="23"/>
  <c r="F30" i="23"/>
  <c r="D30" i="23"/>
  <c r="B30" i="23"/>
  <c r="J41" i="23"/>
  <c r="C30" i="23"/>
  <c r="H30" i="23"/>
  <c r="I30" i="23"/>
  <c r="H22" i="22"/>
  <c r="D22" i="22"/>
  <c r="E22" i="22"/>
  <c r="C22" i="22"/>
  <c r="G22" i="22"/>
  <c r="F22" i="22"/>
  <c r="I22" i="22"/>
  <c r="B22" i="22"/>
  <c r="H24" i="22"/>
  <c r="G24" i="22"/>
  <c r="D24" i="22"/>
  <c r="F24" i="22"/>
  <c r="I24" i="22"/>
  <c r="B24" i="22"/>
  <c r="E24" i="22"/>
  <c r="C24" i="22"/>
  <c r="H9" i="22"/>
  <c r="F9" i="22"/>
  <c r="F6" i="23" s="1"/>
  <c r="D9" i="22"/>
  <c r="D6" i="23" s="1"/>
  <c r="AF18" i="7"/>
  <c r="C9" i="22"/>
  <c r="E9" i="22"/>
  <c r="D11" i="5"/>
  <c r="D9" i="5"/>
  <c r="D8" i="5"/>
  <c r="D7" i="5"/>
  <c r="D22" i="5"/>
  <c r="D21" i="5"/>
  <c r="H6" i="23" l="1"/>
  <c r="B15" i="22"/>
  <c r="B3" i="23" s="1"/>
  <c r="B31" i="23" s="1"/>
  <c r="C6" i="23"/>
  <c r="E5" i="24"/>
  <c r="E15" i="22"/>
  <c r="F15" i="22"/>
  <c r="I15" i="22"/>
  <c r="E6" i="23"/>
  <c r="C15" i="22"/>
  <c r="H15" i="22"/>
  <c r="G15" i="22"/>
  <c r="D15" i="22"/>
  <c r="G25" i="22"/>
  <c r="G22" i="23" s="1"/>
  <c r="B25" i="22"/>
  <c r="B22" i="23" s="1"/>
  <c r="H25" i="22"/>
  <c r="H22" i="23" s="1"/>
  <c r="I25" i="22"/>
  <c r="I22" i="23" s="1"/>
  <c r="E25" i="22"/>
  <c r="E22" i="23" s="1"/>
  <c r="F25" i="22"/>
  <c r="F22" i="23" s="1"/>
  <c r="D25" i="22"/>
  <c r="D22" i="23" s="1"/>
  <c r="C25" i="22"/>
  <c r="C22" i="23" s="1"/>
  <c r="AF9" i="7"/>
  <c r="C17" i="5"/>
  <c r="D6" i="5"/>
  <c r="C3" i="23" l="1"/>
  <c r="E6" i="24"/>
  <c r="AF28" i="7"/>
  <c r="AF26" i="7"/>
  <c r="AF12" i="7"/>
  <c r="D24" i="6"/>
  <c r="D25" i="6"/>
  <c r="D26" i="6"/>
  <c r="D27" i="6"/>
  <c r="B24" i="6"/>
  <c r="C24" i="6" s="1"/>
  <c r="B25" i="6"/>
  <c r="C25" i="6" s="1"/>
  <c r="B26" i="6"/>
  <c r="C26" i="6" s="1"/>
  <c r="B27" i="6"/>
  <c r="C27" i="6" s="1"/>
  <c r="C31" i="23" l="1"/>
  <c r="E7" i="24"/>
  <c r="AF11" i="7"/>
  <c r="N26" i="6"/>
  <c r="N25" i="6"/>
  <c r="N24" i="6"/>
  <c r="N27" i="6"/>
  <c r="E8" i="24" l="1"/>
  <c r="AF14" i="7"/>
  <c r="G32" i="6"/>
  <c r="E9" i="24" l="1"/>
  <c r="E32" i="6"/>
  <c r="G5" i="1"/>
  <c r="G4" i="1"/>
  <c r="G3" i="1"/>
  <c r="D28" i="6"/>
  <c r="D29" i="6"/>
  <c r="D30" i="6"/>
  <c r="D31" i="6"/>
  <c r="B28" i="6"/>
  <c r="C28" i="6" s="1"/>
  <c r="B29" i="6"/>
  <c r="C29" i="6" s="1"/>
  <c r="B30" i="6"/>
  <c r="C30" i="6" s="1"/>
  <c r="B31" i="6"/>
  <c r="C31" i="6" l="1"/>
  <c r="E10" i="24"/>
  <c r="N29" i="6"/>
  <c r="N28" i="6"/>
  <c r="N31" i="6"/>
  <c r="N30" i="6"/>
  <c r="E11" i="24" l="1"/>
  <c r="O24" i="6"/>
  <c r="E12" i="24" l="1"/>
  <c r="O25" i="6"/>
  <c r="E13" i="24" l="1"/>
  <c r="O26" i="6"/>
  <c r="E14" i="24" l="1"/>
  <c r="O27" i="6"/>
  <c r="E15" i="24" l="1"/>
  <c r="O28" i="6"/>
  <c r="E16" i="24" l="1"/>
  <c r="O29" i="6"/>
  <c r="D368" i="20"/>
  <c r="E17" i="24" l="1"/>
  <c r="O30" i="6"/>
  <c r="G6" i="1"/>
  <c r="G7" i="1"/>
  <c r="J368" i="20"/>
  <c r="E368" i="20"/>
  <c r="H368" i="20" s="1"/>
  <c r="H367" i="20"/>
  <c r="G367" i="20"/>
  <c r="F367" i="20"/>
  <c r="H366" i="20"/>
  <c r="G366" i="20"/>
  <c r="F366" i="20"/>
  <c r="H365" i="20"/>
  <c r="G365" i="20"/>
  <c r="F365" i="20"/>
  <c r="K365" i="20" s="1"/>
  <c r="H364" i="20"/>
  <c r="G364" i="20"/>
  <c r="F364" i="20"/>
  <c r="H363" i="20"/>
  <c r="G363" i="20"/>
  <c r="F363" i="20"/>
  <c r="K363" i="20" s="1"/>
  <c r="H362" i="20"/>
  <c r="G362" i="20"/>
  <c r="F362" i="20"/>
  <c r="K362" i="20" s="1"/>
  <c r="H361" i="20"/>
  <c r="G361" i="20"/>
  <c r="F361" i="20"/>
  <c r="H360" i="20"/>
  <c r="G360" i="20"/>
  <c r="F360" i="20"/>
  <c r="K360" i="20" s="1"/>
  <c r="H359" i="20"/>
  <c r="G359" i="20"/>
  <c r="F359" i="20"/>
  <c r="K359" i="20" s="1"/>
  <c r="H358" i="20"/>
  <c r="G358" i="20"/>
  <c r="F358" i="20"/>
  <c r="H357" i="20"/>
  <c r="G357" i="20"/>
  <c r="F357" i="20"/>
  <c r="K357" i="20" s="1"/>
  <c r="H356" i="20"/>
  <c r="G356" i="20"/>
  <c r="F356" i="20"/>
  <c r="H355" i="20"/>
  <c r="G355" i="20"/>
  <c r="F355" i="20"/>
  <c r="H354" i="20"/>
  <c r="G354" i="20"/>
  <c r="F354" i="20"/>
  <c r="H353" i="20"/>
  <c r="G353" i="20"/>
  <c r="F353" i="20"/>
  <c r="K353" i="20" s="1"/>
  <c r="H352" i="20"/>
  <c r="G352" i="20"/>
  <c r="F352" i="20"/>
  <c r="K352" i="20" s="1"/>
  <c r="H351" i="20"/>
  <c r="G351" i="20"/>
  <c r="F351" i="20"/>
  <c r="H350" i="20"/>
  <c r="G350" i="20"/>
  <c r="F350" i="20"/>
  <c r="K350" i="20" s="1"/>
  <c r="H349" i="20"/>
  <c r="G349" i="20"/>
  <c r="F349" i="20"/>
  <c r="H348" i="20"/>
  <c r="G348" i="20"/>
  <c r="F348" i="20"/>
  <c r="K348" i="20" s="1"/>
  <c r="H347" i="20"/>
  <c r="G347" i="20"/>
  <c r="F347" i="20"/>
  <c r="K347" i="20" s="1"/>
  <c r="H346" i="20"/>
  <c r="G346" i="20"/>
  <c r="F346" i="20"/>
  <c r="H345" i="20"/>
  <c r="G345" i="20"/>
  <c r="F345" i="20"/>
  <c r="K345" i="20" s="1"/>
  <c r="H344" i="20"/>
  <c r="G344" i="20"/>
  <c r="F344" i="20"/>
  <c r="H343" i="20"/>
  <c r="G343" i="20"/>
  <c r="F343" i="20"/>
  <c r="H342" i="20"/>
  <c r="G342" i="20"/>
  <c r="F342" i="20"/>
  <c r="H341" i="20"/>
  <c r="G341" i="20"/>
  <c r="F341" i="20"/>
  <c r="K341" i="20" s="1"/>
  <c r="H340" i="20"/>
  <c r="G340" i="20"/>
  <c r="F340" i="20"/>
  <c r="K340" i="20" s="1"/>
  <c r="H339" i="20"/>
  <c r="G339" i="20"/>
  <c r="F339" i="20"/>
  <c r="K339" i="20" s="1"/>
  <c r="H338" i="20"/>
  <c r="G338" i="20"/>
  <c r="F338" i="20"/>
  <c r="K338" i="20" s="1"/>
  <c r="H337" i="20"/>
  <c r="G337" i="20"/>
  <c r="F337" i="20"/>
  <c r="H336" i="20"/>
  <c r="G336" i="20"/>
  <c r="F336" i="20"/>
  <c r="H335" i="20"/>
  <c r="G335" i="20"/>
  <c r="F335" i="20"/>
  <c r="K335" i="20" s="1"/>
  <c r="H334" i="20"/>
  <c r="G334" i="20"/>
  <c r="F334" i="20"/>
  <c r="H333" i="20"/>
  <c r="G333" i="20"/>
  <c r="F333" i="20"/>
  <c r="H332" i="20"/>
  <c r="G332" i="20"/>
  <c r="F332" i="20"/>
  <c r="H331" i="20"/>
  <c r="G331" i="20"/>
  <c r="F331" i="20"/>
  <c r="H330" i="20"/>
  <c r="G330" i="20"/>
  <c r="F330" i="20"/>
  <c r="H329" i="20"/>
  <c r="G329" i="20"/>
  <c r="F329" i="20"/>
  <c r="H328" i="20"/>
  <c r="G328" i="20"/>
  <c r="F328" i="20"/>
  <c r="K328" i="20" s="1"/>
  <c r="H327" i="20"/>
  <c r="G327" i="20"/>
  <c r="F327" i="20"/>
  <c r="K327" i="20" s="1"/>
  <c r="H326" i="20"/>
  <c r="G326" i="20"/>
  <c r="F326" i="20"/>
  <c r="K326" i="20" s="1"/>
  <c r="H325" i="20"/>
  <c r="G325" i="20"/>
  <c r="F325" i="20"/>
  <c r="H324" i="20"/>
  <c r="G324" i="20"/>
  <c r="F324" i="20"/>
  <c r="H323" i="20"/>
  <c r="G323" i="20"/>
  <c r="F323" i="20"/>
  <c r="H322" i="20"/>
  <c r="G322" i="20"/>
  <c r="F322" i="20"/>
  <c r="K322" i="20" s="1"/>
  <c r="H321" i="20"/>
  <c r="G321" i="20"/>
  <c r="F321" i="20"/>
  <c r="H320" i="20"/>
  <c r="G320" i="20"/>
  <c r="F320" i="20"/>
  <c r="H319" i="20"/>
  <c r="G319" i="20"/>
  <c r="F319" i="20"/>
  <c r="H318" i="20"/>
  <c r="G318" i="20"/>
  <c r="F318" i="20"/>
  <c r="H317" i="20"/>
  <c r="G317" i="20"/>
  <c r="F317" i="20"/>
  <c r="H316" i="20"/>
  <c r="G316" i="20"/>
  <c r="F316" i="20"/>
  <c r="K316" i="20" s="1"/>
  <c r="H315" i="20"/>
  <c r="G315" i="20"/>
  <c r="F315" i="20"/>
  <c r="K315" i="20" s="1"/>
  <c r="H314" i="20"/>
  <c r="G314" i="20"/>
  <c r="F314" i="20"/>
  <c r="K314" i="20" s="1"/>
  <c r="H313" i="20"/>
  <c r="G313" i="20"/>
  <c r="F313" i="20"/>
  <c r="H312" i="20"/>
  <c r="G312" i="20"/>
  <c r="F312" i="20"/>
  <c r="H311" i="20"/>
  <c r="G311" i="20"/>
  <c r="F311" i="20"/>
  <c r="H310" i="20"/>
  <c r="G310" i="20"/>
  <c r="F310" i="20"/>
  <c r="K310" i="20" s="1"/>
  <c r="H309" i="20"/>
  <c r="G309" i="20"/>
  <c r="F309" i="20"/>
  <c r="H308" i="20"/>
  <c r="G308" i="20"/>
  <c r="F308" i="20"/>
  <c r="H307" i="20"/>
  <c r="G307" i="20"/>
  <c r="F307" i="20"/>
  <c r="H306" i="20"/>
  <c r="G306" i="20"/>
  <c r="F306" i="20"/>
  <c r="H305" i="20"/>
  <c r="G305" i="20"/>
  <c r="F305" i="20"/>
  <c r="H304" i="20"/>
  <c r="G304" i="20"/>
  <c r="F304" i="20"/>
  <c r="H303" i="20"/>
  <c r="G303" i="20"/>
  <c r="F303" i="20"/>
  <c r="K303" i="20" s="1"/>
  <c r="H302" i="20"/>
  <c r="G302" i="20"/>
  <c r="F302" i="20"/>
  <c r="K302" i="20" s="1"/>
  <c r="H301" i="20"/>
  <c r="G301" i="20"/>
  <c r="F301" i="20"/>
  <c r="H300" i="20"/>
  <c r="G300" i="20"/>
  <c r="F300" i="20"/>
  <c r="H299" i="20"/>
  <c r="G299" i="20"/>
  <c r="F299" i="20"/>
  <c r="H298" i="20"/>
  <c r="G298" i="20"/>
  <c r="F298" i="20"/>
  <c r="K298" i="20" s="1"/>
  <c r="H297" i="20"/>
  <c r="G297" i="20"/>
  <c r="F297" i="20"/>
  <c r="K297" i="20" s="1"/>
  <c r="H296" i="20"/>
  <c r="G296" i="20"/>
  <c r="F296" i="20"/>
  <c r="H295" i="20"/>
  <c r="G295" i="20"/>
  <c r="F295" i="20"/>
  <c r="H294" i="20"/>
  <c r="G294" i="20"/>
  <c r="F294" i="20"/>
  <c r="H293" i="20"/>
  <c r="G293" i="20"/>
  <c r="F293" i="20"/>
  <c r="H292" i="20"/>
  <c r="G292" i="20"/>
  <c r="F292" i="20"/>
  <c r="K292" i="20" s="1"/>
  <c r="H291" i="20"/>
  <c r="G291" i="20"/>
  <c r="F291" i="20"/>
  <c r="K291" i="20" s="1"/>
  <c r="H290" i="20"/>
  <c r="G290" i="20"/>
  <c r="F290" i="20"/>
  <c r="K290" i="20" s="1"/>
  <c r="H289" i="20"/>
  <c r="G289" i="20"/>
  <c r="F289" i="20"/>
  <c r="H288" i="20"/>
  <c r="G288" i="20"/>
  <c r="F288" i="20"/>
  <c r="K288" i="20" s="1"/>
  <c r="H287" i="20"/>
  <c r="G287" i="20"/>
  <c r="F287" i="20"/>
  <c r="H286" i="20"/>
  <c r="G286" i="20"/>
  <c r="F286" i="20"/>
  <c r="K286" i="20" s="1"/>
  <c r="H285" i="20"/>
  <c r="G285" i="20"/>
  <c r="F285" i="20"/>
  <c r="K285" i="20" s="1"/>
  <c r="H284" i="20"/>
  <c r="G284" i="20"/>
  <c r="F284" i="20"/>
  <c r="H283" i="20"/>
  <c r="G283" i="20"/>
  <c r="F283" i="20"/>
  <c r="H282" i="20"/>
  <c r="G282" i="20"/>
  <c r="F282" i="20"/>
  <c r="H281" i="20"/>
  <c r="G281" i="20"/>
  <c r="F281" i="20"/>
  <c r="K281" i="20" s="1"/>
  <c r="H280" i="20"/>
  <c r="G280" i="20"/>
  <c r="F280" i="20"/>
  <c r="K280" i="20" s="1"/>
  <c r="H279" i="20"/>
  <c r="G279" i="20"/>
  <c r="F279" i="20"/>
  <c r="K279" i="20" s="1"/>
  <c r="H278" i="20"/>
  <c r="G278" i="20"/>
  <c r="F278" i="20"/>
  <c r="K278" i="20" s="1"/>
  <c r="H277" i="20"/>
  <c r="G277" i="20"/>
  <c r="F277" i="20"/>
  <c r="H276" i="20"/>
  <c r="G276" i="20"/>
  <c r="F276" i="20"/>
  <c r="K276" i="20" s="1"/>
  <c r="H275" i="20"/>
  <c r="G275" i="20"/>
  <c r="F275" i="20"/>
  <c r="H274" i="20"/>
  <c r="G274" i="20"/>
  <c r="F274" i="20"/>
  <c r="K274" i="20" s="1"/>
  <c r="H273" i="20"/>
  <c r="G273" i="20"/>
  <c r="F273" i="20"/>
  <c r="K273" i="20" s="1"/>
  <c r="H272" i="20"/>
  <c r="G272" i="20"/>
  <c r="F272" i="20"/>
  <c r="H271" i="20"/>
  <c r="G271" i="20"/>
  <c r="F271" i="20"/>
  <c r="H270" i="20"/>
  <c r="G270" i="20"/>
  <c r="F270" i="20"/>
  <c r="H269" i="20"/>
  <c r="G269" i="20"/>
  <c r="F269" i="20"/>
  <c r="K269" i="20" s="1"/>
  <c r="H268" i="20"/>
  <c r="G268" i="20"/>
  <c r="F268" i="20"/>
  <c r="H267" i="20"/>
  <c r="G267" i="20"/>
  <c r="F267" i="20"/>
  <c r="K267" i="20" s="1"/>
  <c r="H266" i="20"/>
  <c r="G266" i="20"/>
  <c r="F266" i="20"/>
  <c r="K266" i="20" s="1"/>
  <c r="H265" i="20"/>
  <c r="G265" i="20"/>
  <c r="F265" i="20"/>
  <c r="H264" i="20"/>
  <c r="G264" i="20"/>
  <c r="F264" i="20"/>
  <c r="H263" i="20"/>
  <c r="G263" i="20"/>
  <c r="F263" i="20"/>
  <c r="K263" i="20" s="1"/>
  <c r="H262" i="20"/>
  <c r="G262" i="20"/>
  <c r="F262" i="20"/>
  <c r="H261" i="20"/>
  <c r="G261" i="20"/>
  <c r="F261" i="20"/>
  <c r="K261" i="20" s="1"/>
  <c r="H260" i="20"/>
  <c r="G260" i="20"/>
  <c r="F260" i="20"/>
  <c r="H259" i="20"/>
  <c r="G259" i="20"/>
  <c r="F259" i="20"/>
  <c r="H258" i="20"/>
  <c r="G258" i="20"/>
  <c r="F258" i="20"/>
  <c r="H257" i="20"/>
  <c r="G257" i="20"/>
  <c r="F257" i="20"/>
  <c r="K257" i="20" s="1"/>
  <c r="H256" i="20"/>
  <c r="G256" i="20"/>
  <c r="F256" i="20"/>
  <c r="H255" i="20"/>
  <c r="G255" i="20"/>
  <c r="F255" i="20"/>
  <c r="K255" i="20" s="1"/>
  <c r="H254" i="20"/>
  <c r="G254" i="20"/>
  <c r="F254" i="20"/>
  <c r="K254" i="20" s="1"/>
  <c r="H253" i="20"/>
  <c r="G253" i="20"/>
  <c r="F253" i="20"/>
  <c r="H252" i="20"/>
  <c r="G252" i="20"/>
  <c r="F252" i="20"/>
  <c r="H251" i="20"/>
  <c r="G251" i="20"/>
  <c r="F251" i="20"/>
  <c r="H250" i="20"/>
  <c r="G250" i="20"/>
  <c r="F250" i="20"/>
  <c r="H249" i="20"/>
  <c r="G249" i="20"/>
  <c r="F249" i="20"/>
  <c r="H248" i="20"/>
  <c r="G248" i="20"/>
  <c r="F248" i="20"/>
  <c r="H247" i="20"/>
  <c r="G247" i="20"/>
  <c r="F247" i="20"/>
  <c r="H246" i="20"/>
  <c r="G246" i="20"/>
  <c r="F246" i="20"/>
  <c r="H245" i="20"/>
  <c r="G245" i="20"/>
  <c r="F245" i="20"/>
  <c r="K245" i="20" s="1"/>
  <c r="H244" i="20"/>
  <c r="G244" i="20"/>
  <c r="F244" i="20"/>
  <c r="K244" i="20" s="1"/>
  <c r="H243" i="20"/>
  <c r="G243" i="20"/>
  <c r="F243" i="20"/>
  <c r="K243" i="20" s="1"/>
  <c r="H242" i="20"/>
  <c r="G242" i="20"/>
  <c r="F242" i="20"/>
  <c r="K242" i="20" s="1"/>
  <c r="H241" i="20"/>
  <c r="G241" i="20"/>
  <c r="F241" i="20"/>
  <c r="H240" i="20"/>
  <c r="G240" i="20"/>
  <c r="F240" i="20"/>
  <c r="H239" i="20"/>
  <c r="G239" i="20"/>
  <c r="F239" i="20"/>
  <c r="H238" i="20"/>
  <c r="G238" i="20"/>
  <c r="F238" i="20"/>
  <c r="K238" i="20" s="1"/>
  <c r="H237" i="20"/>
  <c r="G237" i="20"/>
  <c r="F237" i="20"/>
  <c r="H236" i="20"/>
  <c r="G236" i="20"/>
  <c r="F236" i="20"/>
  <c r="H235" i="20"/>
  <c r="G235" i="20"/>
  <c r="F235" i="20"/>
  <c r="H234" i="20"/>
  <c r="G234" i="20"/>
  <c r="F234" i="20"/>
  <c r="H233" i="20"/>
  <c r="G233" i="20"/>
  <c r="F233" i="20"/>
  <c r="K233" i="20" s="1"/>
  <c r="H232" i="20"/>
  <c r="G232" i="20"/>
  <c r="F232" i="20"/>
  <c r="H231" i="20"/>
  <c r="G231" i="20"/>
  <c r="F231" i="20"/>
  <c r="K231" i="20" s="1"/>
  <c r="H230" i="20"/>
  <c r="G230" i="20"/>
  <c r="F230" i="20"/>
  <c r="K230" i="20" s="1"/>
  <c r="H229" i="20"/>
  <c r="G229" i="20"/>
  <c r="F229" i="20"/>
  <c r="H228" i="20"/>
  <c r="G228" i="20"/>
  <c r="F228" i="20"/>
  <c r="H227" i="20"/>
  <c r="G227" i="20"/>
  <c r="F227" i="20"/>
  <c r="H226" i="20"/>
  <c r="G226" i="20"/>
  <c r="F226" i="20"/>
  <c r="K226" i="20" s="1"/>
  <c r="H225" i="20"/>
  <c r="G225" i="20"/>
  <c r="F225" i="20"/>
  <c r="H224" i="20"/>
  <c r="G224" i="20"/>
  <c r="F224" i="20"/>
  <c r="H223" i="20"/>
  <c r="G223" i="20"/>
  <c r="F223" i="20"/>
  <c r="H222" i="20"/>
  <c r="G222" i="20"/>
  <c r="F222" i="20"/>
  <c r="H221" i="20"/>
  <c r="G221" i="20"/>
  <c r="F221" i="20"/>
  <c r="K221" i="20" s="1"/>
  <c r="H220" i="20"/>
  <c r="G220" i="20"/>
  <c r="F220" i="20"/>
  <c r="K220" i="20" s="1"/>
  <c r="H219" i="20"/>
  <c r="G219" i="20"/>
  <c r="F219" i="20"/>
  <c r="K219" i="20" s="1"/>
  <c r="H218" i="20"/>
  <c r="G218" i="20"/>
  <c r="F218" i="20"/>
  <c r="K218" i="20" s="1"/>
  <c r="H217" i="20"/>
  <c r="G217" i="20"/>
  <c r="F217" i="20"/>
  <c r="H216" i="20"/>
  <c r="G216" i="20"/>
  <c r="F216" i="20"/>
  <c r="K216" i="20" s="1"/>
  <c r="H215" i="20"/>
  <c r="G215" i="20"/>
  <c r="F215" i="20"/>
  <c r="H214" i="20"/>
  <c r="G214" i="20"/>
  <c r="F214" i="20"/>
  <c r="K214" i="20" s="1"/>
  <c r="H213" i="20"/>
  <c r="G213" i="20"/>
  <c r="F213" i="20"/>
  <c r="H212" i="20"/>
  <c r="G212" i="20"/>
  <c r="F212" i="20"/>
  <c r="H211" i="20"/>
  <c r="G211" i="20"/>
  <c r="F211" i="20"/>
  <c r="H210" i="20"/>
  <c r="G210" i="20"/>
  <c r="F210" i="20"/>
  <c r="H209" i="20"/>
  <c r="G209" i="20"/>
  <c r="F209" i="20"/>
  <c r="K209" i="20" s="1"/>
  <c r="H208" i="20"/>
  <c r="G208" i="20"/>
  <c r="F208" i="20"/>
  <c r="K208" i="20" s="1"/>
  <c r="H207" i="20"/>
  <c r="G207" i="20"/>
  <c r="F207" i="20"/>
  <c r="H206" i="20"/>
  <c r="G206" i="20"/>
  <c r="F206" i="20"/>
  <c r="K206" i="20" s="1"/>
  <c r="H205" i="20"/>
  <c r="G205" i="20"/>
  <c r="F205" i="20"/>
  <c r="H204" i="20"/>
  <c r="G204" i="20"/>
  <c r="F204" i="20"/>
  <c r="K204" i="20" s="1"/>
  <c r="H203" i="20"/>
  <c r="G203" i="20"/>
  <c r="F203" i="20"/>
  <c r="H202" i="20"/>
  <c r="G202" i="20"/>
  <c r="F202" i="20"/>
  <c r="K202" i="20" s="1"/>
  <c r="H201" i="20"/>
  <c r="G201" i="20"/>
  <c r="F201" i="20"/>
  <c r="H200" i="20"/>
  <c r="G200" i="20"/>
  <c r="F200" i="20"/>
  <c r="H199" i="20"/>
  <c r="G199" i="20"/>
  <c r="F199" i="20"/>
  <c r="H198" i="20"/>
  <c r="G198" i="20"/>
  <c r="F198" i="20"/>
  <c r="H197" i="20"/>
  <c r="G197" i="20"/>
  <c r="F197" i="20"/>
  <c r="K197" i="20" s="1"/>
  <c r="H196" i="20"/>
  <c r="G196" i="20"/>
  <c r="F196" i="20"/>
  <c r="K196" i="20" s="1"/>
  <c r="H195" i="20"/>
  <c r="G195" i="20"/>
  <c r="F195" i="20"/>
  <c r="K195" i="20" s="1"/>
  <c r="H194" i="20"/>
  <c r="G194" i="20"/>
  <c r="F194" i="20"/>
  <c r="K194" i="20" s="1"/>
  <c r="H193" i="20"/>
  <c r="G193" i="20"/>
  <c r="F193" i="20"/>
  <c r="H192" i="20"/>
  <c r="G192" i="20"/>
  <c r="F192" i="20"/>
  <c r="H191" i="20"/>
  <c r="G191" i="20"/>
  <c r="F191" i="20"/>
  <c r="H190" i="20"/>
  <c r="G190" i="20"/>
  <c r="F190" i="20"/>
  <c r="K190" i="20" s="1"/>
  <c r="H189" i="20"/>
  <c r="G189" i="20"/>
  <c r="F189" i="20"/>
  <c r="K189" i="20" s="1"/>
  <c r="H188" i="20"/>
  <c r="G188" i="20"/>
  <c r="F188" i="20"/>
  <c r="H187" i="20"/>
  <c r="G187" i="20"/>
  <c r="F187" i="20"/>
  <c r="H186" i="20"/>
  <c r="G186" i="20"/>
  <c r="F186" i="20"/>
  <c r="H185" i="20"/>
  <c r="G185" i="20"/>
  <c r="F185" i="20"/>
  <c r="K185" i="20" s="1"/>
  <c r="H184" i="20"/>
  <c r="G184" i="20"/>
  <c r="F184" i="20"/>
  <c r="K184" i="20" s="1"/>
  <c r="H183" i="20"/>
  <c r="G183" i="20"/>
  <c r="F183" i="20"/>
  <c r="K183" i="20" s="1"/>
  <c r="H182" i="20"/>
  <c r="G182" i="20"/>
  <c r="F182" i="20"/>
  <c r="K182" i="20" s="1"/>
  <c r="H181" i="20"/>
  <c r="G181" i="20"/>
  <c r="F181" i="20"/>
  <c r="H180" i="20"/>
  <c r="G180" i="20"/>
  <c r="F180" i="20"/>
  <c r="H179" i="20"/>
  <c r="G179" i="20"/>
  <c r="F179" i="20"/>
  <c r="K179" i="20" s="1"/>
  <c r="H178" i="20"/>
  <c r="G178" i="20"/>
  <c r="F178" i="20"/>
  <c r="H177" i="20"/>
  <c r="G177" i="20"/>
  <c r="F177" i="20"/>
  <c r="K177" i="20" s="1"/>
  <c r="H176" i="20"/>
  <c r="G176" i="20"/>
  <c r="F176" i="20"/>
  <c r="H175" i="20"/>
  <c r="G175" i="20"/>
  <c r="F175" i="20"/>
  <c r="H174" i="20"/>
  <c r="G174" i="20"/>
  <c r="F174" i="20"/>
  <c r="H173" i="20"/>
  <c r="G173" i="20"/>
  <c r="F173" i="20"/>
  <c r="H172" i="20"/>
  <c r="G172" i="20"/>
  <c r="F172" i="20"/>
  <c r="H171" i="20"/>
  <c r="G171" i="20"/>
  <c r="F171" i="20"/>
  <c r="K171" i="20" s="1"/>
  <c r="H170" i="20"/>
  <c r="G170" i="20"/>
  <c r="F170" i="20"/>
  <c r="K170" i="20" s="1"/>
  <c r="H169" i="20"/>
  <c r="G169" i="20"/>
  <c r="F169" i="20"/>
  <c r="H168" i="20"/>
  <c r="G168" i="20"/>
  <c r="F168" i="20"/>
  <c r="H167" i="20"/>
  <c r="G167" i="20"/>
  <c r="F167" i="20"/>
  <c r="K167" i="20" s="1"/>
  <c r="H166" i="20"/>
  <c r="G166" i="20"/>
  <c r="F166" i="20"/>
  <c r="H165" i="20"/>
  <c r="G165" i="20"/>
  <c r="F165" i="20"/>
  <c r="K165" i="20" s="1"/>
  <c r="H164" i="20"/>
  <c r="G164" i="20"/>
  <c r="F164" i="20"/>
  <c r="H163" i="20"/>
  <c r="G163" i="20"/>
  <c r="F163" i="20"/>
  <c r="H162" i="20"/>
  <c r="G162" i="20"/>
  <c r="F162" i="20"/>
  <c r="H161" i="20"/>
  <c r="G161" i="20"/>
  <c r="F161" i="20"/>
  <c r="H160" i="20"/>
  <c r="G160" i="20"/>
  <c r="F160" i="20"/>
  <c r="H159" i="20"/>
  <c r="G159" i="20"/>
  <c r="F159" i="20"/>
  <c r="K159" i="20" s="1"/>
  <c r="H158" i="20"/>
  <c r="G158" i="20"/>
  <c r="F158" i="20"/>
  <c r="K158" i="20" s="1"/>
  <c r="H157" i="20"/>
  <c r="G157" i="20"/>
  <c r="F157" i="20"/>
  <c r="H156" i="20"/>
  <c r="G156" i="20"/>
  <c r="F156" i="20"/>
  <c r="H155" i="20"/>
  <c r="G155" i="20"/>
  <c r="F155" i="20"/>
  <c r="H154" i="20"/>
  <c r="G154" i="20"/>
  <c r="F154" i="20"/>
  <c r="H153" i="20"/>
  <c r="G153" i="20"/>
  <c r="F153" i="20"/>
  <c r="K153" i="20" s="1"/>
  <c r="H152" i="20"/>
  <c r="G152" i="20"/>
  <c r="F152" i="20"/>
  <c r="H151" i="20"/>
  <c r="G151" i="20"/>
  <c r="F151" i="20"/>
  <c r="H150" i="20"/>
  <c r="G150" i="20"/>
  <c r="F150" i="20"/>
  <c r="H149" i="20"/>
  <c r="G149" i="20"/>
  <c r="F149" i="20"/>
  <c r="K149" i="20" s="1"/>
  <c r="H148" i="20"/>
  <c r="G148" i="20"/>
  <c r="F148" i="20"/>
  <c r="H147" i="20"/>
  <c r="G147" i="20"/>
  <c r="F147" i="20"/>
  <c r="K147" i="20" s="1"/>
  <c r="H146" i="20"/>
  <c r="G146" i="20"/>
  <c r="F146" i="20"/>
  <c r="K146" i="20" s="1"/>
  <c r="H145" i="20"/>
  <c r="G145" i="20"/>
  <c r="F145" i="20"/>
  <c r="H144" i="20"/>
  <c r="G144" i="20"/>
  <c r="F144" i="20"/>
  <c r="K144" i="20" s="1"/>
  <c r="H143" i="20"/>
  <c r="G143" i="20"/>
  <c r="F143" i="20"/>
  <c r="H142" i="20"/>
  <c r="G142" i="20"/>
  <c r="F142" i="20"/>
  <c r="K142" i="20" s="1"/>
  <c r="H141" i="20"/>
  <c r="G141" i="20"/>
  <c r="F141" i="20"/>
  <c r="K141" i="20" s="1"/>
  <c r="H140" i="20"/>
  <c r="G140" i="20"/>
  <c r="F140" i="20"/>
  <c r="H139" i="20"/>
  <c r="G139" i="20"/>
  <c r="F139" i="20"/>
  <c r="H138" i="20"/>
  <c r="G138" i="20"/>
  <c r="F138" i="20"/>
  <c r="H137" i="20"/>
  <c r="G137" i="20"/>
  <c r="F137" i="20"/>
  <c r="K137" i="20" s="1"/>
  <c r="H136" i="20"/>
  <c r="G136" i="20"/>
  <c r="F136" i="20"/>
  <c r="K136" i="20" s="1"/>
  <c r="H135" i="20"/>
  <c r="G135" i="20"/>
  <c r="F135" i="20"/>
  <c r="H134" i="20"/>
  <c r="G134" i="20"/>
  <c r="F134" i="20"/>
  <c r="K134" i="20" s="1"/>
  <c r="H133" i="20"/>
  <c r="G133" i="20"/>
  <c r="F133" i="20"/>
  <c r="H132" i="20"/>
  <c r="G132" i="20"/>
  <c r="F132" i="20"/>
  <c r="K132" i="20" s="1"/>
  <c r="H131" i="20"/>
  <c r="G131" i="20"/>
  <c r="F131" i="20"/>
  <c r="H130" i="20"/>
  <c r="G130" i="20"/>
  <c r="F130" i="20"/>
  <c r="K130" i="20" s="1"/>
  <c r="H129" i="20"/>
  <c r="G129" i="20"/>
  <c r="F129" i="20"/>
  <c r="K129" i="20" s="1"/>
  <c r="H128" i="20"/>
  <c r="G128" i="20"/>
  <c r="F128" i="20"/>
  <c r="H127" i="20"/>
  <c r="G127" i="20"/>
  <c r="F127" i="20"/>
  <c r="H126" i="20"/>
  <c r="G126" i="20"/>
  <c r="F126" i="20"/>
  <c r="H125" i="20"/>
  <c r="G125" i="20"/>
  <c r="F125" i="20"/>
  <c r="K125" i="20" s="1"/>
  <c r="H124" i="20"/>
  <c r="G124" i="20"/>
  <c r="F124" i="20"/>
  <c r="K124" i="20" s="1"/>
  <c r="H123" i="20"/>
  <c r="G123" i="20"/>
  <c r="F123" i="20"/>
  <c r="H122" i="20"/>
  <c r="G122" i="20"/>
  <c r="F122" i="20"/>
  <c r="K122" i="20" s="1"/>
  <c r="H121" i="20"/>
  <c r="G121" i="20"/>
  <c r="F121" i="20"/>
  <c r="H120" i="20"/>
  <c r="G120" i="20"/>
  <c r="F120" i="20"/>
  <c r="H119" i="20"/>
  <c r="G119" i="20"/>
  <c r="F119" i="20"/>
  <c r="H118" i="20"/>
  <c r="G118" i="20"/>
  <c r="F118" i="20"/>
  <c r="K118" i="20" s="1"/>
  <c r="H117" i="20"/>
  <c r="G117" i="20"/>
  <c r="F117" i="20"/>
  <c r="H116" i="20"/>
  <c r="G116" i="20"/>
  <c r="F116" i="20"/>
  <c r="H115" i="20"/>
  <c r="G115" i="20"/>
  <c r="F115" i="20"/>
  <c r="H114" i="20"/>
  <c r="G114" i="20"/>
  <c r="F114" i="20"/>
  <c r="H113" i="20"/>
  <c r="G113" i="20"/>
  <c r="F113" i="20"/>
  <c r="H112" i="20"/>
  <c r="G112" i="20"/>
  <c r="F112" i="20"/>
  <c r="H111" i="20"/>
  <c r="G111" i="20"/>
  <c r="F111" i="20"/>
  <c r="K111" i="20" s="1"/>
  <c r="H110" i="20"/>
  <c r="G110" i="20"/>
  <c r="F110" i="20"/>
  <c r="K110" i="20" s="1"/>
  <c r="H109" i="20"/>
  <c r="G109" i="20"/>
  <c r="F109" i="20"/>
  <c r="H108" i="20"/>
  <c r="G108" i="20"/>
  <c r="F108" i="20"/>
  <c r="H107" i="20"/>
  <c r="G107" i="20"/>
  <c r="F107" i="20"/>
  <c r="H106" i="20"/>
  <c r="G106" i="20"/>
  <c r="F106" i="20"/>
  <c r="K106" i="20" s="1"/>
  <c r="H105" i="20"/>
  <c r="G105" i="20"/>
  <c r="F105" i="20"/>
  <c r="K105" i="20" s="1"/>
  <c r="H104" i="20"/>
  <c r="G104" i="20"/>
  <c r="F104" i="20"/>
  <c r="H103" i="20"/>
  <c r="G103" i="20"/>
  <c r="F103" i="20"/>
  <c r="H102" i="20"/>
  <c r="G102" i="20"/>
  <c r="F102" i="20"/>
  <c r="H101" i="20"/>
  <c r="G101" i="20"/>
  <c r="F101" i="20"/>
  <c r="H100" i="20"/>
  <c r="G100" i="20"/>
  <c r="F100" i="20"/>
  <c r="K100" i="20" s="1"/>
  <c r="H99" i="20"/>
  <c r="G99" i="20"/>
  <c r="F99" i="20"/>
  <c r="K99" i="20" s="1"/>
  <c r="H98" i="20"/>
  <c r="G98" i="20"/>
  <c r="F98" i="20"/>
  <c r="H97" i="20"/>
  <c r="G97" i="20"/>
  <c r="F97" i="20"/>
  <c r="H96" i="20"/>
  <c r="G96" i="20"/>
  <c r="F96" i="20"/>
  <c r="H95" i="20"/>
  <c r="G95" i="20"/>
  <c r="F95" i="20"/>
  <c r="K95" i="20" s="1"/>
  <c r="H94" i="20"/>
  <c r="G94" i="20"/>
  <c r="F94" i="20"/>
  <c r="K94" i="20" s="1"/>
  <c r="H93" i="20"/>
  <c r="G93" i="20"/>
  <c r="F93" i="20"/>
  <c r="K93" i="20" s="1"/>
  <c r="H92" i="20"/>
  <c r="G92" i="20"/>
  <c r="F92" i="20"/>
  <c r="H91" i="20"/>
  <c r="G91" i="20"/>
  <c r="F91" i="20"/>
  <c r="H90" i="20"/>
  <c r="G90" i="20"/>
  <c r="F90" i="20"/>
  <c r="H89" i="20"/>
  <c r="G89" i="20"/>
  <c r="F89" i="20"/>
  <c r="H88" i="20"/>
  <c r="G88" i="20"/>
  <c r="F88" i="20"/>
  <c r="H87" i="20"/>
  <c r="G87" i="20"/>
  <c r="F87" i="20"/>
  <c r="K87" i="20" s="1"/>
  <c r="H86" i="20"/>
  <c r="G86" i="20"/>
  <c r="F86" i="20"/>
  <c r="H85" i="20"/>
  <c r="G85" i="20"/>
  <c r="F85" i="20"/>
  <c r="H84" i="20"/>
  <c r="G84" i="20"/>
  <c r="F84" i="20"/>
  <c r="H83" i="20"/>
  <c r="G83" i="20"/>
  <c r="F83" i="20"/>
  <c r="H82" i="20"/>
  <c r="G82" i="20"/>
  <c r="F82" i="20"/>
  <c r="K82" i="20" s="1"/>
  <c r="H81" i="20"/>
  <c r="G81" i="20"/>
  <c r="F81" i="20"/>
  <c r="H80" i="20"/>
  <c r="G80" i="20"/>
  <c r="F80" i="20"/>
  <c r="K80" i="20" s="1"/>
  <c r="H79" i="20"/>
  <c r="G79" i="20"/>
  <c r="F79" i="20"/>
  <c r="K79" i="20" s="1"/>
  <c r="H78" i="20"/>
  <c r="G78" i="20"/>
  <c r="F78" i="20"/>
  <c r="H77" i="20"/>
  <c r="G77" i="20"/>
  <c r="F77" i="20"/>
  <c r="K77" i="20" s="1"/>
  <c r="H76" i="20"/>
  <c r="G76" i="20"/>
  <c r="F76" i="20"/>
  <c r="K76" i="20" s="1"/>
  <c r="H75" i="20"/>
  <c r="G75" i="20"/>
  <c r="F75" i="20"/>
  <c r="K75" i="20" s="1"/>
  <c r="H74" i="20"/>
  <c r="G74" i="20"/>
  <c r="F74" i="20"/>
  <c r="K74" i="20" s="1"/>
  <c r="H73" i="20"/>
  <c r="G73" i="20"/>
  <c r="F73" i="20"/>
  <c r="H72" i="20"/>
  <c r="G72" i="20"/>
  <c r="F72" i="20"/>
  <c r="H71" i="20"/>
  <c r="G71" i="20"/>
  <c r="F71" i="20"/>
  <c r="H70" i="20"/>
  <c r="G70" i="20"/>
  <c r="F70" i="20"/>
  <c r="K70" i="20" s="1"/>
  <c r="H69" i="20"/>
  <c r="G69" i="20"/>
  <c r="F69" i="20"/>
  <c r="H68" i="20"/>
  <c r="G68" i="20"/>
  <c r="F68" i="20"/>
  <c r="K68" i="20" s="1"/>
  <c r="H67" i="20"/>
  <c r="G67" i="20"/>
  <c r="F67" i="20"/>
  <c r="K67" i="20" s="1"/>
  <c r="H66" i="20"/>
  <c r="G66" i="20"/>
  <c r="F66" i="20"/>
  <c r="H65" i="20"/>
  <c r="G65" i="20"/>
  <c r="F65" i="20"/>
  <c r="H64" i="20"/>
  <c r="G64" i="20"/>
  <c r="F64" i="20"/>
  <c r="K64" i="20" s="1"/>
  <c r="H63" i="20"/>
  <c r="G63" i="20"/>
  <c r="F63" i="20"/>
  <c r="K63" i="20" s="1"/>
  <c r="H62" i="20"/>
  <c r="G62" i="20"/>
  <c r="F62" i="20"/>
  <c r="K62" i="20" s="1"/>
  <c r="H61" i="20"/>
  <c r="G61" i="20"/>
  <c r="F61" i="20"/>
  <c r="H60" i="20"/>
  <c r="G60" i="20"/>
  <c r="F60" i="20"/>
  <c r="H59" i="20"/>
  <c r="G59" i="20"/>
  <c r="F59" i="20"/>
  <c r="H58" i="20"/>
  <c r="G58" i="20"/>
  <c r="F58" i="20"/>
  <c r="K58" i="20" s="1"/>
  <c r="H57" i="20"/>
  <c r="G57" i="20"/>
  <c r="F57" i="20"/>
  <c r="K57" i="20" s="1"/>
  <c r="H56" i="20"/>
  <c r="G56" i="20"/>
  <c r="F56" i="20"/>
  <c r="H55" i="20"/>
  <c r="G55" i="20"/>
  <c r="F55" i="20"/>
  <c r="K55" i="20" s="1"/>
  <c r="H54" i="20"/>
  <c r="G54" i="20"/>
  <c r="F54" i="20"/>
  <c r="H53" i="20"/>
  <c r="G53" i="20"/>
  <c r="F53" i="20"/>
  <c r="H52" i="20"/>
  <c r="G52" i="20"/>
  <c r="F52" i="20"/>
  <c r="K52" i="20" s="1"/>
  <c r="H51" i="20"/>
  <c r="G51" i="20"/>
  <c r="F51" i="20"/>
  <c r="K51" i="20" s="1"/>
  <c r="H50" i="20"/>
  <c r="G50" i="20"/>
  <c r="F50" i="20"/>
  <c r="H49" i="20"/>
  <c r="G49" i="20"/>
  <c r="F49" i="20"/>
  <c r="H48" i="20"/>
  <c r="G48" i="20"/>
  <c r="F48" i="20"/>
  <c r="H47" i="20"/>
  <c r="G47" i="20"/>
  <c r="F47" i="20"/>
  <c r="H46" i="20"/>
  <c r="G46" i="20"/>
  <c r="F46" i="20"/>
  <c r="H45" i="20"/>
  <c r="G45" i="20"/>
  <c r="F45" i="20"/>
  <c r="K45" i="20" s="1"/>
  <c r="H44" i="20"/>
  <c r="G44" i="20"/>
  <c r="F44" i="20"/>
  <c r="K44" i="20" s="1"/>
  <c r="H43" i="20"/>
  <c r="G43" i="20"/>
  <c r="F43" i="20"/>
  <c r="K43" i="20" s="1"/>
  <c r="H42" i="20"/>
  <c r="G42" i="20"/>
  <c r="F42" i="20"/>
  <c r="H41" i="20"/>
  <c r="G41" i="20"/>
  <c r="F41" i="20"/>
  <c r="K41" i="20" s="1"/>
  <c r="H40" i="20"/>
  <c r="G40" i="20"/>
  <c r="F40" i="20"/>
  <c r="H39" i="20"/>
  <c r="G39" i="20"/>
  <c r="F39" i="20"/>
  <c r="K39" i="20" s="1"/>
  <c r="H38" i="20"/>
  <c r="G38" i="20"/>
  <c r="F38" i="20"/>
  <c r="K38" i="20" s="1"/>
  <c r="H37" i="20"/>
  <c r="G37" i="20"/>
  <c r="F37" i="20"/>
  <c r="H36" i="20"/>
  <c r="G36" i="20"/>
  <c r="F36" i="20"/>
  <c r="H35" i="20"/>
  <c r="G35" i="20"/>
  <c r="F35" i="20"/>
  <c r="H34" i="20"/>
  <c r="G34" i="20"/>
  <c r="F34" i="20"/>
  <c r="K34" i="20" s="1"/>
  <c r="H33" i="20"/>
  <c r="G33" i="20"/>
  <c r="F33" i="20"/>
  <c r="K33" i="20" s="1"/>
  <c r="H32" i="20"/>
  <c r="G32" i="20"/>
  <c r="F32" i="20"/>
  <c r="K32" i="20" s="1"/>
  <c r="H31" i="20"/>
  <c r="G31" i="20"/>
  <c r="F31" i="20"/>
  <c r="K31" i="20" s="1"/>
  <c r="H30" i="20"/>
  <c r="G30" i="20"/>
  <c r="F30" i="20"/>
  <c r="H29" i="20"/>
  <c r="G29" i="20"/>
  <c r="F29" i="20"/>
  <c r="K29" i="20" s="1"/>
  <c r="H28" i="20"/>
  <c r="G28" i="20"/>
  <c r="F28" i="20"/>
  <c r="K28" i="20" s="1"/>
  <c r="H27" i="20"/>
  <c r="G27" i="20"/>
  <c r="F27" i="20"/>
  <c r="K27" i="20" s="1"/>
  <c r="H26" i="20"/>
  <c r="G26" i="20"/>
  <c r="F26" i="20"/>
  <c r="K26" i="20" s="1"/>
  <c r="H25" i="20"/>
  <c r="G25" i="20"/>
  <c r="F25" i="20"/>
  <c r="H24" i="20"/>
  <c r="G24" i="20"/>
  <c r="F24" i="20"/>
  <c r="F23" i="20"/>
  <c r="J23" i="20" s="1"/>
  <c r="F22" i="20"/>
  <c r="J22" i="20" s="1"/>
  <c r="F21" i="20"/>
  <c r="J21" i="20" s="1"/>
  <c r="F20" i="20"/>
  <c r="J20" i="20" s="1"/>
  <c r="F19" i="20"/>
  <c r="J19" i="20" s="1"/>
  <c r="F18" i="20"/>
  <c r="J18" i="20" s="1"/>
  <c r="F17" i="20"/>
  <c r="J17" i="20" s="1"/>
  <c r="F16" i="20"/>
  <c r="J16" i="20" s="1"/>
  <c r="F15" i="20"/>
  <c r="J15" i="20" s="1"/>
  <c r="F14" i="20"/>
  <c r="J14" i="20" s="1"/>
  <c r="F13" i="20"/>
  <c r="J13" i="20" s="1"/>
  <c r="F12" i="20"/>
  <c r="J12" i="20" s="1"/>
  <c r="F11" i="20"/>
  <c r="J11" i="20" s="1"/>
  <c r="F10" i="20"/>
  <c r="J10" i="20" s="1"/>
  <c r="F9" i="20"/>
  <c r="J9" i="20" s="1"/>
  <c r="F8" i="20"/>
  <c r="J8" i="20" s="1"/>
  <c r="F7" i="20"/>
  <c r="J7" i="20" s="1"/>
  <c r="F6" i="20"/>
  <c r="J6" i="20" s="1"/>
  <c r="I34" i="20" l="1"/>
  <c r="I189" i="20"/>
  <c r="I67" i="20"/>
  <c r="E18" i="24"/>
  <c r="E19" i="24" s="1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I251" i="20"/>
  <c r="I46" i="20"/>
  <c r="I119" i="20"/>
  <c r="I250" i="20"/>
  <c r="I324" i="20"/>
  <c r="I336" i="20"/>
  <c r="I351" i="20"/>
  <c r="I38" i="20"/>
  <c r="I112" i="20"/>
  <c r="I177" i="20"/>
  <c r="I227" i="20"/>
  <c r="K250" i="20"/>
  <c r="O31" i="6"/>
  <c r="I45" i="20"/>
  <c r="I88" i="20"/>
  <c r="I143" i="20"/>
  <c r="I148" i="20"/>
  <c r="I156" i="20"/>
  <c r="I207" i="20"/>
  <c r="I215" i="20"/>
  <c r="I228" i="20"/>
  <c r="I232" i="20"/>
  <c r="I304" i="20"/>
  <c r="I365" i="20"/>
  <c r="I345" i="20"/>
  <c r="I60" i="20"/>
  <c r="I131" i="20"/>
  <c r="I195" i="20"/>
  <c r="I249" i="20"/>
  <c r="I275" i="20"/>
  <c r="I309" i="20"/>
  <c r="I317" i="20"/>
  <c r="I322" i="20"/>
  <c r="I334" i="20"/>
  <c r="K232" i="20"/>
  <c r="I52" i="20"/>
  <c r="I71" i="20"/>
  <c r="I89" i="20"/>
  <c r="I96" i="20"/>
  <c r="I101" i="20"/>
  <c r="I154" i="20"/>
  <c r="I155" i="20"/>
  <c r="I240" i="20"/>
  <c r="I254" i="20"/>
  <c r="I261" i="20"/>
  <c r="I264" i="20"/>
  <c r="I285" i="20"/>
  <c r="I323" i="20"/>
  <c r="I51" i="20"/>
  <c r="I87" i="20"/>
  <c r="I93" i="20"/>
  <c r="I130" i="20"/>
  <c r="I184" i="20"/>
  <c r="I238" i="20"/>
  <c r="I24" i="20"/>
  <c r="F368" i="20"/>
  <c r="I31" i="20"/>
  <c r="I35" i="20"/>
  <c r="I70" i="20"/>
  <c r="I81" i="20"/>
  <c r="K89" i="20"/>
  <c r="I100" i="20"/>
  <c r="I124" i="20"/>
  <c r="K154" i="20"/>
  <c r="I161" i="20"/>
  <c r="I226" i="20"/>
  <c r="I118" i="20"/>
  <c r="I220" i="20"/>
  <c r="I279" i="20"/>
  <c r="I297" i="20"/>
  <c r="I136" i="20"/>
  <c r="I158" i="20"/>
  <c r="I173" i="20"/>
  <c r="I180" i="20"/>
  <c r="I239" i="20"/>
  <c r="K304" i="20"/>
  <c r="K334" i="20"/>
  <c r="I338" i="20"/>
  <c r="K351" i="20"/>
  <c r="I64" i="20"/>
  <c r="I218" i="20"/>
  <c r="I28" i="20"/>
  <c r="I83" i="20"/>
  <c r="I120" i="20"/>
  <c r="I170" i="20"/>
  <c r="I273" i="20"/>
  <c r="K309" i="20"/>
  <c r="I328" i="20"/>
  <c r="I214" i="20"/>
  <c r="I141" i="20"/>
  <c r="I47" i="20"/>
  <c r="I57" i="20"/>
  <c r="I65" i="20"/>
  <c r="I76" i="20"/>
  <c r="I105" i="20"/>
  <c r="I113" i="20"/>
  <c r="K148" i="20"/>
  <c r="K207" i="20"/>
  <c r="I244" i="20"/>
  <c r="I252" i="20"/>
  <c r="I329" i="20"/>
  <c r="I333" i="20"/>
  <c r="I340" i="20"/>
  <c r="I350" i="20"/>
  <c r="I221" i="20"/>
  <c r="I291" i="20"/>
  <c r="I298" i="20"/>
  <c r="I84" i="20"/>
  <c r="I95" i="20"/>
  <c r="I142" i="20"/>
  <c r="I168" i="20"/>
  <c r="K56" i="20"/>
  <c r="I56" i="20"/>
  <c r="K53" i="20"/>
  <c r="I53" i="20"/>
  <c r="I208" i="20"/>
  <c r="K251" i="20"/>
  <c r="I39" i="20"/>
  <c r="I202" i="20"/>
  <c r="I363" i="20"/>
  <c r="I26" i="20"/>
  <c r="K92" i="20"/>
  <c r="I92" i="20"/>
  <c r="K161" i="20"/>
  <c r="K213" i="20"/>
  <c r="I213" i="20"/>
  <c r="I242" i="20"/>
  <c r="K81" i="20"/>
  <c r="K88" i="20"/>
  <c r="I165" i="20"/>
  <c r="K172" i="20"/>
  <c r="I172" i="20"/>
  <c r="I203" i="20"/>
  <c r="K203" i="20"/>
  <c r="I286" i="20"/>
  <c r="K293" i="20"/>
  <c r="I293" i="20"/>
  <c r="I316" i="20"/>
  <c r="K333" i="20"/>
  <c r="K40" i="20"/>
  <c r="I40" i="20"/>
  <c r="I75" i="20"/>
  <c r="K86" i="20"/>
  <c r="I86" i="20"/>
  <c r="K155" i="20"/>
  <c r="I183" i="20"/>
  <c r="K249" i="20"/>
  <c r="I290" i="20"/>
  <c r="K323" i="20"/>
  <c r="I327" i="20"/>
  <c r="I357" i="20"/>
  <c r="K364" i="20"/>
  <c r="I364" i="20"/>
  <c r="I33" i="20"/>
  <c r="K112" i="20"/>
  <c r="K119" i="20"/>
  <c r="I149" i="20"/>
  <c r="K166" i="20"/>
  <c r="I166" i="20"/>
  <c r="I196" i="20"/>
  <c r="K237" i="20"/>
  <c r="I237" i="20"/>
  <c r="I243" i="20"/>
  <c r="I287" i="20"/>
  <c r="K287" i="20"/>
  <c r="I310" i="20"/>
  <c r="K321" i="20"/>
  <c r="I321" i="20"/>
  <c r="I27" i="20"/>
  <c r="I62" i="20"/>
  <c r="I69" i="20"/>
  <c r="K69" i="20"/>
  <c r="K117" i="20"/>
  <c r="I117" i="20"/>
  <c r="I233" i="20"/>
  <c r="I267" i="20"/>
  <c r="I280" i="20"/>
  <c r="K358" i="20"/>
  <c r="I358" i="20"/>
  <c r="I106" i="20"/>
  <c r="I110" i="20"/>
  <c r="K143" i="20"/>
  <c r="I147" i="20"/>
  <c r="I153" i="20"/>
  <c r="K160" i="20"/>
  <c r="I160" i="20"/>
  <c r="I190" i="20"/>
  <c r="I194" i="20"/>
  <c r="K201" i="20"/>
  <c r="I201" i="20"/>
  <c r="I274" i="20"/>
  <c r="I311" i="20"/>
  <c r="K311" i="20"/>
  <c r="I314" i="20"/>
  <c r="I107" i="20"/>
  <c r="K107" i="20"/>
  <c r="I191" i="20"/>
  <c r="K191" i="20"/>
  <c r="K225" i="20"/>
  <c r="I225" i="20"/>
  <c r="K305" i="20"/>
  <c r="I305" i="20"/>
  <c r="K135" i="20"/>
  <c r="I135" i="20"/>
  <c r="K178" i="20"/>
  <c r="I178" i="20"/>
  <c r="K262" i="20"/>
  <c r="I262" i="20"/>
  <c r="I302" i="20"/>
  <c r="K346" i="20"/>
  <c r="I346" i="20"/>
  <c r="K50" i="20"/>
  <c r="I50" i="20"/>
  <c r="I74" i="20"/>
  <c r="K98" i="20"/>
  <c r="I98" i="20"/>
  <c r="K131" i="20"/>
  <c r="I171" i="20"/>
  <c r="I255" i="20"/>
  <c r="I326" i="20"/>
  <c r="I94" i="20"/>
  <c r="I122" i="20"/>
  <c r="K215" i="20"/>
  <c r="I292" i="20"/>
  <c r="I299" i="20"/>
  <c r="K299" i="20"/>
  <c r="I339" i="20"/>
  <c r="I206" i="20"/>
  <c r="I129" i="20"/>
  <c r="I146" i="20"/>
  <c r="K256" i="20"/>
  <c r="I256" i="20"/>
  <c r="I99" i="20"/>
  <c r="K123" i="20"/>
  <c r="I123" i="20"/>
  <c r="I159" i="20"/>
  <c r="I230" i="20"/>
  <c r="K239" i="20"/>
  <c r="I59" i="20"/>
  <c r="I134" i="20"/>
  <c r="I167" i="20"/>
  <c r="K227" i="20"/>
  <c r="I231" i="20"/>
  <c r="K268" i="20"/>
  <c r="I268" i="20"/>
  <c r="I335" i="20"/>
  <c r="I63" i="20"/>
  <c r="I219" i="20"/>
  <c r="I278" i="20"/>
  <c r="I182" i="20"/>
  <c r="I266" i="20"/>
  <c r="I111" i="20"/>
  <c r="I179" i="20"/>
  <c r="I263" i="20"/>
  <c r="I303" i="20"/>
  <c r="I312" i="20"/>
  <c r="I315" i="20"/>
  <c r="I352" i="20"/>
  <c r="I359" i="20"/>
  <c r="I362" i="20"/>
  <c r="I48" i="20"/>
  <c r="I108" i="20"/>
  <c r="I192" i="20"/>
  <c r="K275" i="20"/>
  <c r="I300" i="20"/>
  <c r="I347" i="20"/>
  <c r="K73" i="20"/>
  <c r="I73" i="20"/>
  <c r="K354" i="20"/>
  <c r="I354" i="20"/>
  <c r="K127" i="20"/>
  <c r="I127" i="20"/>
  <c r="K205" i="20"/>
  <c r="I205" i="20"/>
  <c r="K271" i="20"/>
  <c r="I271" i="20"/>
  <c r="K343" i="20"/>
  <c r="I343" i="20"/>
  <c r="I188" i="20"/>
  <c r="K188" i="20"/>
  <c r="K332" i="20"/>
  <c r="I332" i="20"/>
  <c r="K48" i="20"/>
  <c r="K54" i="20"/>
  <c r="I54" i="20"/>
  <c r="K84" i="20"/>
  <c r="K139" i="20"/>
  <c r="I139" i="20"/>
  <c r="K217" i="20"/>
  <c r="I217" i="20"/>
  <c r="K355" i="20"/>
  <c r="I355" i="20"/>
  <c r="K49" i="20"/>
  <c r="I49" i="20"/>
  <c r="K85" i="20"/>
  <c r="I85" i="20"/>
  <c r="K128" i="20"/>
  <c r="I128" i="20"/>
  <c r="K156" i="20"/>
  <c r="I200" i="20"/>
  <c r="K200" i="20"/>
  <c r="I245" i="20"/>
  <c r="K300" i="20"/>
  <c r="K344" i="20"/>
  <c r="I344" i="20"/>
  <c r="G368" i="20"/>
  <c r="I32" i="20"/>
  <c r="K151" i="20"/>
  <c r="I151" i="20"/>
  <c r="K173" i="20"/>
  <c r="K229" i="20"/>
  <c r="I229" i="20"/>
  <c r="K295" i="20"/>
  <c r="I295" i="20"/>
  <c r="K317" i="20"/>
  <c r="K65" i="20"/>
  <c r="I82" i="20"/>
  <c r="K91" i="20"/>
  <c r="I91" i="20"/>
  <c r="K168" i="20"/>
  <c r="K174" i="20"/>
  <c r="I174" i="20"/>
  <c r="I185" i="20"/>
  <c r="I257" i="20"/>
  <c r="K312" i="20"/>
  <c r="K318" i="20"/>
  <c r="I318" i="20"/>
  <c r="K24" i="20"/>
  <c r="K30" i="20"/>
  <c r="I30" i="20"/>
  <c r="K35" i="20"/>
  <c r="K46" i="20"/>
  <c r="K97" i="20"/>
  <c r="I97" i="20"/>
  <c r="K113" i="20"/>
  <c r="K163" i="20"/>
  <c r="I163" i="20"/>
  <c r="K169" i="20"/>
  <c r="I169" i="20"/>
  <c r="K235" i="20"/>
  <c r="I235" i="20"/>
  <c r="K241" i="20"/>
  <c r="I241" i="20"/>
  <c r="K307" i="20"/>
  <c r="I307" i="20"/>
  <c r="K313" i="20"/>
  <c r="I313" i="20"/>
  <c r="K329" i="20"/>
  <c r="K25" i="20"/>
  <c r="I25" i="20"/>
  <c r="I36" i="20"/>
  <c r="K61" i="20"/>
  <c r="I61" i="20"/>
  <c r="I72" i="20"/>
  <c r="K108" i="20"/>
  <c r="K114" i="20"/>
  <c r="I114" i="20"/>
  <c r="I125" i="20"/>
  <c r="I152" i="20"/>
  <c r="K152" i="20"/>
  <c r="K180" i="20"/>
  <c r="K186" i="20"/>
  <c r="I186" i="20"/>
  <c r="I197" i="20"/>
  <c r="I224" i="20"/>
  <c r="K224" i="20"/>
  <c r="K252" i="20"/>
  <c r="K258" i="20"/>
  <c r="I258" i="20"/>
  <c r="I269" i="20"/>
  <c r="I296" i="20"/>
  <c r="K296" i="20"/>
  <c r="K324" i="20"/>
  <c r="K330" i="20"/>
  <c r="I330" i="20"/>
  <c r="I341" i="20"/>
  <c r="K59" i="20"/>
  <c r="K145" i="20"/>
  <c r="I145" i="20"/>
  <c r="K211" i="20"/>
  <c r="I211" i="20"/>
  <c r="I79" i="20"/>
  <c r="K101" i="20"/>
  <c r="K60" i="20"/>
  <c r="K66" i="20"/>
  <c r="I66" i="20"/>
  <c r="K71" i="20"/>
  <c r="I41" i="20"/>
  <c r="I44" i="20"/>
  <c r="I55" i="20"/>
  <c r="I77" i="20"/>
  <c r="I80" i="20"/>
  <c r="K103" i="20"/>
  <c r="I103" i="20"/>
  <c r="K109" i="20"/>
  <c r="I109" i="20"/>
  <c r="I132" i="20"/>
  <c r="K175" i="20"/>
  <c r="I175" i="20"/>
  <c r="K181" i="20"/>
  <c r="I181" i="20"/>
  <c r="I204" i="20"/>
  <c r="K247" i="20"/>
  <c r="I247" i="20"/>
  <c r="K253" i="20"/>
  <c r="I253" i="20"/>
  <c r="I276" i="20"/>
  <c r="K319" i="20"/>
  <c r="I319" i="20"/>
  <c r="K325" i="20"/>
  <c r="I325" i="20"/>
  <c r="I348" i="20"/>
  <c r="K138" i="20"/>
  <c r="I138" i="20"/>
  <c r="K90" i="20"/>
  <c r="I90" i="20"/>
  <c r="K283" i="20"/>
  <c r="I283" i="20"/>
  <c r="K361" i="20"/>
  <c r="I361" i="20"/>
  <c r="K37" i="20"/>
  <c r="I37" i="20"/>
  <c r="K104" i="20"/>
  <c r="I104" i="20"/>
  <c r="K176" i="20"/>
  <c r="I176" i="20"/>
  <c r="K210" i="20"/>
  <c r="I210" i="20"/>
  <c r="K248" i="20"/>
  <c r="I248" i="20"/>
  <c r="K282" i="20"/>
  <c r="I282" i="20"/>
  <c r="K320" i="20"/>
  <c r="I320" i="20"/>
  <c r="K133" i="20"/>
  <c r="I133" i="20"/>
  <c r="K199" i="20"/>
  <c r="I199" i="20"/>
  <c r="K277" i="20"/>
  <c r="I277" i="20"/>
  <c r="K349" i="20"/>
  <c r="I349" i="20"/>
  <c r="I116" i="20"/>
  <c r="K116" i="20"/>
  <c r="K150" i="20"/>
  <c r="I150" i="20"/>
  <c r="K222" i="20"/>
  <c r="I222" i="20"/>
  <c r="I260" i="20"/>
  <c r="K260" i="20"/>
  <c r="K294" i="20"/>
  <c r="I294" i="20"/>
  <c r="K366" i="20"/>
  <c r="I366" i="20"/>
  <c r="K289" i="20"/>
  <c r="I289" i="20"/>
  <c r="K162" i="20"/>
  <c r="I162" i="20"/>
  <c r="K228" i="20"/>
  <c r="K234" i="20"/>
  <c r="I234" i="20"/>
  <c r="I272" i="20"/>
  <c r="K272" i="20"/>
  <c r="K306" i="20"/>
  <c r="I306" i="20"/>
  <c r="I29" i="20"/>
  <c r="I43" i="20"/>
  <c r="I68" i="20"/>
  <c r="K157" i="20"/>
  <c r="I157" i="20"/>
  <c r="K223" i="20"/>
  <c r="I223" i="20"/>
  <c r="K301" i="20"/>
  <c r="I301" i="20"/>
  <c r="K367" i="20"/>
  <c r="I367" i="20"/>
  <c r="K96" i="20"/>
  <c r="K102" i="20"/>
  <c r="I102" i="20"/>
  <c r="I140" i="20"/>
  <c r="K140" i="20"/>
  <c r="I212" i="20"/>
  <c r="K212" i="20"/>
  <c r="K240" i="20"/>
  <c r="K246" i="20"/>
  <c r="I246" i="20"/>
  <c r="K284" i="20"/>
  <c r="I284" i="20"/>
  <c r="K356" i="20"/>
  <c r="I356" i="20"/>
  <c r="I58" i="20"/>
  <c r="K120" i="20"/>
  <c r="K126" i="20"/>
  <c r="I126" i="20"/>
  <c r="I137" i="20"/>
  <c r="K164" i="20"/>
  <c r="I164" i="20"/>
  <c r="K192" i="20"/>
  <c r="K198" i="20"/>
  <c r="I198" i="20"/>
  <c r="I209" i="20"/>
  <c r="K236" i="20"/>
  <c r="I236" i="20"/>
  <c r="K264" i="20"/>
  <c r="K270" i="20"/>
  <c r="I270" i="20"/>
  <c r="I281" i="20"/>
  <c r="I308" i="20"/>
  <c r="K308" i="20"/>
  <c r="K336" i="20"/>
  <c r="K342" i="20"/>
  <c r="I342" i="20"/>
  <c r="I353" i="20"/>
  <c r="K36" i="20"/>
  <c r="K42" i="20"/>
  <c r="I42" i="20"/>
  <c r="K47" i="20"/>
  <c r="K72" i="20"/>
  <c r="K78" i="20"/>
  <c r="I78" i="20"/>
  <c r="K83" i="20"/>
  <c r="K115" i="20"/>
  <c r="I115" i="20"/>
  <c r="K121" i="20"/>
  <c r="I121" i="20"/>
  <c r="I144" i="20"/>
  <c r="K187" i="20"/>
  <c r="I187" i="20"/>
  <c r="K193" i="20"/>
  <c r="I193" i="20"/>
  <c r="I216" i="20"/>
  <c r="K259" i="20"/>
  <c r="I259" i="20"/>
  <c r="K265" i="20"/>
  <c r="I265" i="20"/>
  <c r="I288" i="20"/>
  <c r="K331" i="20"/>
  <c r="I331" i="20"/>
  <c r="K337" i="20"/>
  <c r="I337" i="20"/>
  <c r="I360" i="20"/>
  <c r="E31" i="24" l="1"/>
  <c r="F30" i="24" s="1"/>
  <c r="I368" i="20"/>
  <c r="D23" i="6"/>
  <c r="B23" i="6"/>
  <c r="C23" i="6" s="1"/>
  <c r="F31" i="24" l="1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O23" i="6"/>
  <c r="N23" i="6"/>
  <c r="D20" i="6" l="1"/>
  <c r="D21" i="6"/>
  <c r="D22" i="6"/>
  <c r="B20" i="6"/>
  <c r="C20" i="6" s="1"/>
  <c r="B21" i="6"/>
  <c r="C21" i="6" s="1"/>
  <c r="B22" i="6"/>
  <c r="C22" i="6" s="1"/>
  <c r="D18" i="6"/>
  <c r="D19" i="6"/>
  <c r="B18" i="6"/>
  <c r="C18" i="6" s="1"/>
  <c r="B19" i="6"/>
  <c r="C19" i="6" s="1"/>
  <c r="O18" i="6" l="1"/>
  <c r="N18" i="6"/>
  <c r="O19" i="6"/>
  <c r="N19" i="6"/>
  <c r="O22" i="6"/>
  <c r="N22" i="6"/>
  <c r="O21" i="6"/>
  <c r="N21" i="6"/>
  <c r="O20" i="6"/>
  <c r="N20" i="6"/>
  <c r="D24" i="5"/>
  <c r="D12" i="5"/>
  <c r="F2" i="6" l="1"/>
  <c r="D13" i="6"/>
  <c r="D14" i="6"/>
  <c r="D15" i="6"/>
  <c r="D16" i="6"/>
  <c r="D17" i="6"/>
  <c r="B13" i="6"/>
  <c r="C13" i="6" s="1"/>
  <c r="B14" i="6"/>
  <c r="C14" i="6" s="1"/>
  <c r="B15" i="6"/>
  <c r="C15" i="6" s="1"/>
  <c r="B16" i="6"/>
  <c r="C16" i="6" s="1"/>
  <c r="B17" i="6"/>
  <c r="C17" i="6" s="1"/>
  <c r="O17" i="6" l="1"/>
  <c r="N17" i="6"/>
  <c r="O16" i="6"/>
  <c r="N16" i="6"/>
  <c r="O15" i="6"/>
  <c r="N15" i="6"/>
  <c r="N14" i="6"/>
  <c r="O14" i="6"/>
  <c r="O13" i="6"/>
  <c r="N13" i="6"/>
  <c r="D14" i="5" l="1"/>
  <c r="D10" i="5"/>
  <c r="AF25" i="7" l="1"/>
  <c r="AF27" i="7" s="1"/>
  <c r="D20" i="5" l="1"/>
  <c r="C25" i="5"/>
  <c r="B21" i="8"/>
  <c r="AF10" i="7" l="1"/>
  <c r="A2" i="8"/>
  <c r="T24" i="8"/>
  <c r="T22" i="8"/>
  <c r="T20" i="8"/>
  <c r="T18" i="8"/>
  <c r="T16" i="8"/>
  <c r="T14" i="8"/>
  <c r="T12" i="8"/>
  <c r="T10" i="8"/>
  <c r="T8" i="8"/>
  <c r="T6" i="8"/>
  <c r="T4" i="8"/>
  <c r="C8" i="7" l="1"/>
  <c r="C22" i="7" s="1"/>
  <c r="M3" i="24" l="1"/>
  <c r="A1" i="7"/>
  <c r="C27" i="7" l="1"/>
  <c r="E2" i="6"/>
  <c r="B3" i="6"/>
  <c r="C3" i="6" s="1"/>
  <c r="D3" i="6"/>
  <c r="B4" i="6"/>
  <c r="C4" i="6" s="1"/>
  <c r="D4" i="6"/>
  <c r="B5" i="6"/>
  <c r="C5" i="6" s="1"/>
  <c r="D5" i="6"/>
  <c r="B6" i="6"/>
  <c r="C6" i="6" s="1"/>
  <c r="D6" i="6"/>
  <c r="B7" i="6"/>
  <c r="C7" i="6" s="1"/>
  <c r="D7" i="6"/>
  <c r="B8" i="6"/>
  <c r="C8" i="6" s="1"/>
  <c r="D8" i="6"/>
  <c r="B9" i="6"/>
  <c r="C9" i="6" s="1"/>
  <c r="D9" i="6"/>
  <c r="B10" i="6"/>
  <c r="C10" i="6" s="1"/>
  <c r="D10" i="6"/>
  <c r="B11" i="6"/>
  <c r="C11" i="6" s="1"/>
  <c r="D11" i="6"/>
  <c r="B12" i="6"/>
  <c r="C12" i="6" s="1"/>
  <c r="D12" i="6"/>
  <c r="J3" i="24" l="1"/>
  <c r="N3" i="24" s="1"/>
  <c r="P3" i="24"/>
  <c r="Q3" i="24" s="1"/>
  <c r="C30" i="7"/>
  <c r="C31" i="7" s="1"/>
  <c r="B20" i="22"/>
  <c r="B40" i="23" s="1"/>
  <c r="L5" i="6"/>
  <c r="L9" i="6"/>
  <c r="L13" i="6"/>
  <c r="L17" i="6"/>
  <c r="L21" i="6"/>
  <c r="L25" i="6"/>
  <c r="L29" i="6"/>
  <c r="J7" i="6"/>
  <c r="J11" i="6"/>
  <c r="J15" i="6"/>
  <c r="J19" i="6"/>
  <c r="J23" i="6"/>
  <c r="J27" i="6"/>
  <c r="J31" i="6"/>
  <c r="L11" i="6"/>
  <c r="L23" i="6"/>
  <c r="L31" i="6"/>
  <c r="J5" i="6"/>
  <c r="J13" i="6"/>
  <c r="J21" i="6"/>
  <c r="J29" i="6"/>
  <c r="L4" i="6"/>
  <c r="L12" i="6"/>
  <c r="L20" i="6"/>
  <c r="L28" i="6"/>
  <c r="J14" i="6"/>
  <c r="J22" i="6"/>
  <c r="J26" i="6"/>
  <c r="L6" i="6"/>
  <c r="L10" i="6"/>
  <c r="L14" i="6"/>
  <c r="L18" i="6"/>
  <c r="L22" i="6"/>
  <c r="L26" i="6"/>
  <c r="L30" i="6"/>
  <c r="J4" i="6"/>
  <c r="J8" i="6"/>
  <c r="J12" i="6"/>
  <c r="J16" i="6"/>
  <c r="J20" i="6"/>
  <c r="J24" i="6"/>
  <c r="J28" i="6"/>
  <c r="J3" i="6"/>
  <c r="L7" i="6"/>
  <c r="L15" i="6"/>
  <c r="L19" i="6"/>
  <c r="L27" i="6"/>
  <c r="J9" i="6"/>
  <c r="J17" i="6"/>
  <c r="J25" i="6"/>
  <c r="L8" i="6"/>
  <c r="L16" i="6"/>
  <c r="L24" i="6"/>
  <c r="L3" i="6"/>
  <c r="B17" i="22" s="1"/>
  <c r="J6" i="6"/>
  <c r="J10" i="6"/>
  <c r="J18" i="6"/>
  <c r="J30" i="6"/>
  <c r="N5" i="6"/>
  <c r="O5" i="6"/>
  <c r="O3" i="6"/>
  <c r="N3" i="6"/>
  <c r="O12" i="6"/>
  <c r="N12" i="6"/>
  <c r="O10" i="6"/>
  <c r="N10" i="6"/>
  <c r="N4" i="6"/>
  <c r="O4" i="6"/>
  <c r="O7" i="6"/>
  <c r="N7" i="6"/>
  <c r="O6" i="6"/>
  <c r="N6" i="6"/>
  <c r="O11" i="6"/>
  <c r="N11" i="6"/>
  <c r="O9" i="6"/>
  <c r="N9" i="6"/>
  <c r="O8" i="6"/>
  <c r="N8" i="6"/>
  <c r="K3" i="24" l="1"/>
  <c r="H13" i="22"/>
  <c r="C13" i="22"/>
  <c r="H17" i="22"/>
  <c r="I17" i="22"/>
  <c r="F17" i="22"/>
  <c r="E17" i="22"/>
  <c r="D17" i="22"/>
  <c r="C17" i="22"/>
  <c r="B42" i="23"/>
  <c r="G17" i="22"/>
  <c r="C20" i="22"/>
  <c r="C40" i="23" s="1"/>
  <c r="C42" i="23" s="1"/>
  <c r="B25" i="23"/>
  <c r="D13" i="22"/>
  <c r="G13" i="22"/>
  <c r="K3" i="6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B13" i="22"/>
  <c r="E13" i="22"/>
  <c r="F13" i="22"/>
  <c r="I13" i="22"/>
  <c r="M4" i="6"/>
  <c r="M8" i="6"/>
  <c r="M12" i="6"/>
  <c r="M16" i="6"/>
  <c r="M20" i="6"/>
  <c r="M24" i="6"/>
  <c r="M28" i="6"/>
  <c r="M3" i="6"/>
  <c r="M7" i="6"/>
  <c r="M11" i="6"/>
  <c r="M19" i="6"/>
  <c r="M23" i="6"/>
  <c r="M31" i="6"/>
  <c r="M5" i="6"/>
  <c r="M9" i="6"/>
  <c r="M13" i="6"/>
  <c r="M17" i="6"/>
  <c r="M21" i="6"/>
  <c r="M25" i="6"/>
  <c r="M29" i="6"/>
  <c r="M6" i="6"/>
  <c r="M10" i="6"/>
  <c r="M14" i="6"/>
  <c r="M18" i="6"/>
  <c r="M22" i="6"/>
  <c r="M26" i="6"/>
  <c r="M30" i="6"/>
  <c r="M15" i="6"/>
  <c r="M27" i="6"/>
  <c r="D3" i="23" l="1"/>
  <c r="E3" i="23" s="1"/>
  <c r="F3" i="23" s="1"/>
  <c r="G3" i="23" s="1"/>
  <c r="H3" i="23" s="1"/>
  <c r="I3" i="23" s="1"/>
  <c r="D20" i="22"/>
  <c r="D40" i="23" s="1"/>
  <c r="D42" i="23" s="1"/>
  <c r="C25" i="23"/>
  <c r="I14" i="22"/>
  <c r="C14" i="22"/>
  <c r="F14" i="22"/>
  <c r="H14" i="22"/>
  <c r="E14" i="22"/>
  <c r="G14" i="22"/>
  <c r="B14" i="22"/>
  <c r="D14" i="22"/>
  <c r="G3" i="15"/>
  <c r="F3" i="15" s="1"/>
  <c r="E20" i="22" l="1"/>
  <c r="E40" i="23" s="1"/>
  <c r="E42" i="23" s="1"/>
  <c r="D25" i="23"/>
  <c r="B26" i="8"/>
  <c r="F20" i="22" l="1"/>
  <c r="F40" i="23" s="1"/>
  <c r="F42" i="23" s="1"/>
  <c r="E25" i="23"/>
  <c r="G8" i="1"/>
  <c r="G20" i="22" l="1"/>
  <c r="G40" i="23" s="1"/>
  <c r="G42" i="23" s="1"/>
  <c r="F25" i="23"/>
  <c r="Q3" i="6"/>
  <c r="C7" i="7" s="1"/>
  <c r="P3" i="6"/>
  <c r="H20" i="22" l="1"/>
  <c r="H40" i="23" s="1"/>
  <c r="H42" i="23" s="1"/>
  <c r="G25" i="23"/>
  <c r="C26" i="8"/>
  <c r="C5" i="8" s="1"/>
  <c r="D5" i="8" s="1"/>
  <c r="D13" i="5"/>
  <c r="Q4" i="6"/>
  <c r="P4" i="6"/>
  <c r="I20" i="22" l="1"/>
  <c r="H25" i="23"/>
  <c r="D7" i="7"/>
  <c r="D8" i="7" s="1"/>
  <c r="Q5" i="6"/>
  <c r="P5" i="6"/>
  <c r="I25" i="23" l="1"/>
  <c r="I40" i="23"/>
  <c r="B4" i="22"/>
  <c r="E7" i="7"/>
  <c r="E8" i="7" s="1"/>
  <c r="AF13" i="7"/>
  <c r="Q6" i="6"/>
  <c r="P6" i="6"/>
  <c r="C19" i="8"/>
  <c r="C11" i="8"/>
  <c r="C17" i="8"/>
  <c r="J17" i="8" s="1"/>
  <c r="C9" i="8"/>
  <c r="L9" i="8" s="1"/>
  <c r="C25" i="8"/>
  <c r="C23" i="8"/>
  <c r="C15" i="8"/>
  <c r="J15" i="8" s="1"/>
  <c r="C7" i="8"/>
  <c r="D7" i="8" s="1"/>
  <c r="C21" i="8"/>
  <c r="S21" i="8" s="1"/>
  <c r="S26" i="8" s="1"/>
  <c r="C13" i="8"/>
  <c r="B38" i="23" l="1"/>
  <c r="I42" i="23"/>
  <c r="J42" i="23" s="1"/>
  <c r="J40" i="23"/>
  <c r="B18" i="23"/>
  <c r="F7" i="7"/>
  <c r="F8" i="7" s="1"/>
  <c r="O7" i="8"/>
  <c r="N7" i="8"/>
  <c r="P7" i="6"/>
  <c r="Q7" i="6"/>
  <c r="G7" i="7" s="1"/>
  <c r="G8" i="7" s="1"/>
  <c r="D25" i="7"/>
  <c r="D27" i="7" s="1"/>
  <c r="J4" i="24" l="1"/>
  <c r="K4" i="24" s="1"/>
  <c r="P4" i="24"/>
  <c r="Q8" i="6"/>
  <c r="P8" i="6"/>
  <c r="H7" i="7" l="1"/>
  <c r="H8" i="7" s="1"/>
  <c r="Q9" i="6"/>
  <c r="P9" i="6"/>
  <c r="C4" i="22" l="1"/>
  <c r="I7" i="7"/>
  <c r="I8" i="7" s="1"/>
  <c r="Q10" i="6"/>
  <c r="J7" i="7" s="1"/>
  <c r="J8" i="7" s="1"/>
  <c r="P10" i="6"/>
  <c r="C38" i="23" l="1"/>
  <c r="C18" i="23"/>
  <c r="Q11" i="6"/>
  <c r="K7" i="7" s="1"/>
  <c r="K8" i="7" s="1"/>
  <c r="P11" i="6"/>
  <c r="Q12" i="6" l="1"/>
  <c r="P12" i="6"/>
  <c r="L7" i="7" l="1"/>
  <c r="L8" i="7" s="1"/>
  <c r="D4" i="22" s="1"/>
  <c r="C32" i="7"/>
  <c r="D38" i="23" l="1"/>
  <c r="D31" i="23"/>
  <c r="C34" i="7"/>
  <c r="G3" i="24"/>
  <c r="R3" i="24" s="1"/>
  <c r="D18" i="23"/>
  <c r="C35" i="7"/>
  <c r="C36" i="7"/>
  <c r="C33" i="7"/>
  <c r="Q13" i="6"/>
  <c r="P13" i="6"/>
  <c r="Q19" i="8"/>
  <c r="J19" i="8"/>
  <c r="F19" i="8"/>
  <c r="R19" i="8"/>
  <c r="N19" i="8"/>
  <c r="L19" i="8"/>
  <c r="K19" i="8"/>
  <c r="G19" i="8"/>
  <c r="D19" i="8"/>
  <c r="I19" i="8"/>
  <c r="O19" i="8"/>
  <c r="M19" i="8"/>
  <c r="P19" i="8"/>
  <c r="E19" i="8"/>
  <c r="H19" i="8"/>
  <c r="R13" i="8"/>
  <c r="M13" i="8"/>
  <c r="F13" i="8"/>
  <c r="E13" i="8"/>
  <c r="L13" i="8"/>
  <c r="N13" i="8"/>
  <c r="P13" i="8"/>
  <c r="G13" i="8"/>
  <c r="D13" i="8"/>
  <c r="Q13" i="8"/>
  <c r="K13" i="8"/>
  <c r="H13" i="8"/>
  <c r="J13" i="8"/>
  <c r="O13" i="8"/>
  <c r="I13" i="8"/>
  <c r="P7" i="8"/>
  <c r="J7" i="8"/>
  <c r="E7" i="8"/>
  <c r="I7" i="8"/>
  <c r="R7" i="8"/>
  <c r="M7" i="8"/>
  <c r="H7" i="8"/>
  <c r="Q7" i="8"/>
  <c r="F7" i="8"/>
  <c r="L7" i="8"/>
  <c r="K7" i="8"/>
  <c r="G7" i="8"/>
  <c r="M23" i="8"/>
  <c r="E23" i="8"/>
  <c r="L23" i="8"/>
  <c r="D23" i="8"/>
  <c r="Q23" i="8"/>
  <c r="I23" i="8"/>
  <c r="P23" i="8"/>
  <c r="H23" i="8"/>
  <c r="N23" i="8"/>
  <c r="K23" i="8"/>
  <c r="F23" i="8"/>
  <c r="R23" i="8"/>
  <c r="O23" i="8"/>
  <c r="J23" i="8"/>
  <c r="G23" i="8"/>
  <c r="P17" i="8"/>
  <c r="R17" i="8"/>
  <c r="I17" i="8"/>
  <c r="N17" i="8"/>
  <c r="M17" i="8"/>
  <c r="F17" i="8"/>
  <c r="E17" i="8"/>
  <c r="O17" i="8"/>
  <c r="L17" i="8"/>
  <c r="K17" i="8"/>
  <c r="G17" i="8"/>
  <c r="D17" i="8"/>
  <c r="H17" i="8"/>
  <c r="Q11" i="8"/>
  <c r="J11" i="8"/>
  <c r="F11" i="8"/>
  <c r="R11" i="8"/>
  <c r="N11" i="8"/>
  <c r="G11" i="8"/>
  <c r="L11" i="8"/>
  <c r="H11" i="8"/>
  <c r="O11" i="8"/>
  <c r="P11" i="8"/>
  <c r="E11" i="8"/>
  <c r="D11" i="8"/>
  <c r="K11" i="8"/>
  <c r="I11" i="8"/>
  <c r="M11" i="8"/>
  <c r="R5" i="8"/>
  <c r="G5" i="8"/>
  <c r="H5" i="8"/>
  <c r="E5" i="8"/>
  <c r="F5" i="8"/>
  <c r="K5" i="8"/>
  <c r="M5" i="8"/>
  <c r="Q5" i="8"/>
  <c r="P5" i="8"/>
  <c r="I5" i="8"/>
  <c r="J5" i="8"/>
  <c r="N5" i="8"/>
  <c r="L5" i="8"/>
  <c r="O5" i="8"/>
  <c r="R21" i="8"/>
  <c r="D21" i="8"/>
  <c r="M21" i="8"/>
  <c r="K21" i="8"/>
  <c r="F21" i="8"/>
  <c r="I21" i="8"/>
  <c r="P21" i="8"/>
  <c r="Q21" i="8"/>
  <c r="O21" i="8"/>
  <c r="J21" i="8"/>
  <c r="G21" i="8"/>
  <c r="E21" i="8"/>
  <c r="H21" i="8"/>
  <c r="N21" i="8"/>
  <c r="L21" i="8"/>
  <c r="P15" i="8"/>
  <c r="E15" i="8"/>
  <c r="N15" i="8"/>
  <c r="I15" i="8"/>
  <c r="D15" i="8"/>
  <c r="R15" i="8"/>
  <c r="M15" i="8"/>
  <c r="H15" i="8"/>
  <c r="F15" i="8"/>
  <c r="L15" i="8"/>
  <c r="K15" i="8"/>
  <c r="G15" i="8"/>
  <c r="O15" i="8"/>
  <c r="P9" i="8"/>
  <c r="R9" i="8"/>
  <c r="J9" i="8"/>
  <c r="Q9" i="8"/>
  <c r="I9" i="8"/>
  <c r="N9" i="8"/>
  <c r="F9" i="8"/>
  <c r="M9" i="8"/>
  <c r="E9" i="8"/>
  <c r="O9" i="8"/>
  <c r="G9" i="8"/>
  <c r="D9" i="8"/>
  <c r="H9" i="8"/>
  <c r="K9" i="8"/>
  <c r="P25" i="8"/>
  <c r="R25" i="8"/>
  <c r="J25" i="8"/>
  <c r="Q25" i="8"/>
  <c r="I25" i="8"/>
  <c r="N25" i="8"/>
  <c r="F25" i="8"/>
  <c r="M25" i="8"/>
  <c r="E25" i="8"/>
  <c r="O25" i="8"/>
  <c r="L25" i="8"/>
  <c r="D25" i="8"/>
  <c r="K25" i="8"/>
  <c r="H25" i="8"/>
  <c r="G25" i="8"/>
  <c r="I3" i="24" l="1"/>
  <c r="H3" i="24"/>
  <c r="O3" i="24"/>
  <c r="L3" i="24"/>
  <c r="M7" i="7"/>
  <c r="Q14" i="6"/>
  <c r="P14" i="6"/>
  <c r="T7" i="8"/>
  <c r="T19" i="8"/>
  <c r="T9" i="8"/>
  <c r="T15" i="8"/>
  <c r="T13" i="8"/>
  <c r="T11" i="8"/>
  <c r="T21" i="8"/>
  <c r="T5" i="8"/>
  <c r="T17" i="8"/>
  <c r="T23" i="8"/>
  <c r="H26" i="8"/>
  <c r="D26" i="8"/>
  <c r="J26" i="8"/>
  <c r="O26" i="8"/>
  <c r="I26" i="8"/>
  <c r="L26" i="8"/>
  <c r="P26" i="8"/>
  <c r="M26" i="8"/>
  <c r="K26" i="8"/>
  <c r="N26" i="8"/>
  <c r="F26" i="8"/>
  <c r="G26" i="8"/>
  <c r="Q26" i="8"/>
  <c r="E26" i="8"/>
  <c r="R26" i="8"/>
  <c r="T25" i="8"/>
  <c r="N7" i="7" l="1"/>
  <c r="N8" i="7" s="1"/>
  <c r="M8" i="7"/>
  <c r="Q15" i="6"/>
  <c r="P15" i="6"/>
  <c r="T26" i="8"/>
  <c r="O7" i="7" l="1"/>
  <c r="Q16" i="6"/>
  <c r="P16" i="6"/>
  <c r="O8" i="7" l="1"/>
  <c r="P7" i="7"/>
  <c r="P8" i="7" s="1"/>
  <c r="Q17" i="6"/>
  <c r="P17" i="6"/>
  <c r="E4" i="22" l="1"/>
  <c r="Q7" i="7"/>
  <c r="Q8" i="7" s="1"/>
  <c r="Q18" i="6"/>
  <c r="P18" i="6"/>
  <c r="E25" i="7"/>
  <c r="E27" i="7" s="1"/>
  <c r="P5" i="24" l="1"/>
  <c r="E38" i="23"/>
  <c r="E31" i="23"/>
  <c r="F25" i="7"/>
  <c r="F27" i="7" s="1"/>
  <c r="J5" i="24"/>
  <c r="E18" i="23"/>
  <c r="R7" i="7"/>
  <c r="R8" i="7" s="1"/>
  <c r="Q19" i="6"/>
  <c r="P19" i="6"/>
  <c r="D5" i="7"/>
  <c r="J6" i="24" l="1"/>
  <c r="K6" i="24" s="1"/>
  <c r="P6" i="24"/>
  <c r="K5" i="24"/>
  <c r="S7" i="7"/>
  <c r="S8" i="7" s="1"/>
  <c r="Q20" i="6"/>
  <c r="P20" i="6"/>
  <c r="G25" i="7"/>
  <c r="T7" i="7" l="1"/>
  <c r="T8" i="7" s="1"/>
  <c r="G27" i="7"/>
  <c r="J7" i="24" l="1"/>
  <c r="K7" i="24" s="1"/>
  <c r="P7" i="24"/>
  <c r="H25" i="7"/>
  <c r="H27" i="7" s="1"/>
  <c r="J8" i="24" l="1"/>
  <c r="K8" i="24" s="1"/>
  <c r="P8" i="24"/>
  <c r="I25" i="7"/>
  <c r="I27" i="7" s="1"/>
  <c r="J9" i="24" l="1"/>
  <c r="K9" i="24" s="1"/>
  <c r="P9" i="24"/>
  <c r="J25" i="7"/>
  <c r="J27" i="7" s="1"/>
  <c r="J10" i="24" l="1"/>
  <c r="K10" i="24" s="1"/>
  <c r="P10" i="24"/>
  <c r="K25" i="7"/>
  <c r="K27" i="7" s="1"/>
  <c r="J11" i="24" l="1"/>
  <c r="K11" i="24" s="1"/>
  <c r="P11" i="24"/>
  <c r="L25" i="7"/>
  <c r="L27" i="7" s="1"/>
  <c r="J12" i="24" l="1"/>
  <c r="K12" i="24" s="1"/>
  <c r="P12" i="24"/>
  <c r="M25" i="7"/>
  <c r="M27" i="7" s="1"/>
  <c r="J13" i="24" l="1"/>
  <c r="K13" i="24" s="1"/>
  <c r="P13" i="24"/>
  <c r="N25" i="7"/>
  <c r="N27" i="7" s="1"/>
  <c r="J14" i="24" l="1"/>
  <c r="K14" i="24" s="1"/>
  <c r="P14" i="24"/>
  <c r="O25" i="7"/>
  <c r="O27" i="7" s="1"/>
  <c r="J15" i="24" l="1"/>
  <c r="K15" i="24" s="1"/>
  <c r="P15" i="24"/>
  <c r="P25" i="7"/>
  <c r="P27" i="7" s="1"/>
  <c r="J16" i="24" l="1"/>
  <c r="K16" i="24" s="1"/>
  <c r="P16" i="24"/>
  <c r="Q25" i="7"/>
  <c r="Q27" i="7" s="1"/>
  <c r="J17" i="24" l="1"/>
  <c r="K17" i="24" s="1"/>
  <c r="P17" i="24"/>
  <c r="R25" i="7"/>
  <c r="R27" i="7" s="1"/>
  <c r="J18" i="24" l="1"/>
  <c r="K18" i="24" s="1"/>
  <c r="P18" i="24"/>
  <c r="S25" i="7"/>
  <c r="S27" i="7" s="1"/>
  <c r="J19" i="24" l="1"/>
  <c r="K19" i="24" s="1"/>
  <c r="P19" i="24"/>
  <c r="T25" i="7"/>
  <c r="T27" i="7" s="1"/>
  <c r="J20" i="24" l="1"/>
  <c r="K20" i="24" s="1"/>
  <c r="P20" i="24"/>
  <c r="U25" i="7"/>
  <c r="U27" i="7" s="1"/>
  <c r="P21" i="24" l="1"/>
  <c r="V25" i="7"/>
  <c r="V27" i="7" s="1"/>
  <c r="J21" i="24"/>
  <c r="K21" i="24" s="1"/>
  <c r="P22" i="24" l="1"/>
  <c r="J22" i="24"/>
  <c r="K22" i="24" s="1"/>
  <c r="W25" i="7"/>
  <c r="W27" i="7" s="1"/>
  <c r="P23" i="24" l="1"/>
  <c r="J23" i="24"/>
  <c r="K23" i="24" s="1"/>
  <c r="X25" i="7"/>
  <c r="X27" i="7" s="1"/>
  <c r="P24" i="24" l="1"/>
  <c r="J24" i="24"/>
  <c r="K24" i="24" s="1"/>
  <c r="Y25" i="7"/>
  <c r="Y27" i="7" s="1"/>
  <c r="P25" i="24" l="1"/>
  <c r="J25" i="24"/>
  <c r="K25" i="24" s="1"/>
  <c r="Z25" i="7"/>
  <c r="Z27" i="7" s="1"/>
  <c r="P26" i="24" l="1"/>
  <c r="J26" i="24"/>
  <c r="K26" i="24" s="1"/>
  <c r="AA25" i="7"/>
  <c r="AA27" i="7" s="1"/>
  <c r="P27" i="24" l="1"/>
  <c r="J27" i="24"/>
  <c r="K27" i="24" s="1"/>
  <c r="AB25" i="7"/>
  <c r="AB27" i="7" s="1"/>
  <c r="P28" i="24" l="1"/>
  <c r="AC25" i="7"/>
  <c r="AC27" i="7" s="1"/>
  <c r="J28" i="24"/>
  <c r="K28" i="24" s="1"/>
  <c r="P29" i="24" l="1"/>
  <c r="AD25" i="7"/>
  <c r="AD27" i="7" s="1"/>
  <c r="J29" i="24"/>
  <c r="K29" i="24" s="1"/>
  <c r="P30" i="24" l="1"/>
  <c r="AE25" i="7"/>
  <c r="AE27" i="7" s="1"/>
  <c r="J30" i="24"/>
  <c r="K30" i="24" s="1"/>
  <c r="J31" i="24" l="1"/>
  <c r="K31" i="24" s="1"/>
  <c r="P31" i="24"/>
  <c r="D15" i="5"/>
  <c r="Q21" i="6" l="1"/>
  <c r="U7" i="7" s="1"/>
  <c r="U8" i="7" s="1"/>
  <c r="P21" i="6" l="1"/>
  <c r="Q22" i="6"/>
  <c r="V7" i="7" s="1"/>
  <c r="V8" i="7" l="1"/>
  <c r="AF15" i="7"/>
  <c r="Q24" i="6"/>
  <c r="X7" i="7" s="1"/>
  <c r="P22" i="6"/>
  <c r="Q23" i="6"/>
  <c r="W7" i="7" s="1"/>
  <c r="W8" i="7" l="1"/>
  <c r="P24" i="6"/>
  <c r="Q25" i="6"/>
  <c r="Y7" i="7" s="1"/>
  <c r="Y8" i="7" s="1"/>
  <c r="P23" i="6"/>
  <c r="X8" i="7" s="1"/>
  <c r="G4" i="22" l="1"/>
  <c r="G38" i="23" s="1"/>
  <c r="P25" i="6"/>
  <c r="Q26" i="6"/>
  <c r="Z7" i="7" s="1"/>
  <c r="Z8" i="7" s="1"/>
  <c r="P27" i="6" l="1"/>
  <c r="P26" i="6"/>
  <c r="Q27" i="6"/>
  <c r="AA7" i="7" s="1"/>
  <c r="Q28" i="6" l="1"/>
  <c r="AB7" i="7" s="1"/>
  <c r="AA8" i="7"/>
  <c r="C5" i="21" s="1"/>
  <c r="D5" i="21" l="1"/>
  <c r="E4" i="21"/>
  <c r="C7" i="21"/>
  <c r="C9" i="21" s="1"/>
  <c r="Q29" i="6"/>
  <c r="AC7" i="7" s="1"/>
  <c r="P28" i="6"/>
  <c r="AB8" i="7"/>
  <c r="H4" i="22" s="1"/>
  <c r="AC8" i="7" l="1"/>
  <c r="P31" i="6"/>
  <c r="Q30" i="6"/>
  <c r="AD7" i="7" s="1"/>
  <c r="P29" i="6"/>
  <c r="AD8" i="7" l="1"/>
  <c r="P30" i="6"/>
  <c r="Q31" i="6"/>
  <c r="AE7" i="7" s="1"/>
  <c r="Q32" i="6" l="1"/>
  <c r="R32" i="6" s="1"/>
  <c r="AF6" i="7"/>
  <c r="AF7" i="7" l="1"/>
  <c r="AE8" i="7"/>
  <c r="B8" i="7" s="1"/>
  <c r="D32" i="7"/>
  <c r="H32" i="7"/>
  <c r="H36" i="7" s="1"/>
  <c r="G32" i="7"/>
  <c r="G36" i="7" s="1"/>
  <c r="E32" i="7"/>
  <c r="E36" i="7" s="1"/>
  <c r="O32" i="7"/>
  <c r="O36" i="7" s="1"/>
  <c r="K32" i="7"/>
  <c r="Q32" i="7"/>
  <c r="Q36" i="7" s="1"/>
  <c r="AA32" i="7"/>
  <c r="F30" i="7"/>
  <c r="L30" i="7"/>
  <c r="G4" i="15"/>
  <c r="G5" i="15" s="1"/>
  <c r="G30" i="7"/>
  <c r="K30" i="7"/>
  <c r="N30" i="7"/>
  <c r="E30" i="7"/>
  <c r="M30" i="7"/>
  <c r="O30" i="7"/>
  <c r="G4" i="24" l="1"/>
  <c r="I4" i="24" s="1"/>
  <c r="D36" i="7"/>
  <c r="G27" i="24"/>
  <c r="I27" i="24" s="1"/>
  <c r="AA36" i="7"/>
  <c r="G11" i="24"/>
  <c r="H11" i="24" s="1"/>
  <c r="K36" i="7"/>
  <c r="H4" i="24"/>
  <c r="G5" i="24"/>
  <c r="G8" i="24"/>
  <c r="G15" i="24"/>
  <c r="G17" i="24"/>
  <c r="G7" i="24"/>
  <c r="F4" i="22"/>
  <c r="F38" i="23" s="1"/>
  <c r="I4" i="22"/>
  <c r="AF8" i="7"/>
  <c r="K35" i="7"/>
  <c r="D33" i="7"/>
  <c r="AA35" i="7"/>
  <c r="F4" i="15"/>
  <c r="D19" i="7" s="1"/>
  <c r="F5" i="15"/>
  <c r="G6" i="15"/>
  <c r="AF30" i="7"/>
  <c r="Q33" i="7"/>
  <c r="Q35" i="7"/>
  <c r="O35" i="7"/>
  <c r="E35" i="7"/>
  <c r="E33" i="7"/>
  <c r="AA33" i="7"/>
  <c r="AC32" i="7"/>
  <c r="AC36" i="7" s="1"/>
  <c r="U32" i="7"/>
  <c r="U36" i="7" s="1"/>
  <c r="N32" i="7"/>
  <c r="N36" i="7" s="1"/>
  <c r="AB32" i="7"/>
  <c r="AB36" i="7" s="1"/>
  <c r="Z32" i="7"/>
  <c r="Z36" i="7" s="1"/>
  <c r="P32" i="7"/>
  <c r="P36" i="7" s="1"/>
  <c r="L32" i="7"/>
  <c r="L36" i="7" s="1"/>
  <c r="M32" i="7"/>
  <c r="M36" i="7" s="1"/>
  <c r="X32" i="7"/>
  <c r="X36" i="7" s="1"/>
  <c r="J32" i="7"/>
  <c r="J36" i="7" s="1"/>
  <c r="K33" i="7"/>
  <c r="H33" i="7"/>
  <c r="H35" i="7"/>
  <c r="O33" i="7"/>
  <c r="W32" i="7"/>
  <c r="W36" i="7" s="1"/>
  <c r="AE32" i="7"/>
  <c r="AE36" i="7" s="1"/>
  <c r="G33" i="7"/>
  <c r="G35" i="7"/>
  <c r="D35" i="7"/>
  <c r="S32" i="7"/>
  <c r="S36" i="7" s="1"/>
  <c r="AF29" i="7"/>
  <c r="I32" i="7"/>
  <c r="I36" i="7" s="1"/>
  <c r="V32" i="7"/>
  <c r="V36" i="7" s="1"/>
  <c r="Y32" i="7"/>
  <c r="Y36" i="7" s="1"/>
  <c r="T32" i="7"/>
  <c r="T36" i="7" s="1"/>
  <c r="AD32" i="7"/>
  <c r="AD36" i="7" s="1"/>
  <c r="F32" i="7"/>
  <c r="F36" i="7" s="1"/>
  <c r="R32" i="7"/>
  <c r="L4" i="24" l="1"/>
  <c r="H27" i="24"/>
  <c r="L27" i="24"/>
  <c r="L11" i="24"/>
  <c r="I11" i="24"/>
  <c r="G18" i="24"/>
  <c r="I18" i="24" s="1"/>
  <c r="R36" i="7"/>
  <c r="E19" i="7"/>
  <c r="E21" i="7" s="1"/>
  <c r="H7" i="24"/>
  <c r="I7" i="24"/>
  <c r="L7" i="24"/>
  <c r="H15" i="24"/>
  <c r="I15" i="24"/>
  <c r="L15" i="24"/>
  <c r="H5" i="24"/>
  <c r="I5" i="24"/>
  <c r="L5" i="24"/>
  <c r="G13" i="24"/>
  <c r="G6" i="24"/>
  <c r="G12" i="24"/>
  <c r="G14" i="24"/>
  <c r="H17" i="24"/>
  <c r="I17" i="24"/>
  <c r="L17" i="24"/>
  <c r="H8" i="24"/>
  <c r="I8" i="24"/>
  <c r="L8" i="24"/>
  <c r="G9" i="24"/>
  <c r="G10" i="24"/>
  <c r="G16" i="24"/>
  <c r="G25" i="24"/>
  <c r="G31" i="24"/>
  <c r="G23" i="24"/>
  <c r="G20" i="24"/>
  <c r="G24" i="24"/>
  <c r="G26" i="24"/>
  <c r="G29" i="24"/>
  <c r="H18" i="24"/>
  <c r="G19" i="24"/>
  <c r="G28" i="24"/>
  <c r="G22" i="24"/>
  <c r="G30" i="24"/>
  <c r="G21" i="24"/>
  <c r="B10" i="22"/>
  <c r="F31" i="23"/>
  <c r="G31" i="23"/>
  <c r="H18" i="23"/>
  <c r="I18" i="23"/>
  <c r="I31" i="23"/>
  <c r="F18" i="23"/>
  <c r="G18" i="23"/>
  <c r="H31" i="23"/>
  <c r="D21" i="7"/>
  <c r="F6" i="15"/>
  <c r="F19" i="7" s="1"/>
  <c r="F21" i="7" s="1"/>
  <c r="G7" i="15"/>
  <c r="L35" i="7"/>
  <c r="L33" i="7"/>
  <c r="AC35" i="7"/>
  <c r="AC33" i="7"/>
  <c r="R33" i="7"/>
  <c r="R35" i="7"/>
  <c r="S33" i="7"/>
  <c r="S35" i="7"/>
  <c r="P33" i="7"/>
  <c r="P35" i="7"/>
  <c r="AD35" i="7"/>
  <c r="AD33" i="7"/>
  <c r="I33" i="7"/>
  <c r="I35" i="7"/>
  <c r="M33" i="7"/>
  <c r="M35" i="7"/>
  <c r="AB33" i="7"/>
  <c r="AB35" i="7"/>
  <c r="T33" i="7"/>
  <c r="T35" i="7"/>
  <c r="N35" i="7"/>
  <c r="N33" i="7"/>
  <c r="Y35" i="7"/>
  <c r="Y33" i="7"/>
  <c r="W33" i="7"/>
  <c r="W35" i="7"/>
  <c r="J35" i="7"/>
  <c r="J33" i="7"/>
  <c r="F33" i="7"/>
  <c r="F35" i="7"/>
  <c r="V35" i="7"/>
  <c r="V33" i="7"/>
  <c r="AE35" i="7"/>
  <c r="AE33" i="7"/>
  <c r="X33" i="7"/>
  <c r="X35" i="7"/>
  <c r="Z35" i="7"/>
  <c r="Z33" i="7"/>
  <c r="U35" i="7"/>
  <c r="U33" i="7"/>
  <c r="B8" i="23" l="1"/>
  <c r="L18" i="24"/>
  <c r="H10" i="24"/>
  <c r="I10" i="24"/>
  <c r="L10" i="24"/>
  <c r="H12" i="24"/>
  <c r="I12" i="24"/>
  <c r="L12" i="24"/>
  <c r="H13" i="24"/>
  <c r="I13" i="24"/>
  <c r="L13" i="24"/>
  <c r="H16" i="24"/>
  <c r="I16" i="24"/>
  <c r="L16" i="24"/>
  <c r="H9" i="24"/>
  <c r="I9" i="24"/>
  <c r="L9" i="24"/>
  <c r="H14" i="24"/>
  <c r="I14" i="24"/>
  <c r="L14" i="24"/>
  <c r="H6" i="24"/>
  <c r="I6" i="24"/>
  <c r="L6" i="24"/>
  <c r="H31" i="24"/>
  <c r="L31" i="24"/>
  <c r="I31" i="24"/>
  <c r="H22" i="24"/>
  <c r="L22" i="24"/>
  <c r="I22" i="24"/>
  <c r="H26" i="24"/>
  <c r="L26" i="24"/>
  <c r="I26" i="24"/>
  <c r="H21" i="24"/>
  <c r="L21" i="24"/>
  <c r="I21" i="24"/>
  <c r="H19" i="24"/>
  <c r="L19" i="24"/>
  <c r="I19" i="24"/>
  <c r="H29" i="24"/>
  <c r="L29" i="24"/>
  <c r="I29" i="24"/>
  <c r="H24" i="24"/>
  <c r="L24" i="24"/>
  <c r="I24" i="24"/>
  <c r="H23" i="24"/>
  <c r="L23" i="24"/>
  <c r="I23" i="24"/>
  <c r="H25" i="24"/>
  <c r="L25" i="24"/>
  <c r="I25" i="24"/>
  <c r="H20" i="24"/>
  <c r="L20" i="24"/>
  <c r="I20" i="24"/>
  <c r="H30" i="24"/>
  <c r="L30" i="24"/>
  <c r="I30" i="24"/>
  <c r="H28" i="24"/>
  <c r="L28" i="24"/>
  <c r="I28" i="24"/>
  <c r="B39" i="23"/>
  <c r="B29" i="23"/>
  <c r="C43" i="23" s="1"/>
  <c r="B18" i="22"/>
  <c r="B10" i="23" s="1"/>
  <c r="B32" i="23" s="1"/>
  <c r="D22" i="7"/>
  <c r="F7" i="15"/>
  <c r="G19" i="7" s="1"/>
  <c r="G8" i="15"/>
  <c r="B34" i="23" l="1"/>
  <c r="B43" i="23"/>
  <c r="C9" i="23"/>
  <c r="B11" i="23"/>
  <c r="B12" i="23" s="1"/>
  <c r="D31" i="7"/>
  <c r="E5" i="7" s="1"/>
  <c r="E22" i="7" s="1"/>
  <c r="D34" i="7"/>
  <c r="G21" i="7"/>
  <c r="F8" i="15"/>
  <c r="H19" i="7" s="1"/>
  <c r="G9" i="15"/>
  <c r="M4" i="24" l="1"/>
  <c r="B44" i="23"/>
  <c r="B13" i="23"/>
  <c r="B26" i="23" s="1"/>
  <c r="B19" i="23"/>
  <c r="E34" i="7"/>
  <c r="H21" i="7"/>
  <c r="C10" i="22"/>
  <c r="E31" i="7"/>
  <c r="F5" i="7" s="1"/>
  <c r="G10" i="15"/>
  <c r="F9" i="15"/>
  <c r="I19" i="7" s="1"/>
  <c r="O4" i="24" l="1"/>
  <c r="Q4" i="24"/>
  <c r="R4" i="24"/>
  <c r="N4" i="24"/>
  <c r="C39" i="23"/>
  <c r="C8" i="23"/>
  <c r="C18" i="22"/>
  <c r="C10" i="23" s="1"/>
  <c r="C29" i="23"/>
  <c r="D43" i="23" s="1"/>
  <c r="B27" i="23"/>
  <c r="B35" i="23" s="1"/>
  <c r="I21" i="7"/>
  <c r="F22" i="7"/>
  <c r="G11" i="15"/>
  <c r="F10" i="15"/>
  <c r="J19" i="7" s="1"/>
  <c r="J21" i="7" s="1"/>
  <c r="M5" i="24" l="1"/>
  <c r="C44" i="23"/>
  <c r="C11" i="23"/>
  <c r="C12" i="23" s="1"/>
  <c r="F34" i="7"/>
  <c r="C32" i="23"/>
  <c r="C34" i="23" s="1"/>
  <c r="D9" i="23"/>
  <c r="F31" i="7"/>
  <c r="G5" i="7" s="1"/>
  <c r="G12" i="15"/>
  <c r="F11" i="15"/>
  <c r="K19" i="7" s="1"/>
  <c r="N5" i="24" l="1"/>
  <c r="O5" i="24"/>
  <c r="Q5" i="24"/>
  <c r="R5" i="24"/>
  <c r="C19" i="23"/>
  <c r="C13" i="23"/>
  <c r="K21" i="7"/>
  <c r="G22" i="7"/>
  <c r="G13" i="15"/>
  <c r="F12" i="15"/>
  <c r="L19" i="7" s="1"/>
  <c r="L21" i="7" s="1"/>
  <c r="M6" i="24" l="1"/>
  <c r="D10" i="22"/>
  <c r="C26" i="23"/>
  <c r="C27" i="23" s="1"/>
  <c r="C35" i="23" s="1"/>
  <c r="G34" i="7"/>
  <c r="G31" i="7"/>
  <c r="H5" i="7" s="1"/>
  <c r="F13" i="15"/>
  <c r="M19" i="7" s="1"/>
  <c r="G14" i="15"/>
  <c r="D8" i="23" l="1"/>
  <c r="D18" i="22"/>
  <c r="N6" i="24"/>
  <c r="O6" i="24"/>
  <c r="Q6" i="24"/>
  <c r="R6" i="24"/>
  <c r="D39" i="23"/>
  <c r="D29" i="23"/>
  <c r="E43" i="23" s="1"/>
  <c r="D10" i="23"/>
  <c r="D32" i="23" s="1"/>
  <c r="M21" i="7"/>
  <c r="H22" i="7"/>
  <c r="M7" i="24" s="1"/>
  <c r="G15" i="15"/>
  <c r="F14" i="15"/>
  <c r="N19" i="7" s="1"/>
  <c r="N21" i="7" s="1"/>
  <c r="O7" i="24" l="1"/>
  <c r="N7" i="24"/>
  <c r="R7" i="24"/>
  <c r="Q7" i="24"/>
  <c r="D34" i="23"/>
  <c r="E9" i="23"/>
  <c r="D11" i="23"/>
  <c r="D12" i="23" s="1"/>
  <c r="D19" i="23" s="1"/>
  <c r="H34" i="7"/>
  <c r="H31" i="7"/>
  <c r="I5" i="7" s="1"/>
  <c r="F15" i="15"/>
  <c r="O19" i="7" s="1"/>
  <c r="O21" i="7" s="1"/>
  <c r="G16" i="15"/>
  <c r="D44" i="23" l="1"/>
  <c r="D13" i="23"/>
  <c r="D26" i="23" s="1"/>
  <c r="D27" i="23" s="1"/>
  <c r="D35" i="23" s="1"/>
  <c r="I22" i="7"/>
  <c r="M8" i="24" s="1"/>
  <c r="G17" i="15"/>
  <c r="F16" i="15"/>
  <c r="P19" i="7" s="1"/>
  <c r="O8" i="24" l="1"/>
  <c r="Q8" i="24"/>
  <c r="N8" i="24"/>
  <c r="R8" i="24"/>
  <c r="I34" i="7"/>
  <c r="P21" i="7"/>
  <c r="E10" i="22"/>
  <c r="E18" i="22" s="1"/>
  <c r="I31" i="7"/>
  <c r="J5" i="7" s="1"/>
  <c r="F17" i="15"/>
  <c r="Q19" i="7" s="1"/>
  <c r="G18" i="15"/>
  <c r="E39" i="23" l="1"/>
  <c r="E8" i="23"/>
  <c r="E10" i="23"/>
  <c r="E29" i="23"/>
  <c r="F43" i="23" s="1"/>
  <c r="Q21" i="7"/>
  <c r="J22" i="7"/>
  <c r="G19" i="15"/>
  <c r="F18" i="15"/>
  <c r="R19" i="7" s="1"/>
  <c r="J34" i="7" l="1"/>
  <c r="M9" i="24"/>
  <c r="M10" i="24" s="1"/>
  <c r="E44" i="23"/>
  <c r="R21" i="7"/>
  <c r="E11" i="23"/>
  <c r="E12" i="23" s="1"/>
  <c r="F9" i="23"/>
  <c r="E32" i="23"/>
  <c r="E34" i="23" s="1"/>
  <c r="J31" i="7"/>
  <c r="K5" i="7" s="1"/>
  <c r="K22" i="7" s="1"/>
  <c r="F19" i="15"/>
  <c r="S19" i="7" s="1"/>
  <c r="G20" i="15"/>
  <c r="Q9" i="24" l="1"/>
  <c r="N9" i="24"/>
  <c r="R9" i="24"/>
  <c r="O9" i="24"/>
  <c r="Q10" i="24"/>
  <c r="R10" i="24"/>
  <c r="N10" i="24"/>
  <c r="O10" i="24"/>
  <c r="E19" i="23"/>
  <c r="S21" i="7"/>
  <c r="E13" i="23"/>
  <c r="K34" i="7"/>
  <c r="G21" i="15"/>
  <c r="F20" i="15"/>
  <c r="T19" i="7" s="1"/>
  <c r="T21" i="7" s="1"/>
  <c r="E26" i="23" l="1"/>
  <c r="E27" i="23" s="1"/>
  <c r="E35" i="23" s="1"/>
  <c r="F10" i="22"/>
  <c r="K31" i="7"/>
  <c r="L5" i="7" s="1"/>
  <c r="F21" i="15"/>
  <c r="U19" i="7" s="1"/>
  <c r="G22" i="15"/>
  <c r="F39" i="23" l="1"/>
  <c r="F8" i="23"/>
  <c r="F18" i="22"/>
  <c r="F10" i="23" s="1"/>
  <c r="F29" i="23"/>
  <c r="G43" i="23" s="1"/>
  <c r="U21" i="7"/>
  <c r="L22" i="7"/>
  <c r="M11" i="24" s="1"/>
  <c r="G23" i="15"/>
  <c r="F22" i="15"/>
  <c r="V19" i="7" s="1"/>
  <c r="V21" i="7" s="1"/>
  <c r="Q11" i="24" l="1"/>
  <c r="N11" i="24"/>
  <c r="R11" i="24"/>
  <c r="O11" i="24"/>
  <c r="L34" i="7"/>
  <c r="F44" i="23"/>
  <c r="F11" i="23"/>
  <c r="F32" i="23"/>
  <c r="F34" i="23" s="1"/>
  <c r="G9" i="23"/>
  <c r="L31" i="7"/>
  <c r="M5" i="7" s="1"/>
  <c r="G24" i="15"/>
  <c r="F23" i="15"/>
  <c r="W19" i="7" s="1"/>
  <c r="W21" i="7" s="1"/>
  <c r="F12" i="23" l="1"/>
  <c r="M22" i="7"/>
  <c r="G25" i="15"/>
  <c r="F24" i="15"/>
  <c r="X19" i="7" s="1"/>
  <c r="M34" i="7" l="1"/>
  <c r="M12" i="24"/>
  <c r="F19" i="23"/>
  <c r="F13" i="23"/>
  <c r="X21" i="7"/>
  <c r="G10" i="22"/>
  <c r="M31" i="7"/>
  <c r="N5" i="7" s="1"/>
  <c r="F25" i="15"/>
  <c r="Y19" i="7" s="1"/>
  <c r="G26" i="15"/>
  <c r="Q12" i="24" l="1"/>
  <c r="O12" i="24"/>
  <c r="R12" i="24"/>
  <c r="N12" i="24"/>
  <c r="G39" i="23"/>
  <c r="J39" i="23" s="1"/>
  <c r="G8" i="23"/>
  <c r="G18" i="22"/>
  <c r="G10" i="23" s="1"/>
  <c r="G29" i="23"/>
  <c r="F26" i="23"/>
  <c r="F27" i="23" s="1"/>
  <c r="F35" i="23" s="1"/>
  <c r="Y21" i="7"/>
  <c r="N22" i="7"/>
  <c r="M13" i="24" s="1"/>
  <c r="F26" i="15"/>
  <c r="Z19" i="7" s="1"/>
  <c r="Z21" i="7" s="1"/>
  <c r="G27" i="15"/>
  <c r="N13" i="24" l="1"/>
  <c r="Q13" i="24"/>
  <c r="O13" i="24"/>
  <c r="R13" i="24"/>
  <c r="G44" i="23"/>
  <c r="N34" i="7"/>
  <c r="G11" i="23"/>
  <c r="G12" i="23" s="1"/>
  <c r="H9" i="23"/>
  <c r="G32" i="23"/>
  <c r="G34" i="23" s="1"/>
  <c r="N31" i="7"/>
  <c r="O5" i="7" s="1"/>
  <c r="G28" i="15"/>
  <c r="F27" i="15"/>
  <c r="AA19" i="7" s="1"/>
  <c r="B16" i="5" s="1"/>
  <c r="B17" i="5" l="1"/>
  <c r="B23" i="5" s="1"/>
  <c r="G13" i="23"/>
  <c r="G26" i="23" s="1"/>
  <c r="G19" i="23"/>
  <c r="AA21" i="7"/>
  <c r="O22" i="7"/>
  <c r="F28" i="15"/>
  <c r="G29" i="15"/>
  <c r="O34" i="7" l="1"/>
  <c r="M14" i="24"/>
  <c r="G27" i="23"/>
  <c r="G35" i="23" s="1"/>
  <c r="O31" i="7"/>
  <c r="P5" i="7" s="1"/>
  <c r="AB19" i="7"/>
  <c r="F29" i="15"/>
  <c r="AC19" i="7" s="1"/>
  <c r="G30" i="15"/>
  <c r="Q14" i="24" l="1"/>
  <c r="R14" i="24"/>
  <c r="O14" i="24"/>
  <c r="N14" i="24"/>
  <c r="AC21" i="7"/>
  <c r="AB21" i="7"/>
  <c r="H10" i="22"/>
  <c r="H8" i="23" s="1"/>
  <c r="P22" i="7"/>
  <c r="M15" i="24" s="1"/>
  <c r="D16" i="5"/>
  <c r="D17" i="5" s="1"/>
  <c r="B19" i="7"/>
  <c r="B21" i="7" s="1"/>
  <c r="E9" i="5"/>
  <c r="E12" i="5"/>
  <c r="E10" i="5"/>
  <c r="E13" i="5"/>
  <c r="E15" i="5"/>
  <c r="E8" i="5"/>
  <c r="E11" i="5"/>
  <c r="E7" i="5"/>
  <c r="E14" i="5"/>
  <c r="E6" i="5"/>
  <c r="G31" i="15"/>
  <c r="F31" i="15" s="1"/>
  <c r="F30" i="15"/>
  <c r="AD19" i="7" s="1"/>
  <c r="AD21" i="7" s="1"/>
  <c r="E16" i="5"/>
  <c r="AE19" i="7" l="1"/>
  <c r="AE21" i="7" s="1"/>
  <c r="N15" i="24"/>
  <c r="R15" i="24"/>
  <c r="O15" i="24"/>
  <c r="Q15" i="24"/>
  <c r="P34" i="7"/>
  <c r="H38" i="23"/>
  <c r="H18" i="22"/>
  <c r="H10" i="23" s="1"/>
  <c r="H29" i="23"/>
  <c r="P31" i="7"/>
  <c r="Q5" i="7" s="1"/>
  <c r="E17" i="5"/>
  <c r="F32" i="15"/>
  <c r="D23" i="5"/>
  <c r="D25" i="5" s="1"/>
  <c r="B25" i="5"/>
  <c r="AF19" i="7" l="1"/>
  <c r="AG19" i="7" s="1"/>
  <c r="I10" i="22"/>
  <c r="I8" i="23" s="1"/>
  <c r="H43" i="23"/>
  <c r="H44" i="23" s="1"/>
  <c r="H11" i="23"/>
  <c r="E24" i="5"/>
  <c r="E23" i="5"/>
  <c r="E21" i="5"/>
  <c r="E22" i="5"/>
  <c r="I9" i="23"/>
  <c r="H32" i="23"/>
  <c r="H34" i="23" s="1"/>
  <c r="Q22" i="7"/>
  <c r="AF21" i="7"/>
  <c r="AG21" i="7" s="1"/>
  <c r="E20" i="5"/>
  <c r="AG20" i="7" l="1"/>
  <c r="I29" i="23"/>
  <c r="I38" i="23"/>
  <c r="J38" i="23" s="1"/>
  <c r="J43" i="23" s="1"/>
  <c r="J44" i="23" s="1"/>
  <c r="I18" i="22"/>
  <c r="I10" i="23" s="1"/>
  <c r="I32" i="23" s="1"/>
  <c r="Q34" i="7"/>
  <c r="M16" i="24"/>
  <c r="H12" i="23"/>
  <c r="Q31" i="7"/>
  <c r="R5" i="7" s="1"/>
  <c r="E25" i="5"/>
  <c r="I34" i="23" l="1"/>
  <c r="I43" i="23"/>
  <c r="I44" i="23" s="1"/>
  <c r="I11" i="23"/>
  <c r="I12" i="23" s="1"/>
  <c r="I13" i="23" s="1"/>
  <c r="Q16" i="24"/>
  <c r="O16" i="24"/>
  <c r="R16" i="24"/>
  <c r="N16" i="24"/>
  <c r="H13" i="23"/>
  <c r="H19" i="23"/>
  <c r="R22" i="7"/>
  <c r="I19" i="23" l="1"/>
  <c r="R34" i="7"/>
  <c r="M17" i="24"/>
  <c r="I26" i="23"/>
  <c r="H26" i="23"/>
  <c r="H27" i="23" s="1"/>
  <c r="H35" i="23" s="1"/>
  <c r="R31" i="7"/>
  <c r="S5" i="7" s="1"/>
  <c r="I27" i="23" l="1"/>
  <c r="I35" i="23" s="1"/>
  <c r="Q17" i="24"/>
  <c r="O17" i="24"/>
  <c r="R17" i="24"/>
  <c r="N17" i="24"/>
  <c r="S22" i="7"/>
  <c r="M18" i="24" s="1"/>
  <c r="O18" i="24" l="1"/>
  <c r="N18" i="24"/>
  <c r="Q18" i="24"/>
  <c r="R18" i="24"/>
  <c r="S34" i="7"/>
  <c r="S31" i="7"/>
  <c r="T5" i="7" s="1"/>
  <c r="T22" i="7" l="1"/>
  <c r="T34" i="7" l="1"/>
  <c r="M19" i="24"/>
  <c r="T31" i="7"/>
  <c r="U5" i="7" s="1"/>
  <c r="Q19" i="24" l="1"/>
  <c r="R19" i="24"/>
  <c r="O19" i="24"/>
  <c r="N19" i="24"/>
  <c r="U22" i="7"/>
  <c r="M20" i="24" s="1"/>
  <c r="O20" i="24" l="1"/>
  <c r="R20" i="24"/>
  <c r="N20" i="24"/>
  <c r="Q20" i="24"/>
  <c r="U34" i="7"/>
  <c r="U31" i="7"/>
  <c r="V5" i="7" s="1"/>
  <c r="V22" i="7" l="1"/>
  <c r="V34" i="7" l="1"/>
  <c r="M21" i="24"/>
  <c r="V31" i="7"/>
  <c r="W5" i="7" s="1"/>
  <c r="Q21" i="24" l="1"/>
  <c r="R21" i="24"/>
  <c r="N21" i="24"/>
  <c r="O21" i="24"/>
  <c r="W22" i="7"/>
  <c r="M22" i="24" s="1"/>
  <c r="N22" i="24" s="1"/>
  <c r="O22" i="24" l="1"/>
  <c r="R22" i="24"/>
  <c r="Q22" i="24"/>
  <c r="W34" i="7"/>
  <c r="W31" i="7"/>
  <c r="X5" i="7" s="1"/>
  <c r="X22" i="7" l="1"/>
  <c r="X34" i="7" l="1"/>
  <c r="M23" i="24"/>
  <c r="X31" i="7"/>
  <c r="Y5" i="7" s="1"/>
  <c r="Q23" i="24" l="1"/>
  <c r="O23" i="24"/>
  <c r="N23" i="24"/>
  <c r="R23" i="24"/>
  <c r="Y22" i="7"/>
  <c r="M24" i="24" s="1"/>
  <c r="N24" i="24" l="1"/>
  <c r="O24" i="24"/>
  <c r="Q24" i="24"/>
  <c r="R24" i="24"/>
  <c r="Y34" i="7"/>
  <c r="Y31" i="7"/>
  <c r="Z5" i="7" s="1"/>
  <c r="Z22" i="7" l="1"/>
  <c r="Z34" i="7" l="1"/>
  <c r="M25" i="24"/>
  <c r="Z31" i="7"/>
  <c r="AA5" i="7" s="1"/>
  <c r="Q25" i="24" l="1"/>
  <c r="R25" i="24"/>
  <c r="N25" i="24"/>
  <c r="O25" i="24"/>
  <c r="AA22" i="7"/>
  <c r="M26" i="24" s="1"/>
  <c r="N26" i="24" s="1"/>
  <c r="R26" i="24" l="1"/>
  <c r="O26" i="24"/>
  <c r="Q26" i="24"/>
  <c r="AA34" i="7"/>
  <c r="AA31" i="7"/>
  <c r="AB5" i="7" s="1"/>
  <c r="AB22" i="7" l="1"/>
  <c r="M27" i="24" l="1"/>
  <c r="AB31" i="7"/>
  <c r="AC5" i="7" s="1"/>
  <c r="Q27" i="24" l="1"/>
  <c r="R27" i="24"/>
  <c r="N27" i="24"/>
  <c r="O27" i="24"/>
  <c r="AC22" i="7"/>
  <c r="M28" i="24" l="1"/>
  <c r="AC31" i="7"/>
  <c r="AD5" i="7" s="1"/>
  <c r="Q28" i="24" l="1"/>
  <c r="N28" i="24"/>
  <c r="O28" i="24"/>
  <c r="AD22" i="7"/>
  <c r="M29" i="24" s="1"/>
  <c r="Q29" i="24" l="1"/>
  <c r="N29" i="24"/>
  <c r="O29" i="24"/>
  <c r="AD31" i="7"/>
  <c r="AE5" i="7" s="1"/>
  <c r="AE22" i="7" s="1"/>
  <c r="AE31" i="7" s="1"/>
  <c r="M30" i="24" l="1"/>
  <c r="Q30" i="24" s="1"/>
  <c r="N30" i="24" l="1"/>
  <c r="O30" i="24"/>
  <c r="M31" i="24"/>
  <c r="Q31" i="24" s="1"/>
  <c r="O31" i="24" l="1"/>
  <c r="N31" i="24"/>
  <c r="E21" i="28" l="1"/>
  <c r="E22" i="28" s="1"/>
  <c r="G23" i="28" s="1"/>
  <c r="H23" i="28" l="1"/>
  <c r="G24" i="28"/>
  <c r="I23" i="28" l="1"/>
  <c r="H24" i="28"/>
  <c r="I24" i="28" l="1"/>
  <c r="J23" i="28"/>
  <c r="K23" i="28" l="1"/>
  <c r="K24" i="28" s="1"/>
  <c r="J24" i="28"/>
  <c r="C12" i="27" l="1"/>
  <c r="C18" i="27" s="1"/>
</calcChain>
</file>

<file path=xl/sharedStrings.xml><?xml version="1.0" encoding="utf-8"?>
<sst xmlns="http://schemas.openxmlformats.org/spreadsheetml/2006/main" count="840" uniqueCount="368">
  <si>
    <t>Particulars</t>
  </si>
  <si>
    <t>Total Inflow</t>
  </si>
  <si>
    <t>Total</t>
  </si>
  <si>
    <t>Cost</t>
  </si>
  <si>
    <t>Tiling (Italian Marble)</t>
  </si>
  <si>
    <t>Doors and Windows</t>
  </si>
  <si>
    <t>Painting</t>
  </si>
  <si>
    <t>Fire Fighting</t>
  </si>
  <si>
    <t>Landscape and outside infrastructure</t>
  </si>
  <si>
    <t>TOTAL</t>
  </si>
  <si>
    <t>Substructure Cost</t>
  </si>
  <si>
    <t>Cost Break-up</t>
  </si>
  <si>
    <t>Name of the Project</t>
  </si>
  <si>
    <t>Total Project Cost</t>
  </si>
  <si>
    <t>Means of Finance</t>
  </si>
  <si>
    <t xml:space="preserve">Total </t>
  </si>
  <si>
    <t>Total estimated Cash inflow</t>
  </si>
  <si>
    <t>Stages</t>
  </si>
  <si>
    <t>Payment Schedule</t>
  </si>
  <si>
    <t>Cumulative Payment Schedule</t>
  </si>
  <si>
    <t>Timeline</t>
  </si>
  <si>
    <t>Sr No</t>
  </si>
  <si>
    <t>Construction Stage</t>
  </si>
  <si>
    <t xml:space="preserve"> </t>
  </si>
  <si>
    <t>Actual</t>
  </si>
  <si>
    <t>Opening Balance</t>
  </si>
  <si>
    <t>Deficit / Surplus</t>
  </si>
  <si>
    <t>Fund-flow</t>
  </si>
  <si>
    <t>Loan Disbursed</t>
  </si>
  <si>
    <t>Loan Repaid</t>
  </si>
  <si>
    <t>Closing Balance</t>
  </si>
  <si>
    <t>% of Total Cost</t>
  </si>
  <si>
    <t>Brick Work / Block Work</t>
  </si>
  <si>
    <t>POP, White wash and plastering</t>
  </si>
  <si>
    <t>Water Supply, electrification and Sanitory work</t>
  </si>
  <si>
    <t>Elevators</t>
  </si>
  <si>
    <t>Quarter</t>
  </si>
  <si>
    <t>Repayment</t>
  </si>
  <si>
    <t>Interest</t>
  </si>
  <si>
    <t>POS</t>
  </si>
  <si>
    <t>%</t>
  </si>
  <si>
    <t>Cash Outflow</t>
  </si>
  <si>
    <t>Project Location</t>
  </si>
  <si>
    <t>RCC</t>
  </si>
  <si>
    <t>DSRA</t>
  </si>
  <si>
    <t>Estimated Total Cost (Actuals)</t>
  </si>
  <si>
    <t>NOF Closing Balance</t>
  </si>
  <si>
    <t>Margin</t>
  </si>
  <si>
    <t xml:space="preserve">Booking Value </t>
  </si>
  <si>
    <t xml:space="preserve">Cum. Sale Value </t>
  </si>
  <si>
    <t xml:space="preserve">Payment Due </t>
  </si>
  <si>
    <t>Cum. Payment Due</t>
  </si>
  <si>
    <t>Receivables from Area Sold</t>
  </si>
  <si>
    <t>Total Area Sold</t>
  </si>
  <si>
    <t>Cumulative Area sold</t>
  </si>
  <si>
    <t>Amount</t>
  </si>
  <si>
    <t>Sr No.</t>
  </si>
  <si>
    <t>Indicative Implementation and Payment Schedule for Sale Building</t>
  </si>
  <si>
    <t>Contruction Area</t>
  </si>
  <si>
    <t>To be Incurred</t>
  </si>
  <si>
    <t>Sale Area - RERA Carpet</t>
  </si>
  <si>
    <t>Contingency</t>
  </si>
  <si>
    <t>Square Feet</t>
  </si>
  <si>
    <t>To be incurred</t>
  </si>
  <si>
    <t>Sr. No</t>
  </si>
  <si>
    <t>Unit Type</t>
  </si>
  <si>
    <t>Unit No</t>
  </si>
  <si>
    <t>RERA Carpet Area (SQ.MT)</t>
  </si>
  <si>
    <t>BALCONY AREA (SQ.MT)</t>
  </si>
  <si>
    <t>RERA Carpet Area (SQ.FT)</t>
  </si>
  <si>
    <t>BALCONY AREA (SQ.FT)</t>
  </si>
  <si>
    <t>TOTAL AREA IN SQ.MT</t>
  </si>
  <si>
    <t>TOTAL AREA IN SQ.FT</t>
  </si>
  <si>
    <t>Saleable Area</t>
  </si>
  <si>
    <t>Shop</t>
  </si>
  <si>
    <t>Office P1</t>
  </si>
  <si>
    <t>S-1</t>
  </si>
  <si>
    <t>S-2</t>
  </si>
  <si>
    <t>S-3</t>
  </si>
  <si>
    <t>S-4</t>
  </si>
  <si>
    <t>S-5</t>
  </si>
  <si>
    <t>Office P2</t>
  </si>
  <si>
    <t>Office P3</t>
  </si>
  <si>
    <t>Flat</t>
  </si>
  <si>
    <t xml:space="preserve">Flat </t>
  </si>
  <si>
    <t>BHK</t>
  </si>
  <si>
    <t>Sale Value</t>
  </si>
  <si>
    <t>1BHK</t>
  </si>
  <si>
    <t>2 BHK</t>
  </si>
  <si>
    <t>Shops</t>
  </si>
  <si>
    <t>6th Slab</t>
  </si>
  <si>
    <t>12th Slab</t>
  </si>
  <si>
    <t>Finance Cost</t>
  </si>
  <si>
    <t>Excavation &amp; Piling</t>
  </si>
  <si>
    <t>Realizable Value of the land</t>
  </si>
  <si>
    <t>A</t>
  </si>
  <si>
    <t>B</t>
  </si>
  <si>
    <t>Cost of approvals at peak disbursement level</t>
  </si>
  <si>
    <t>C</t>
  </si>
  <si>
    <t>Cost of Construction at Peak Disbursement Level</t>
  </si>
  <si>
    <t>D</t>
  </si>
  <si>
    <t>E</t>
  </si>
  <si>
    <t>Net Security Available</t>
  </si>
  <si>
    <t>F = A+B+C-D+E</t>
  </si>
  <si>
    <t>G</t>
  </si>
  <si>
    <t>Peak Disbursement</t>
  </si>
  <si>
    <t>H = F/G</t>
  </si>
  <si>
    <t>FACR</t>
  </si>
  <si>
    <t>Calculations</t>
  </si>
  <si>
    <t>Amount in Cr</t>
  </si>
  <si>
    <t>Land Acquisition Cost</t>
  </si>
  <si>
    <t>Rent and Hardship Compensation</t>
  </si>
  <si>
    <t>Fungible FSI Premium</t>
  </si>
  <si>
    <t>TDR</t>
  </si>
  <si>
    <t>Approvals and Other Premiums</t>
  </si>
  <si>
    <t>Construction Cost - Rehab Building</t>
  </si>
  <si>
    <t>Construction Cost - Sale Building</t>
  </si>
  <si>
    <t>Selling and Marketing</t>
  </si>
  <si>
    <t>Professional Fees and Admin expenses</t>
  </si>
  <si>
    <t>Equity / Partnership Capital</t>
  </si>
  <si>
    <t>Unsecured Loans from promoters</t>
  </si>
  <si>
    <t>Advance from Units already sold</t>
  </si>
  <si>
    <t>Advance from Future bookings</t>
  </si>
  <si>
    <t>SRA</t>
  </si>
  <si>
    <t>Private SRA</t>
  </si>
  <si>
    <t>Society Redevelopment</t>
  </si>
  <si>
    <t>Freehold Owned Land</t>
  </si>
  <si>
    <t>Joint Venture</t>
  </si>
  <si>
    <t>Inflow bifurcation from unsold units</t>
  </si>
  <si>
    <t>Expected  Rate PSF</t>
  </si>
  <si>
    <t>Financial Year</t>
  </si>
  <si>
    <t>Numbr of units</t>
  </si>
  <si>
    <t>Offices</t>
  </si>
  <si>
    <t>Cashflow Timeline</t>
  </si>
  <si>
    <t>Booking Amount due</t>
  </si>
  <si>
    <t>Average RERA Carpet (SqF)</t>
  </si>
  <si>
    <t>Booking from Sold Units</t>
  </si>
  <si>
    <t>Bookngs from Unsold Units</t>
  </si>
  <si>
    <t>NOF</t>
  </si>
  <si>
    <t>Addition in NOF</t>
  </si>
  <si>
    <t>Loan Outstanding</t>
  </si>
  <si>
    <t>Bank Finance : NOF</t>
  </si>
  <si>
    <t>Net fund-flow</t>
  </si>
  <si>
    <t>Loan to Construction %</t>
  </si>
  <si>
    <t>Disbursement</t>
  </si>
  <si>
    <t>Loan Disbursement % : Promoter Margin %</t>
  </si>
  <si>
    <t>Bank Finance to Peak Deficit Ratio</t>
  </si>
  <si>
    <t>2023-2024</t>
  </si>
  <si>
    <t>2024-2025</t>
  </si>
  <si>
    <t>2025-2026</t>
  </si>
  <si>
    <t>2026-2027</t>
  </si>
  <si>
    <t>2027-2028</t>
  </si>
  <si>
    <t>2028-2029</t>
  </si>
  <si>
    <t>2029-2030</t>
  </si>
  <si>
    <t>Advance from the bookings</t>
  </si>
  <si>
    <t>Construction Expenses - Outflow</t>
  </si>
  <si>
    <t>Selling and Administration Cost</t>
  </si>
  <si>
    <t>Area Sold</t>
  </si>
  <si>
    <t>% Area Sold</t>
  </si>
  <si>
    <t>Project Completion</t>
  </si>
  <si>
    <t>Cumulative Direct Cost</t>
  </si>
  <si>
    <t>Promoter contribution</t>
  </si>
  <si>
    <t>Loan Disbursement</t>
  </si>
  <si>
    <t>Cumulative Loan Disbursement</t>
  </si>
  <si>
    <t>Loan Repayment</t>
  </si>
  <si>
    <t>Cumulative Loan Repayment</t>
  </si>
  <si>
    <t>Operating Statement</t>
  </si>
  <si>
    <t>Revenue from the project</t>
  </si>
  <si>
    <t>Costs</t>
  </si>
  <si>
    <t>Opening WIP</t>
  </si>
  <si>
    <t>Closing WIP</t>
  </si>
  <si>
    <t>Profit</t>
  </si>
  <si>
    <t>Taxes</t>
  </si>
  <si>
    <t>PAT</t>
  </si>
  <si>
    <t>Balance Sheet</t>
  </si>
  <si>
    <t>Current Liabilities</t>
  </si>
  <si>
    <t>CC</t>
  </si>
  <si>
    <t>Advance from Customers</t>
  </si>
  <si>
    <t>Provision for taxes</t>
  </si>
  <si>
    <t>Loan to be repaid in next 12 months</t>
  </si>
  <si>
    <t>Term Liabilities</t>
  </si>
  <si>
    <t>Term Loan Outstanding</t>
  </si>
  <si>
    <t>USL From Promoters</t>
  </si>
  <si>
    <t>TNW</t>
  </si>
  <si>
    <t>Equity Capital</t>
  </si>
  <si>
    <t>Reserves and Surplus</t>
  </si>
  <si>
    <t>Total Liabilities</t>
  </si>
  <si>
    <t>Current Assets</t>
  </si>
  <si>
    <t>Cash and Bank Balance</t>
  </si>
  <si>
    <t>Receivables from Sold Units</t>
  </si>
  <si>
    <t>Work in Process</t>
  </si>
  <si>
    <t>Finished Goods</t>
  </si>
  <si>
    <t>Total Assets</t>
  </si>
  <si>
    <t>Mismatch</t>
  </si>
  <si>
    <t>Contingencies</t>
  </si>
  <si>
    <t>Land Acquisition</t>
  </si>
  <si>
    <t>Advances at Peak Disbursement Level</t>
  </si>
  <si>
    <t>Brought in</t>
  </si>
  <si>
    <t>Cash Buffer Ratio</t>
  </si>
  <si>
    <t>Net Cashflow</t>
  </si>
  <si>
    <t>Debt Service Obligation</t>
  </si>
  <si>
    <t>Cashflow from promoters</t>
  </si>
  <si>
    <t>Release of Bank Debt</t>
  </si>
  <si>
    <t>Total Cashflow from Promoters and Bank Loan</t>
  </si>
  <si>
    <t>Cash Surplus</t>
  </si>
  <si>
    <t>Physical Progress of the project</t>
  </si>
  <si>
    <t>Cumulative Disbursement</t>
  </si>
  <si>
    <t>Dibursemnt % to Physical Progress</t>
  </si>
  <si>
    <t>Physical Progess %</t>
  </si>
  <si>
    <t xml:space="preserve">Disbursement  % </t>
  </si>
  <si>
    <t>Implementation Schedule</t>
  </si>
  <si>
    <t>Committed Margin</t>
  </si>
  <si>
    <t>Committed Margin %</t>
  </si>
  <si>
    <t>D/E Ratio</t>
  </si>
  <si>
    <t>Project Deficit</t>
  </si>
  <si>
    <t>Promoter Contribution to Physical Defcit
 %</t>
  </si>
  <si>
    <t>Loan to Physical Defcit 
%</t>
  </si>
  <si>
    <t>3rd Slab</t>
  </si>
  <si>
    <t>9th Slab</t>
  </si>
  <si>
    <t>15th Slab</t>
  </si>
  <si>
    <t>Internal Finishing</t>
  </si>
  <si>
    <t>Bank Finance - Term Loan</t>
  </si>
  <si>
    <t>Cumulative Promoters Contribution</t>
  </si>
  <si>
    <t>Promoter %    B/A</t>
  </si>
  <si>
    <t>Loan    D/A</t>
  </si>
  <si>
    <t>2022-23</t>
  </si>
  <si>
    <t>Shreeji Angarika</t>
  </si>
  <si>
    <t>Incurred up to April 2023</t>
  </si>
  <si>
    <t>Plinth</t>
  </si>
  <si>
    <t>Finishing</t>
  </si>
  <si>
    <t>Project Complete</t>
  </si>
  <si>
    <t>Ready to Occupy</t>
  </si>
  <si>
    <t>2  Large BHK</t>
  </si>
  <si>
    <t xml:space="preserve">Particulars </t>
  </si>
  <si>
    <t xml:space="preserve">Figures </t>
  </si>
  <si>
    <t xml:space="preserve">Unit </t>
  </si>
  <si>
    <t>Remark</t>
  </si>
  <si>
    <t>Residential</t>
  </si>
  <si>
    <t>Total Built-up Area</t>
  </si>
  <si>
    <t xml:space="preserve">Sq. ft. </t>
  </si>
  <si>
    <t>As per layout Plan</t>
  </si>
  <si>
    <t>Total Carpet Area</t>
  </si>
  <si>
    <t>As per Inventory Details provided by the company</t>
  </si>
  <si>
    <t>Total Booked Carpet Area</t>
  </si>
  <si>
    <t>Number of 
Booked Apartment</t>
  </si>
  <si>
    <t xml:space="preserve">Total unbooked carpet area </t>
  </si>
  <si>
    <t>Commercial</t>
  </si>
  <si>
    <t>Average selling price</t>
  </si>
  <si>
    <t xml:space="preserve">Per sq feet </t>
  </si>
  <si>
    <t xml:space="preserve">RKA Research </t>
  </si>
  <si>
    <t>Parking</t>
  </si>
  <si>
    <t>per parking</t>
  </si>
  <si>
    <t>Amount Received from sold units</t>
  </si>
  <si>
    <t>INR. Cr.</t>
  </si>
  <si>
    <t xml:space="preserve">Provided by company </t>
  </si>
  <si>
    <t>Amount to be received from Sold Units</t>
  </si>
  <si>
    <t>Cr.</t>
  </si>
  <si>
    <t>Construction completion</t>
  </si>
  <si>
    <t>As per Company</t>
  </si>
  <si>
    <t>Balance to be constructed</t>
  </si>
  <si>
    <t>Rate of Construction</t>
  </si>
  <si>
    <t xml:space="preserve">per Sq. ft. </t>
  </si>
  <si>
    <t>RKA Analysis</t>
  </si>
  <si>
    <t>Inflation on construction cost</t>
  </si>
  <si>
    <t>per year</t>
  </si>
  <si>
    <t>Amount to be incurred on Completion of project</t>
  </si>
  <si>
    <t xml:space="preserve">Discount Rate </t>
  </si>
  <si>
    <t>Inflation on sale price  year</t>
  </si>
  <si>
    <t>FY-23</t>
  </si>
  <si>
    <t>FY-24</t>
  </si>
  <si>
    <t>FY-25</t>
  </si>
  <si>
    <t>FY-26</t>
  </si>
  <si>
    <t>FY-27</t>
  </si>
  <si>
    <t xml:space="preserve">Outflow </t>
  </si>
  <si>
    <t>Amount to be incurred on completion of project (In Rs. Cr.)</t>
  </si>
  <si>
    <t>Phase</t>
  </si>
  <si>
    <t>Cost to be incurred in phase-Super Structure (INR Cr.)</t>
  </si>
  <si>
    <t>Cost to be incurred in phase-Sub Structure (Cr.)</t>
  </si>
  <si>
    <t>Loan Interest Repayment (Cr.)</t>
  </si>
  <si>
    <t>Total Outflow -A (INR Cr.)</t>
  </si>
  <si>
    <t xml:space="preserve">Inflow </t>
  </si>
  <si>
    <t>Total unbooked carpet area (sq. ft.)</t>
  </si>
  <si>
    <t>Selling Phase (%)</t>
  </si>
  <si>
    <t>Total area to be sold in phase (sq feet)</t>
  </si>
  <si>
    <t>Average market rate (Rs. Per sq feet)</t>
  </si>
  <si>
    <t>Amount to be Received (upfront)</t>
  </si>
  <si>
    <t>Amount to be Received (on possession)</t>
  </si>
  <si>
    <t>Sale consideration (In Rs. Cr.)</t>
  </si>
  <si>
    <t>Total unbooked carpet area (sq feet)</t>
  </si>
  <si>
    <t>Receiving Phase</t>
  </si>
  <si>
    <t>Amount to be Received (in Phases)</t>
  </si>
  <si>
    <t>Net Cash Flow</t>
  </si>
  <si>
    <t>Discount Period</t>
  </si>
  <si>
    <t>Discount Factor</t>
  </si>
  <si>
    <t>Net Present Value NPV (Rs. Cr.)</t>
  </si>
  <si>
    <t>SR. NO.</t>
  </si>
  <si>
    <t xml:space="preserve">Category </t>
  </si>
  <si>
    <t>Floor</t>
  </si>
  <si>
    <t>CARPET AREA (sq. ft.)</t>
  </si>
  <si>
    <t>1 &amp; 2</t>
  </si>
  <si>
    <t>3 to 15</t>
  </si>
  <si>
    <t>Average market rate (Rs. Per sq feet)(residential)</t>
  </si>
  <si>
    <t>Average market rate (Rs. Per sq feet)(commercial)</t>
  </si>
  <si>
    <t>Super built up area (sq. ft.)</t>
  </si>
  <si>
    <t>Carpet area (sq. ft.)</t>
  </si>
  <si>
    <t>Rera Carpet area (Sq.mtr.)</t>
  </si>
  <si>
    <r>
      <t xml:space="preserve">RESIDUAL WITHOUT NPV FOR </t>
    </r>
    <r>
      <rPr>
        <b/>
        <u/>
        <sz val="16"/>
        <color rgb="FFFF0000"/>
        <rFont val="Calibri"/>
        <family val="2"/>
        <scheme val="minor"/>
      </rPr>
      <t>FILE NO. VIS(2023-24)-PL361-291-459</t>
    </r>
  </si>
  <si>
    <t>Plot Area
(Sq. mtr.)</t>
  </si>
  <si>
    <t>Permissible built up area
(Sq. mtr.)</t>
  </si>
  <si>
    <t>Carpet Area (Sq. Ft.)</t>
  </si>
  <si>
    <t>Proposed BUA to be Constructed
(Sq. ft.)</t>
  </si>
  <si>
    <t>SBUA (sq. ft.)</t>
  </si>
  <si>
    <t>Residential  Area</t>
  </si>
  <si>
    <t>Commercial Shop</t>
  </si>
  <si>
    <t>Commercial Office</t>
  </si>
  <si>
    <t xml:space="preserve">* note: BUA is included stilt, refuge &amp; recreational area </t>
  </si>
  <si>
    <t>RATE ESCALATION PER SQ. FT. ON CARPET AREA</t>
  </si>
  <si>
    <t xml:space="preserve">REVENUE FROM SALE OF INVENTORY </t>
  </si>
  <si>
    <t>Year</t>
  </si>
  <si>
    <t>Rate of escalation</t>
  </si>
  <si>
    <t>PROJECT COST ACCORDING TO THE CLIENT(including soft cost)</t>
  </si>
  <si>
    <t>RESIDENTIAL</t>
  </si>
  <si>
    <t>COMMERCIAL SHOP</t>
  </si>
  <si>
    <t>OFFICE</t>
  </si>
  <si>
    <t xml:space="preserve">Sale out Phasing </t>
  </si>
  <si>
    <t>RERA CARPET (Sq. mtr.)</t>
  </si>
  <si>
    <t>2023-24</t>
  </si>
  <si>
    <t>2023-27</t>
  </si>
  <si>
    <t>2023-28</t>
  </si>
  <si>
    <t>2024-25</t>
  </si>
  <si>
    <t>2025-26</t>
  </si>
  <si>
    <t>=</t>
  </si>
  <si>
    <t>`=cf/(1+wacc)^t</t>
  </si>
  <si>
    <t xml:space="preserve">Sr. No. </t>
  </si>
  <si>
    <t xml:space="preserve">Description </t>
  </si>
  <si>
    <r>
      <t xml:space="preserve">Average Cost for Residential                          </t>
    </r>
    <r>
      <rPr>
        <b/>
        <i/>
        <sz val="10"/>
        <color theme="0"/>
        <rFont val="Calibri"/>
        <family val="2"/>
        <scheme val="minor"/>
      </rPr>
      <t>(per sq.ft.)</t>
    </r>
  </si>
  <si>
    <t>i</t>
  </si>
  <si>
    <t>Basic structure construction cost</t>
  </si>
  <si>
    <t>ii</t>
  </si>
  <si>
    <t>Project sanctioning/ approval, Architectural, structural stability Fees, etc.</t>
  </si>
  <si>
    <t>iii</t>
  </si>
  <si>
    <t>Finishing Work (Flooring, white washing, fittings &amp; fixtures, etc.)</t>
  </si>
  <si>
    <t>iv</t>
  </si>
  <si>
    <r>
      <t xml:space="preserve">MEP Works </t>
    </r>
    <r>
      <rPr>
        <i/>
        <sz val="11"/>
        <color theme="1"/>
        <rFont val="Calibri"/>
        <family val="2"/>
        <scheme val="minor"/>
      </rPr>
      <t>(Mechanical, Electrical &amp; Plumbing)</t>
    </r>
  </si>
  <si>
    <t>v</t>
  </si>
  <si>
    <t>Internal &amp; External Development charges</t>
  </si>
  <si>
    <t>vi</t>
  </si>
  <si>
    <t>vii</t>
  </si>
  <si>
    <t>T1
= Average Cost
x BUA Area</t>
  </si>
  <si>
    <t xml:space="preserve">BUA </t>
  </si>
  <si>
    <t>sq. ft.</t>
  </si>
  <si>
    <t xml:space="preserve">Construction cost inflation </t>
  </si>
  <si>
    <t>Construction cost</t>
  </si>
  <si>
    <t xml:space="preserve">Time Factor </t>
  </si>
  <si>
    <t>Residual Project Value as on the date of valution</t>
  </si>
  <si>
    <t xml:space="preserve">Construction cost </t>
  </si>
  <si>
    <t>Income from sale (in Cr.)</t>
  </si>
  <si>
    <t>Inflow (in Cr.)</t>
  </si>
  <si>
    <t>Total (In cr.)</t>
  </si>
  <si>
    <t>Net Present Value (in Cr.)</t>
  </si>
  <si>
    <t xml:space="preserve">Net Cash Flow </t>
  </si>
  <si>
    <t xml:space="preserve">Pre-operative &amp; Administrative expenses @ 10% of total cost  (i+ii+iii+iv+v+vi)           </t>
  </si>
  <si>
    <t>Discount factor</t>
  </si>
  <si>
    <t>Outflow (in Cr.)</t>
  </si>
  <si>
    <t>2026-27</t>
  </si>
  <si>
    <t>2027-28</t>
  </si>
  <si>
    <t>V</t>
  </si>
  <si>
    <t xml:space="preserve">Other expenses (Firefighting, intercom &amp; etc.) @ 5% of total cost (i+ii+iii+iv+v)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</si>
</sst>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₹&quot;* #,##0.00_);_(&quot;₹&quot;* \(#,##0.00\);_(&quot;₹&quot;* &quot;-&quot;??_);_(@_)"/>
    <numFmt numFmtId="167" formatCode="[$-409]mmm\-yy;@"/>
    <numFmt numFmtId="168" formatCode="_(* #,##0_);_(* \(#,##0\);_(* &quot;-&quot;??_);_(@_)"/>
    <numFmt numFmtId="169" formatCode="_(* #,##0.000000_);_(* \(#,##0.000000\);_(* &quot;-&quot;??????_);_(@_)"/>
    <numFmt numFmtId="170" formatCode="0.00_ "/>
    <numFmt numFmtId="171" formatCode="0.0_ "/>
    <numFmt numFmtId="172" formatCode="#,##0.0000_);\(#,##0.0000\)"/>
    <numFmt numFmtId="173" formatCode="0.00000"/>
    <numFmt numFmtId="174" formatCode="_ &quot;₹&quot;\ * #,##0_ ;_ &quot;₹&quot;\ * \-#,##0_ ;_ &quot;₹&quot;\ * &quot;-&quot;??_ ;_ @_ "/>
    <numFmt numFmtId="175" formatCode="_ * #,##0_ ;_ * \-#,##0_ ;_ * &quot;-&quot;??_ ;_ @_ "/>
    <numFmt numFmtId="176" formatCode="0.0%"/>
    <numFmt numFmtId="177" formatCode="_(&quot;₹&quot;* #,##0_);_(&quot;₹&quot;* \(#,##0\);_(&quot;₹&quot;* &quot;-&quot;??_);_(@_)"/>
    <numFmt numFmtId="178" formatCode="_ * #,##0.0_ ;_ * \-#,##0.0_ ;_ * &quot;-&quot;??_ ;_ @_ "/>
    <numFmt numFmtId="179" formatCode="_ [$₹-4009]\ * #,##0_ ;_ [$₹-4009]\ * \-#,##0_ ;_ [$₹-4009]\ * &quot;-&quot;??_ ;_ @_ "/>
    <numFmt numFmtId="180" formatCode="0.000"/>
  </numFmts>
  <fonts count="4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  <font>
      <sz val="12"/>
      <color rgb="FF000000"/>
      <name val="Charter Roman"/>
    </font>
    <font>
      <sz val="12"/>
      <color theme="1"/>
      <name val="Charter Roman"/>
    </font>
    <font>
      <b/>
      <sz val="11"/>
      <color theme="1"/>
      <name val="Charter Roman"/>
    </font>
    <font>
      <sz val="11"/>
      <color theme="1"/>
      <name val="Charter Rom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harter Roman"/>
    </font>
    <font>
      <b/>
      <sz val="12"/>
      <name val="Charter Roman"/>
    </font>
    <font>
      <sz val="12"/>
      <name val="Charter Roman"/>
    </font>
    <font>
      <b/>
      <sz val="12"/>
      <color theme="0" tint="-0.34998626667073579"/>
      <name val="Charter Roman"/>
    </font>
    <font>
      <sz val="12"/>
      <color theme="0" tint="-0.34998626667073579"/>
      <name val="Charter Roman"/>
    </font>
    <font>
      <b/>
      <sz val="11"/>
      <name val="Charter Roman"/>
    </font>
    <font>
      <b/>
      <i/>
      <sz val="11"/>
      <color theme="0" tint="-0.34998626667073579"/>
      <name val="Charter Roman"/>
    </font>
    <font>
      <b/>
      <i/>
      <sz val="11"/>
      <color theme="1"/>
      <name val="Charter Roman"/>
    </font>
    <font>
      <i/>
      <sz val="11"/>
      <color theme="1"/>
      <name val="Charter Roman"/>
    </font>
    <font>
      <i/>
      <sz val="12"/>
      <color theme="1"/>
      <name val="Charter Roman"/>
    </font>
    <font>
      <b/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u/>
      <sz val="16"/>
      <color theme="4" tint="-0.499984740745262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B3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4D5F4"/>
        <bgColor indexed="64"/>
      </patternFill>
    </fill>
    <fill>
      <patternFill patternType="solid">
        <fgColor rgb="FFBCE7EF"/>
        <bgColor indexed="64"/>
      </patternFill>
    </fill>
    <fill>
      <patternFill patternType="solid">
        <fgColor rgb="FFEFB1D8"/>
        <bgColor indexed="64"/>
      </patternFill>
    </fill>
    <fill>
      <patternFill patternType="solid">
        <fgColor rgb="FFE9EFBC"/>
        <bgColor indexed="64"/>
      </patternFill>
    </fill>
    <fill>
      <patternFill patternType="solid">
        <fgColor rgb="FFFEFFA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2F9"/>
        <bgColor indexed="64"/>
      </patternFill>
    </fill>
    <fill>
      <patternFill patternType="solid">
        <fgColor rgb="FFD0DEF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EBF9FA"/>
        <bgColor indexed="64"/>
      </patternFill>
    </fill>
    <fill>
      <patternFill patternType="solid">
        <fgColor rgb="FFFFA3A8"/>
        <bgColor indexed="64"/>
      </patternFill>
    </fill>
    <fill>
      <patternFill patternType="solid">
        <fgColor rgb="FFEBB8E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EECAD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D4D4F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/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5" tint="0.79995117038483843"/>
      </left>
      <right style="thin">
        <color theme="5" tint="0.79995117038483843"/>
      </right>
      <top style="thin">
        <color theme="5" tint="0.79995117038483843"/>
      </top>
      <bottom style="thin">
        <color theme="5" tint="0.7999511703848384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/>
      <diagonal/>
    </border>
    <border>
      <left style="double">
        <color theme="4" tint="-0.499984740745262"/>
      </left>
      <right style="double">
        <color theme="4" tint="-0.499984740745262"/>
      </right>
      <top/>
      <bottom/>
      <diagonal/>
    </border>
    <border>
      <left style="double">
        <color theme="4" tint="-0.499984740745262"/>
      </left>
      <right style="double">
        <color theme="4" tint="-0.499984740745262"/>
      </right>
      <top/>
      <bottom style="double">
        <color theme="4" tint="-0.499984740745262"/>
      </bottom>
      <diagonal/>
    </border>
    <border>
      <left style="double">
        <color theme="4" tint="0.39994506668294322"/>
      </left>
      <right/>
      <top style="double">
        <color theme="4" tint="0.39994506668294322"/>
      </top>
      <bottom style="double">
        <color theme="4" tint="0.39994506668294322"/>
      </bottom>
      <diagonal/>
    </border>
    <border>
      <left/>
      <right/>
      <top style="double">
        <color theme="4" tint="0.39994506668294322"/>
      </top>
      <bottom style="double">
        <color theme="4" tint="0.39994506668294322"/>
      </bottom>
      <diagonal/>
    </border>
    <border>
      <left/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double">
        <color theme="4" tint="0.79998168889431442"/>
      </left>
      <right style="double">
        <color theme="4" tint="0.79998168889431442"/>
      </right>
      <top style="double">
        <color theme="4" tint="0.79998168889431442"/>
      </top>
      <bottom style="double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5" fillId="0" borderId="0"/>
    <xf numFmtId="166" fontId="2" fillId="0" borderId="0" applyFont="0" applyFill="0" applyBorder="0" applyAlignment="0" applyProtection="0"/>
  </cellStyleXfs>
  <cellXfs count="556">
    <xf numFmtId="0" fontId="0" fillId="0" borderId="0" xfId="0"/>
    <xf numFmtId="0" fontId="3" fillId="4" borderId="1" xfId="0" applyFont="1" applyFill="1" applyBorder="1" applyProtection="1">
      <protection hidden="1"/>
    </xf>
    <xf numFmtId="0" fontId="3" fillId="4" borderId="1" xfId="0" applyFont="1" applyFill="1" applyBorder="1" applyAlignment="1" applyProtection="1">
      <alignment wrapText="1"/>
      <protection hidden="1"/>
    </xf>
    <xf numFmtId="9" fontId="0" fillId="5" borderId="3" xfId="2" applyFont="1" applyFill="1" applyBorder="1" applyProtection="1">
      <protection locked="0"/>
    </xf>
    <xf numFmtId="9" fontId="0" fillId="3" borderId="3" xfId="2" applyFont="1" applyFill="1" applyBorder="1" applyProtection="1">
      <protection hidden="1"/>
    </xf>
    <xf numFmtId="9" fontId="0" fillId="2" borderId="3" xfId="2" applyFont="1" applyFill="1" applyBorder="1" applyProtection="1">
      <protection hidden="1"/>
    </xf>
    <xf numFmtId="9" fontId="0" fillId="0" borderId="0" xfId="2" applyFont="1"/>
    <xf numFmtId="165" fontId="0" fillId="2" borderId="3" xfId="1" applyFont="1" applyFill="1" applyBorder="1" applyProtection="1">
      <protection hidden="1"/>
    </xf>
    <xf numFmtId="165" fontId="0" fillId="3" borderId="3" xfId="1" applyFont="1" applyFill="1" applyBorder="1" applyProtection="1">
      <protection hidden="1"/>
    </xf>
    <xf numFmtId="9" fontId="0" fillId="5" borderId="4" xfId="2" applyFont="1" applyFill="1" applyBorder="1" applyProtection="1">
      <protection locked="0"/>
    </xf>
    <xf numFmtId="165" fontId="0" fillId="2" borderId="4" xfId="1" applyFont="1" applyFill="1" applyBorder="1" applyProtection="1">
      <protection hidden="1"/>
    </xf>
    <xf numFmtId="10" fontId="5" fillId="6" borderId="3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center"/>
      <protection hidden="1"/>
    </xf>
    <xf numFmtId="17" fontId="10" fillId="4" borderId="2" xfId="0" applyNumberFormat="1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0" fillId="2" borderId="3" xfId="0" applyFill="1" applyBorder="1" applyProtection="1">
      <protection hidden="1"/>
    </xf>
    <xf numFmtId="10" fontId="5" fillId="6" borderId="3" xfId="2" applyNumberFormat="1" applyFont="1" applyFill="1" applyBorder="1" applyProtection="1"/>
    <xf numFmtId="2" fontId="0" fillId="2" borderId="3" xfId="0" applyNumberFormat="1" applyFill="1" applyBorder="1" applyProtection="1">
      <protection hidden="1"/>
    </xf>
    <xf numFmtId="2" fontId="0" fillId="0" borderId="0" xfId="0" applyNumberFormat="1"/>
    <xf numFmtId="2" fontId="0" fillId="3" borderId="3" xfId="0" applyNumberFormat="1" applyFill="1" applyBorder="1" applyProtection="1">
      <protection hidden="1"/>
    </xf>
    <xf numFmtId="10" fontId="0" fillId="3" borderId="3" xfId="0" applyNumberFormat="1" applyFill="1" applyBorder="1" applyProtection="1">
      <protection hidden="1"/>
    </xf>
    <xf numFmtId="0" fontId="5" fillId="6" borderId="3" xfId="0" applyFont="1" applyFill="1" applyBorder="1" applyProtection="1">
      <protection locked="0"/>
    </xf>
    <xf numFmtId="9" fontId="5" fillId="6" borderId="3" xfId="2" applyFont="1" applyFill="1" applyBorder="1" applyProtection="1">
      <protection locked="0"/>
    </xf>
    <xf numFmtId="9" fontId="5" fillId="6" borderId="3" xfId="0" applyNumberFormat="1" applyFont="1" applyFill="1" applyBorder="1" applyProtection="1">
      <protection locked="0"/>
    </xf>
    <xf numFmtId="0" fontId="0" fillId="2" borderId="6" xfId="0" applyFill="1" applyBorder="1" applyProtection="1">
      <protection hidden="1"/>
    </xf>
    <xf numFmtId="10" fontId="5" fillId="2" borderId="7" xfId="0" applyNumberFormat="1" applyFont="1" applyFill="1" applyBorder="1" applyProtection="1">
      <protection hidden="1"/>
    </xf>
    <xf numFmtId="2" fontId="0" fillId="2" borderId="7" xfId="0" applyNumberForma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10" fontId="3" fillId="4" borderId="5" xfId="2" applyNumberFormat="1" applyFont="1" applyFill="1" applyBorder="1" applyProtection="1">
      <protection hidden="1"/>
    </xf>
    <xf numFmtId="165" fontId="3" fillId="4" borderId="5" xfId="1" applyFont="1" applyFill="1" applyBorder="1" applyProtection="1">
      <protection hidden="1"/>
    </xf>
    <xf numFmtId="2" fontId="3" fillId="4" borderId="5" xfId="0" applyNumberFormat="1" applyFont="1" applyFill="1" applyBorder="1" applyProtection="1">
      <protection hidden="1"/>
    </xf>
    <xf numFmtId="10" fontId="5" fillId="6" borderId="9" xfId="0" applyNumberFormat="1" applyFont="1" applyFill="1" applyBorder="1" applyProtection="1">
      <protection locked="0"/>
    </xf>
    <xf numFmtId="165" fontId="0" fillId="2" borderId="9" xfId="1" applyFont="1" applyFill="1" applyBorder="1" applyProtection="1">
      <protection hidden="1"/>
    </xf>
    <xf numFmtId="165" fontId="0" fillId="3" borderId="9" xfId="1" applyFont="1" applyFill="1" applyBorder="1" applyProtection="1">
      <protection hidden="1"/>
    </xf>
    <xf numFmtId="9" fontId="5" fillId="6" borderId="9" xfId="0" applyNumberFormat="1" applyFont="1" applyFill="1" applyBorder="1" applyProtection="1">
      <protection locked="0"/>
    </xf>
    <xf numFmtId="165" fontId="0" fillId="2" borderId="10" xfId="1" applyFont="1" applyFill="1" applyBorder="1" applyProtection="1">
      <protection hidden="1"/>
    </xf>
    <xf numFmtId="0" fontId="15" fillId="0" borderId="5" xfId="14" applyBorder="1"/>
    <xf numFmtId="0" fontId="15" fillId="0" borderId="0" xfId="14"/>
    <xf numFmtId="0" fontId="1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 wrapText="1"/>
    </xf>
    <xf numFmtId="2" fontId="16" fillId="0" borderId="5" xfId="14" applyNumberFormat="1" applyFont="1" applyBorder="1" applyAlignment="1">
      <alignment horizontal="center" vertical="center" wrapText="1"/>
    </xf>
    <xf numFmtId="0" fontId="15" fillId="0" borderId="5" xfId="14" applyBorder="1" applyAlignment="1">
      <alignment horizontal="center"/>
    </xf>
    <xf numFmtId="170" fontId="15" fillId="0" borderId="5" xfId="14" applyNumberFormat="1" applyBorder="1" applyAlignment="1">
      <alignment horizontal="center"/>
    </xf>
    <xf numFmtId="1" fontId="15" fillId="0" borderId="5" xfId="14" applyNumberFormat="1" applyBorder="1" applyAlignment="1">
      <alignment horizontal="center"/>
    </xf>
    <xf numFmtId="170" fontId="15" fillId="0" borderId="5" xfId="14" applyNumberFormat="1" applyBorder="1"/>
    <xf numFmtId="170" fontId="16" fillId="0" borderId="5" xfId="14" applyNumberFormat="1" applyFont="1" applyBorder="1" applyAlignment="1">
      <alignment horizontal="center"/>
    </xf>
    <xf numFmtId="1" fontId="16" fillId="0" borderId="5" xfId="14" applyNumberFormat="1" applyFont="1" applyBorder="1" applyAlignment="1">
      <alignment horizontal="center"/>
    </xf>
    <xf numFmtId="0" fontId="15" fillId="9" borderId="5" xfId="14" applyFill="1" applyBorder="1" applyAlignment="1">
      <alignment horizontal="center"/>
    </xf>
    <xf numFmtId="0" fontId="15" fillId="0" borderId="0" xfId="14" applyAlignment="1">
      <alignment horizontal="center"/>
    </xf>
    <xf numFmtId="0" fontId="15" fillId="8" borderId="5" xfId="14" applyFill="1" applyBorder="1" applyAlignment="1">
      <alignment horizontal="center"/>
    </xf>
    <xf numFmtId="171" fontId="16" fillId="0" borderId="5" xfId="14" applyNumberFormat="1" applyFont="1" applyBorder="1" applyAlignment="1">
      <alignment horizontal="center"/>
    </xf>
    <xf numFmtId="2" fontId="15" fillId="0" borderId="0" xfId="14" applyNumberFormat="1" applyAlignment="1">
      <alignment horizontal="center"/>
    </xf>
    <xf numFmtId="170" fontId="2" fillId="0" borderId="5" xfId="14" applyNumberFormat="1" applyFont="1" applyBorder="1" applyAlignment="1">
      <alignment horizontal="center"/>
    </xf>
    <xf numFmtId="1" fontId="2" fillId="0" borderId="5" xfId="14" applyNumberFormat="1" applyFont="1" applyBorder="1" applyAlignment="1">
      <alignment horizontal="center"/>
    </xf>
    <xf numFmtId="0" fontId="3" fillId="0" borderId="0" xfId="14" applyFont="1"/>
    <xf numFmtId="173" fontId="15" fillId="0" borderId="0" xfId="14" applyNumberFormat="1" applyAlignment="1">
      <alignment horizontal="center"/>
    </xf>
    <xf numFmtId="165" fontId="15" fillId="0" borderId="0" xfId="1" applyFont="1" applyAlignment="1">
      <alignment horizontal="center"/>
    </xf>
    <xf numFmtId="0" fontId="12" fillId="10" borderId="11" xfId="0" applyFont="1" applyFill="1" applyBorder="1"/>
    <xf numFmtId="0" fontId="12" fillId="11" borderId="11" xfId="0" applyFont="1" applyFill="1" applyBorder="1"/>
    <xf numFmtId="0" fontId="12" fillId="11" borderId="11" xfId="0" applyFont="1" applyFill="1" applyBorder="1" applyAlignment="1">
      <alignment wrapText="1"/>
    </xf>
    <xf numFmtId="0" fontId="17" fillId="13" borderId="12" xfId="0" applyFont="1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14" borderId="15" xfId="0" applyFont="1" applyFill="1" applyBorder="1" applyProtection="1">
      <protection locked="0"/>
    </xf>
    <xf numFmtId="168" fontId="12" fillId="14" borderId="15" xfId="1" applyNumberFormat="1" applyFont="1" applyFill="1" applyBorder="1" applyAlignment="1" applyProtection="1">
      <alignment horizontal="center"/>
      <protection locked="0"/>
    </xf>
    <xf numFmtId="0" fontId="12" fillId="14" borderId="15" xfId="1" applyNumberFormat="1" applyFont="1" applyFill="1" applyBorder="1" applyAlignment="1" applyProtection="1">
      <alignment horizontal="center"/>
      <protection locked="0"/>
    </xf>
    <xf numFmtId="168" fontId="12" fillId="14" borderId="15" xfId="1" applyNumberFormat="1" applyFont="1" applyFill="1" applyBorder="1" applyProtection="1">
      <protection locked="0"/>
    </xf>
    <xf numFmtId="168" fontId="0" fillId="0" borderId="0" xfId="0" applyNumberFormat="1" applyAlignment="1" applyProtection="1">
      <alignment horizontal="center"/>
      <protection locked="0"/>
    </xf>
    <xf numFmtId="0" fontId="12" fillId="11" borderId="15" xfId="0" applyFont="1" applyFill="1" applyBorder="1" applyProtection="1">
      <protection locked="0"/>
    </xf>
    <xf numFmtId="168" fontId="12" fillId="11" borderId="15" xfId="1" applyNumberFormat="1" applyFont="1" applyFill="1" applyBorder="1" applyAlignment="1" applyProtection="1">
      <alignment horizontal="center"/>
      <protection locked="0"/>
    </xf>
    <xf numFmtId="0" fontId="12" fillId="11" borderId="15" xfId="1" applyNumberFormat="1" applyFont="1" applyFill="1" applyBorder="1" applyAlignment="1" applyProtection="1">
      <alignment horizontal="center"/>
      <protection locked="0"/>
    </xf>
    <xf numFmtId="168" fontId="12" fillId="11" borderId="15" xfId="1" applyNumberFormat="1" applyFont="1" applyFill="1" applyBorder="1" applyProtection="1">
      <protection locked="0"/>
    </xf>
    <xf numFmtId="0" fontId="12" fillId="17" borderId="15" xfId="0" applyFont="1" applyFill="1" applyBorder="1" applyProtection="1">
      <protection locked="0"/>
    </xf>
    <xf numFmtId="168" fontId="12" fillId="17" borderId="15" xfId="1" applyNumberFormat="1" applyFont="1" applyFill="1" applyBorder="1" applyAlignment="1" applyProtection="1">
      <alignment horizontal="center"/>
      <protection locked="0"/>
    </xf>
    <xf numFmtId="0" fontId="12" fillId="17" borderId="15" xfId="1" applyNumberFormat="1" applyFont="1" applyFill="1" applyBorder="1" applyAlignment="1" applyProtection="1">
      <alignment horizontal="center"/>
      <protection locked="0"/>
    </xf>
    <xf numFmtId="168" fontId="12" fillId="17" borderId="15" xfId="1" applyNumberFormat="1" applyFont="1" applyFill="1" applyBorder="1" applyProtection="1">
      <protection locked="0"/>
    </xf>
    <xf numFmtId="0" fontId="12" fillId="18" borderId="15" xfId="0" applyFont="1" applyFill="1" applyBorder="1" applyProtection="1">
      <protection locked="0"/>
    </xf>
    <xf numFmtId="168" fontId="12" fillId="18" borderId="15" xfId="1" applyNumberFormat="1" applyFont="1" applyFill="1" applyBorder="1" applyAlignment="1" applyProtection="1">
      <alignment horizontal="center"/>
      <protection locked="0"/>
    </xf>
    <xf numFmtId="0" fontId="12" fillId="18" borderId="15" xfId="1" applyNumberFormat="1" applyFont="1" applyFill="1" applyBorder="1" applyAlignment="1" applyProtection="1">
      <alignment horizontal="center"/>
      <protection locked="0"/>
    </xf>
    <xf numFmtId="168" fontId="12" fillId="18" borderId="15" xfId="1" applyNumberFormat="1" applyFont="1" applyFill="1" applyBorder="1" applyProtection="1">
      <protection locked="0"/>
    </xf>
    <xf numFmtId="0" fontId="12" fillId="19" borderId="15" xfId="0" applyFont="1" applyFill="1" applyBorder="1" applyProtection="1">
      <protection locked="0"/>
    </xf>
    <xf numFmtId="168" fontId="12" fillId="19" borderId="15" xfId="1" applyNumberFormat="1" applyFont="1" applyFill="1" applyBorder="1" applyAlignment="1" applyProtection="1">
      <alignment horizontal="center"/>
      <protection locked="0"/>
    </xf>
    <xf numFmtId="0" fontId="12" fillId="19" borderId="15" xfId="1" applyNumberFormat="1" applyFont="1" applyFill="1" applyBorder="1" applyAlignment="1" applyProtection="1">
      <alignment horizontal="center"/>
      <protection locked="0"/>
    </xf>
    <xf numFmtId="168" fontId="12" fillId="19" borderId="15" xfId="1" applyNumberFormat="1" applyFont="1" applyFill="1" applyBorder="1" applyProtection="1">
      <protection locked="0"/>
    </xf>
    <xf numFmtId="169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7" fillId="17" borderId="16" xfId="0" applyFont="1" applyFill="1" applyBorder="1" applyAlignment="1" applyProtection="1">
      <alignment horizontal="center"/>
      <protection locked="0"/>
    </xf>
    <xf numFmtId="0" fontId="17" fillId="17" borderId="16" xfId="0" applyFont="1" applyFill="1" applyBorder="1" applyAlignment="1" applyProtection="1">
      <alignment horizontal="left"/>
      <protection locked="0"/>
    </xf>
    <xf numFmtId="0" fontId="17" fillId="17" borderId="16" xfId="0" applyFont="1" applyFill="1" applyBorder="1" applyAlignment="1" applyProtection="1">
      <alignment horizontal="center" wrapText="1"/>
      <protection locked="0"/>
    </xf>
    <xf numFmtId="0" fontId="12" fillId="20" borderId="16" xfId="0" applyFont="1" applyFill="1" applyBorder="1" applyAlignment="1" applyProtection="1">
      <alignment horizontal="center"/>
      <protection locked="0"/>
    </xf>
    <xf numFmtId="167" fontId="12" fillId="20" borderId="16" xfId="0" applyNumberFormat="1" applyFont="1" applyFill="1" applyBorder="1" applyAlignment="1" applyProtection="1">
      <alignment horizontal="center"/>
      <protection locked="0"/>
    </xf>
    <xf numFmtId="0" fontId="12" fillId="20" borderId="16" xfId="0" applyFont="1" applyFill="1" applyBorder="1" applyAlignment="1" applyProtection="1">
      <alignment horizontal="left"/>
      <protection locked="0"/>
    </xf>
    <xf numFmtId="10" fontId="12" fillId="20" borderId="16" xfId="0" applyNumberFormat="1" applyFont="1" applyFill="1" applyBorder="1" applyAlignment="1" applyProtection="1">
      <alignment horizontal="center"/>
      <protection locked="0"/>
    </xf>
    <xf numFmtId="166" fontId="0" fillId="0" borderId="0" xfId="15" applyFont="1" applyProtection="1">
      <protection locked="0"/>
    </xf>
    <xf numFmtId="0" fontId="11" fillId="20" borderId="16" xfId="0" applyFont="1" applyFill="1" applyBorder="1" applyAlignment="1" applyProtection="1">
      <alignment horizontal="left"/>
      <protection locked="0"/>
    </xf>
    <xf numFmtId="165" fontId="12" fillId="14" borderId="15" xfId="1" applyFont="1" applyFill="1" applyBorder="1" applyProtection="1"/>
    <xf numFmtId="165" fontId="12" fillId="11" borderId="15" xfId="1" applyFont="1" applyFill="1" applyBorder="1" applyProtection="1"/>
    <xf numFmtId="165" fontId="12" fillId="17" borderId="15" xfId="1" applyFont="1" applyFill="1" applyBorder="1" applyProtection="1"/>
    <xf numFmtId="165" fontId="12" fillId="18" borderId="15" xfId="1" applyFont="1" applyFill="1" applyBorder="1" applyProtection="1"/>
    <xf numFmtId="165" fontId="12" fillId="19" borderId="15" xfId="1" applyFont="1" applyFill="1" applyBorder="1" applyProtection="1"/>
    <xf numFmtId="165" fontId="17" fillId="5" borderId="15" xfId="0" applyNumberFormat="1" applyFont="1" applyFill="1" applyBorder="1"/>
    <xf numFmtId="0" fontId="17" fillId="17" borderId="16" xfId="0" applyFont="1" applyFill="1" applyBorder="1" applyAlignment="1">
      <alignment horizontal="right" wrapText="1"/>
    </xf>
    <xf numFmtId="0" fontId="20" fillId="17" borderId="16" xfId="0" applyFont="1" applyFill="1" applyBorder="1" applyAlignment="1">
      <alignment horizontal="center"/>
    </xf>
    <xf numFmtId="10" fontId="12" fillId="20" borderId="16" xfId="0" applyNumberFormat="1" applyFont="1" applyFill="1" applyBorder="1"/>
    <xf numFmtId="43" fontId="21" fillId="20" borderId="16" xfId="0" applyNumberFormat="1" applyFont="1" applyFill="1" applyBorder="1" applyAlignment="1">
      <alignment horizontal="center"/>
    </xf>
    <xf numFmtId="0" fontId="17" fillId="7" borderId="15" xfId="0" applyFont="1" applyFill="1" applyBorder="1" applyProtection="1">
      <protection locked="0"/>
    </xf>
    <xf numFmtId="0" fontId="17" fillId="21" borderId="15" xfId="0" applyFont="1" applyFill="1" applyBorder="1" applyAlignment="1" applyProtection="1">
      <alignment horizontal="center"/>
      <protection locked="0"/>
    </xf>
    <xf numFmtId="0" fontId="12" fillId="7" borderId="15" xfId="0" applyFont="1" applyFill="1" applyBorder="1" applyAlignment="1" applyProtection="1">
      <alignment horizontal="left"/>
      <protection locked="0"/>
    </xf>
    <xf numFmtId="0" fontId="12" fillId="21" borderId="15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2" fillId="12" borderId="15" xfId="0" applyFont="1" applyFill="1" applyBorder="1" applyAlignment="1" applyProtection="1">
      <alignment horizontal="center"/>
      <protection locked="0"/>
    </xf>
    <xf numFmtId="167" fontId="12" fillId="12" borderId="15" xfId="0" applyNumberFormat="1" applyFont="1" applyFill="1" applyBorder="1" applyAlignment="1" applyProtection="1">
      <alignment horizontal="center"/>
      <protection locked="0"/>
    </xf>
    <xf numFmtId="0" fontId="17" fillId="12" borderId="15" xfId="0" applyFont="1" applyFill="1" applyBorder="1" applyAlignment="1" applyProtection="1">
      <alignment horizontal="left"/>
      <protection locked="0"/>
    </xf>
    <xf numFmtId="0" fontId="17" fillId="12" borderId="15" xfId="0" applyFont="1" applyFill="1" applyBorder="1" applyAlignment="1" applyProtection="1">
      <alignment horizontal="center"/>
      <protection locked="0"/>
    </xf>
    <xf numFmtId="1" fontId="12" fillId="12" borderId="15" xfId="0" applyNumberFormat="1" applyFont="1" applyFill="1" applyBorder="1" applyProtection="1">
      <protection locked="0"/>
    </xf>
    <xf numFmtId="2" fontId="12" fillId="12" borderId="15" xfId="0" applyNumberFormat="1" applyFont="1" applyFill="1" applyBorder="1" applyProtection="1">
      <protection locked="0"/>
    </xf>
    <xf numFmtId="10" fontId="12" fillId="12" borderId="15" xfId="2" applyNumberFormat="1" applyFont="1" applyFill="1" applyBorder="1" applyProtection="1">
      <protection locked="0"/>
    </xf>
    <xf numFmtId="165" fontId="17" fillId="12" borderId="15" xfId="0" applyNumberFormat="1" applyFont="1" applyFill="1" applyBorder="1" applyProtection="1">
      <protection locked="0"/>
    </xf>
    <xf numFmtId="0" fontId="12" fillId="16" borderId="15" xfId="0" applyFont="1" applyFill="1" applyBorder="1" applyAlignment="1">
      <alignment horizontal="center"/>
    </xf>
    <xf numFmtId="0" fontId="17" fillId="15" borderId="15" xfId="0" applyFont="1" applyFill="1" applyBorder="1" applyAlignment="1">
      <alignment horizontal="center"/>
    </xf>
    <xf numFmtId="0" fontId="20" fillId="11" borderId="15" xfId="0" applyFont="1" applyFill="1" applyBorder="1" applyAlignment="1">
      <alignment horizontal="center"/>
    </xf>
    <xf numFmtId="167" fontId="12" fillId="15" borderId="15" xfId="0" applyNumberFormat="1" applyFont="1" applyFill="1" applyBorder="1" applyAlignment="1">
      <alignment horizontal="center"/>
    </xf>
    <xf numFmtId="167" fontId="21" fillId="11" borderId="15" xfId="0" applyNumberFormat="1" applyFont="1" applyFill="1" applyBorder="1" applyAlignment="1">
      <alignment horizontal="center"/>
    </xf>
    <xf numFmtId="0" fontId="17" fillId="22" borderId="15" xfId="0" applyFont="1" applyFill="1" applyBorder="1" applyAlignment="1">
      <alignment horizontal="center" wrapText="1"/>
    </xf>
    <xf numFmtId="0" fontId="17" fillId="23" borderId="15" xfId="0" applyFont="1" applyFill="1" applyBorder="1" applyAlignment="1">
      <alignment horizontal="right" wrapText="1"/>
    </xf>
    <xf numFmtId="0" fontId="17" fillId="3" borderId="15" xfId="0" applyFont="1" applyFill="1" applyBorder="1" applyAlignment="1">
      <alignment wrapText="1"/>
    </xf>
    <xf numFmtId="9" fontId="17" fillId="3" borderId="15" xfId="2" applyFont="1" applyFill="1" applyBorder="1" applyAlignment="1" applyProtection="1">
      <alignment wrapText="1"/>
    </xf>
    <xf numFmtId="0" fontId="17" fillId="24" borderId="15" xfId="0" applyFont="1" applyFill="1" applyBorder="1" applyAlignment="1">
      <alignment horizontal="right" wrapText="1"/>
    </xf>
    <xf numFmtId="0" fontId="17" fillId="24" borderId="15" xfId="0" applyFont="1" applyFill="1" applyBorder="1" applyAlignment="1">
      <alignment horizontal="center" wrapText="1"/>
    </xf>
    <xf numFmtId="168" fontId="12" fillId="22" borderId="15" xfId="1" applyNumberFormat="1" applyFont="1" applyFill="1" applyBorder="1" applyProtection="1"/>
    <xf numFmtId="2" fontId="12" fillId="23" borderId="15" xfId="0" applyNumberFormat="1" applyFont="1" applyFill="1" applyBorder="1"/>
    <xf numFmtId="10" fontId="12" fillId="3" borderId="15" xfId="2" applyNumberFormat="1" applyFont="1" applyFill="1" applyBorder="1" applyProtection="1"/>
    <xf numFmtId="2" fontId="12" fillId="24" borderId="15" xfId="0" applyNumberFormat="1" applyFont="1" applyFill="1" applyBorder="1"/>
    <xf numFmtId="165" fontId="12" fillId="24" borderId="15" xfId="1" applyFont="1" applyFill="1" applyBorder="1" applyProtection="1"/>
    <xf numFmtId="165" fontId="12" fillId="24" borderId="15" xfId="0" applyNumberFormat="1" applyFont="1" applyFill="1" applyBorder="1"/>
    <xf numFmtId="0" fontId="14" fillId="0" borderId="0" xfId="0" applyFont="1"/>
    <xf numFmtId="0" fontId="13" fillId="0" borderId="0" xfId="0" applyFont="1"/>
    <xf numFmtId="17" fontId="14" fillId="0" borderId="0" xfId="0" applyNumberFormat="1" applyFont="1"/>
    <xf numFmtId="165" fontId="14" fillId="0" borderId="0" xfId="1" applyFont="1" applyProtection="1"/>
    <xf numFmtId="165" fontId="14" fillId="0" borderId="0" xfId="0" applyNumberFormat="1" applyFont="1"/>
    <xf numFmtId="43" fontId="14" fillId="0" borderId="0" xfId="3" applyFont="1" applyProtection="1"/>
    <xf numFmtId="2" fontId="14" fillId="0" borderId="0" xfId="0" applyNumberFormat="1" applyFont="1"/>
    <xf numFmtId="165" fontId="14" fillId="0" borderId="0" xfId="4" applyFont="1" applyProtection="1"/>
    <xf numFmtId="10" fontId="13" fillId="0" borderId="0" xfId="2" applyNumberFormat="1" applyFont="1" applyProtection="1"/>
    <xf numFmtId="165" fontId="13" fillId="0" borderId="0" xfId="4" applyFont="1" applyProtection="1"/>
    <xf numFmtId="2" fontId="13" fillId="0" borderId="0" xfId="0" applyNumberFormat="1" applyFont="1"/>
    <xf numFmtId="4" fontId="14" fillId="0" borderId="0" xfId="0" applyNumberFormat="1" applyFont="1"/>
    <xf numFmtId="0" fontId="23" fillId="16" borderId="3" xfId="0" applyFont="1" applyFill="1" applyBorder="1" applyAlignment="1">
      <alignment horizontal="center"/>
    </xf>
    <xf numFmtId="0" fontId="23" fillId="16" borderId="3" xfId="0" applyFont="1" applyFill="1" applyBorder="1" applyAlignment="1">
      <alignment horizontal="right" wrapText="1"/>
    </xf>
    <xf numFmtId="17" fontId="13" fillId="16" borderId="3" xfId="0" applyNumberFormat="1" applyFont="1" applyFill="1" applyBorder="1" applyAlignment="1">
      <alignment horizontal="right"/>
    </xf>
    <xf numFmtId="49" fontId="13" fillId="16" borderId="3" xfId="0" applyNumberFormat="1" applyFont="1" applyFill="1" applyBorder="1" applyAlignment="1">
      <alignment horizontal="right"/>
    </xf>
    <xf numFmtId="0" fontId="24" fillId="14" borderId="3" xfId="0" applyFont="1" applyFill="1" applyBorder="1"/>
    <xf numFmtId="2" fontId="25" fillId="14" borderId="3" xfId="0" applyNumberFormat="1" applyFont="1" applyFill="1" applyBorder="1"/>
    <xf numFmtId="2" fontId="14" fillId="0" borderId="3" xfId="0" applyNumberFormat="1" applyFont="1" applyBorder="1"/>
    <xf numFmtId="0" fontId="14" fillId="11" borderId="3" xfId="0" applyFont="1" applyFill="1" applyBorder="1"/>
    <xf numFmtId="2" fontId="14" fillId="11" borderId="3" xfId="0" applyNumberFormat="1" applyFont="1" applyFill="1" applyBorder="1"/>
    <xf numFmtId="0" fontId="13" fillId="23" borderId="3" xfId="0" applyFont="1" applyFill="1" applyBorder="1"/>
    <xf numFmtId="2" fontId="13" fillId="23" borderId="3" xfId="0" applyNumberFormat="1" applyFont="1" applyFill="1" applyBorder="1"/>
    <xf numFmtId="0" fontId="14" fillId="25" borderId="3" xfId="0" applyFont="1" applyFill="1" applyBorder="1"/>
    <xf numFmtId="165" fontId="13" fillId="25" borderId="3" xfId="0" applyNumberFormat="1" applyFont="1" applyFill="1" applyBorder="1"/>
    <xf numFmtId="4" fontId="14" fillId="0" borderId="3" xfId="0" applyNumberFormat="1" applyFont="1" applyBorder="1"/>
    <xf numFmtId="4" fontId="14" fillId="25" borderId="3" xfId="1" applyNumberFormat="1" applyFont="1" applyFill="1" applyBorder="1" applyProtection="1">
      <protection locked="0"/>
    </xf>
    <xf numFmtId="0" fontId="14" fillId="26" borderId="3" xfId="0" applyFont="1" applyFill="1" applyBorder="1"/>
    <xf numFmtId="165" fontId="13" fillId="26" borderId="3" xfId="0" applyNumberFormat="1" applyFont="1" applyFill="1" applyBorder="1"/>
    <xf numFmtId="4" fontId="14" fillId="26" borderId="3" xfId="1" applyNumberFormat="1" applyFont="1" applyFill="1" applyBorder="1" applyProtection="1">
      <protection locked="0"/>
    </xf>
    <xf numFmtId="0" fontId="14" fillId="10" borderId="3" xfId="0" applyFont="1" applyFill="1" applyBorder="1"/>
    <xf numFmtId="165" fontId="13" fillId="10" borderId="3" xfId="0" applyNumberFormat="1" applyFont="1" applyFill="1" applyBorder="1"/>
    <xf numFmtId="4" fontId="14" fillId="10" borderId="3" xfId="1" applyNumberFormat="1" applyFont="1" applyFill="1" applyBorder="1" applyProtection="1">
      <protection locked="0"/>
    </xf>
    <xf numFmtId="0" fontId="14" fillId="3" borderId="3" xfId="0" applyFont="1" applyFill="1" applyBorder="1"/>
    <xf numFmtId="165" fontId="13" fillId="3" borderId="3" xfId="0" applyNumberFormat="1" applyFont="1" applyFill="1" applyBorder="1"/>
    <xf numFmtId="4" fontId="14" fillId="3" borderId="3" xfId="1" applyNumberFormat="1" applyFont="1" applyFill="1" applyBorder="1" applyProtection="1">
      <protection locked="0"/>
    </xf>
    <xf numFmtId="0" fontId="14" fillId="13" borderId="3" xfId="0" applyFont="1" applyFill="1" applyBorder="1"/>
    <xf numFmtId="4" fontId="14" fillId="13" borderId="3" xfId="0" applyNumberFormat="1" applyFont="1" applyFill="1" applyBorder="1"/>
    <xf numFmtId="4" fontId="14" fillId="13" borderId="3" xfId="1" applyNumberFormat="1" applyFont="1" applyFill="1" applyBorder="1" applyProtection="1">
      <protection locked="0"/>
    </xf>
    <xf numFmtId="0" fontId="13" fillId="18" borderId="3" xfId="0" applyFont="1" applyFill="1" applyBorder="1"/>
    <xf numFmtId="4" fontId="13" fillId="18" borderId="3" xfId="0" applyNumberFormat="1" applyFont="1" applyFill="1" applyBorder="1"/>
    <xf numFmtId="0" fontId="13" fillId="3" borderId="3" xfId="0" applyFont="1" applyFill="1" applyBorder="1"/>
    <xf numFmtId="2" fontId="14" fillId="3" borderId="3" xfId="0" applyNumberFormat="1" applyFont="1" applyFill="1" applyBorder="1"/>
    <xf numFmtId="4" fontId="14" fillId="3" borderId="3" xfId="0" applyNumberFormat="1" applyFont="1" applyFill="1" applyBorder="1"/>
    <xf numFmtId="0" fontId="14" fillId="0" borderId="3" xfId="0" applyFont="1" applyBorder="1"/>
    <xf numFmtId="0" fontId="13" fillId="11" borderId="3" xfId="0" applyFont="1" applyFill="1" applyBorder="1"/>
    <xf numFmtId="4" fontId="14" fillId="11" borderId="3" xfId="0" applyNumberFormat="1" applyFont="1" applyFill="1" applyBorder="1"/>
    <xf numFmtId="4" fontId="14" fillId="25" borderId="3" xfId="0" applyNumberFormat="1" applyFont="1" applyFill="1" applyBorder="1"/>
    <xf numFmtId="0" fontId="14" fillId="15" borderId="3" xfId="0" applyFont="1" applyFill="1" applyBorder="1"/>
    <xf numFmtId="4" fontId="13" fillId="15" borderId="3" xfId="0" applyNumberFormat="1" applyFont="1" applyFill="1" applyBorder="1"/>
    <xf numFmtId="0" fontId="14" fillId="23" borderId="3" xfId="0" applyFont="1" applyFill="1" applyBorder="1"/>
    <xf numFmtId="4" fontId="13" fillId="23" borderId="3" xfId="0" applyNumberFormat="1" applyFont="1" applyFill="1" applyBorder="1"/>
    <xf numFmtId="0" fontId="13" fillId="12" borderId="3" xfId="0" applyFont="1" applyFill="1" applyBorder="1"/>
    <xf numFmtId="4" fontId="13" fillId="12" borderId="3" xfId="0" applyNumberFormat="1" applyFont="1" applyFill="1" applyBorder="1"/>
    <xf numFmtId="0" fontId="13" fillId="27" borderId="3" xfId="0" applyFont="1" applyFill="1" applyBorder="1"/>
    <xf numFmtId="4" fontId="13" fillId="27" borderId="3" xfId="0" applyNumberFormat="1" applyFont="1" applyFill="1" applyBorder="1"/>
    <xf numFmtId="0" fontId="14" fillId="28" borderId="3" xfId="0" applyFont="1" applyFill="1" applyBorder="1"/>
    <xf numFmtId="4" fontId="14" fillId="28" borderId="3" xfId="1" applyNumberFormat="1" applyFont="1" applyFill="1" applyBorder="1" applyProtection="1"/>
    <xf numFmtId="0" fontId="14" fillId="29" borderId="3" xfId="0" applyFont="1" applyFill="1" applyBorder="1"/>
    <xf numFmtId="165" fontId="13" fillId="18" borderId="3" xfId="1" applyFont="1" applyFill="1" applyBorder="1" applyProtection="1"/>
    <xf numFmtId="9" fontId="14" fillId="29" borderId="3" xfId="2" applyFont="1" applyFill="1" applyBorder="1" applyProtection="1"/>
    <xf numFmtId="4" fontId="13" fillId="25" borderId="3" xfId="0" applyNumberFormat="1" applyFont="1" applyFill="1" applyBorder="1"/>
    <xf numFmtId="165" fontId="14" fillId="29" borderId="3" xfId="0" applyNumberFormat="1" applyFont="1" applyFill="1" applyBorder="1"/>
    <xf numFmtId="0" fontId="14" fillId="31" borderId="3" xfId="0" applyFont="1" applyFill="1" applyBorder="1"/>
    <xf numFmtId="9" fontId="13" fillId="31" borderId="3" xfId="2" applyFont="1" applyFill="1" applyBorder="1" applyProtection="1"/>
    <xf numFmtId="0" fontId="14" fillId="0" borderId="0" xfId="0" applyFont="1" applyProtection="1">
      <protection locked="0"/>
    </xf>
    <xf numFmtId="0" fontId="14" fillId="34" borderId="22" xfId="0" applyFont="1" applyFill="1" applyBorder="1" applyProtection="1">
      <protection locked="0"/>
    </xf>
    <xf numFmtId="165" fontId="14" fillId="34" borderId="22" xfId="1" applyFont="1" applyFill="1" applyBorder="1" applyProtection="1">
      <protection locked="0"/>
    </xf>
    <xf numFmtId="0" fontId="25" fillId="0" borderId="0" xfId="0" applyFont="1" applyProtection="1">
      <protection locked="0"/>
    </xf>
    <xf numFmtId="0" fontId="14" fillId="32" borderId="23" xfId="0" applyFont="1" applyFill="1" applyBorder="1" applyProtection="1">
      <protection locked="0"/>
    </xf>
    <xf numFmtId="165" fontId="14" fillId="0" borderId="0" xfId="0" applyNumberFormat="1" applyFont="1" applyProtection="1">
      <protection locked="0"/>
    </xf>
    <xf numFmtId="0" fontId="13" fillId="32" borderId="22" xfId="0" applyFont="1" applyFill="1" applyBorder="1" applyProtection="1">
      <protection hidden="1"/>
    </xf>
    <xf numFmtId="165" fontId="13" fillId="32" borderId="22" xfId="1" applyFont="1" applyFill="1" applyBorder="1" applyAlignment="1" applyProtection="1">
      <alignment horizontal="right"/>
      <protection hidden="1"/>
    </xf>
    <xf numFmtId="0" fontId="14" fillId="33" borderId="22" xfId="0" applyFont="1" applyFill="1" applyBorder="1" applyProtection="1">
      <protection hidden="1"/>
    </xf>
    <xf numFmtId="165" fontId="14" fillId="33" borderId="22" xfId="1" applyFont="1" applyFill="1" applyBorder="1" applyProtection="1">
      <protection hidden="1"/>
    </xf>
    <xf numFmtId="0" fontId="13" fillId="18" borderId="22" xfId="0" applyFont="1" applyFill="1" applyBorder="1" applyProtection="1">
      <protection hidden="1"/>
    </xf>
    <xf numFmtId="165" fontId="14" fillId="18" borderId="22" xfId="1" applyFont="1" applyFill="1" applyBorder="1" applyProtection="1">
      <protection hidden="1"/>
    </xf>
    <xf numFmtId="0" fontId="14" fillId="18" borderId="22" xfId="0" applyFont="1" applyFill="1" applyBorder="1" applyProtection="1">
      <protection hidden="1"/>
    </xf>
    <xf numFmtId="4" fontId="14" fillId="18" borderId="22" xfId="0" applyNumberFormat="1" applyFont="1" applyFill="1" applyBorder="1" applyProtection="1">
      <protection hidden="1"/>
    </xf>
    <xf numFmtId="165" fontId="14" fillId="34" borderId="22" xfId="1" applyFont="1" applyFill="1" applyBorder="1" applyProtection="1">
      <protection hidden="1"/>
    </xf>
    <xf numFmtId="165" fontId="14" fillId="34" borderId="22" xfId="0" applyNumberFormat="1" applyFont="1" applyFill="1" applyBorder="1" applyProtection="1">
      <protection hidden="1"/>
    </xf>
    <xf numFmtId="0" fontId="13" fillId="4" borderId="22" xfId="0" applyFont="1" applyFill="1" applyBorder="1" applyProtection="1">
      <protection hidden="1"/>
    </xf>
    <xf numFmtId="165" fontId="13" fillId="4" borderId="22" xfId="0" applyNumberFormat="1" applyFont="1" applyFill="1" applyBorder="1" applyProtection="1">
      <protection hidden="1"/>
    </xf>
    <xf numFmtId="0" fontId="25" fillId="4" borderId="22" xfId="0" applyFont="1" applyFill="1" applyBorder="1" applyProtection="1">
      <protection hidden="1"/>
    </xf>
    <xf numFmtId="165" fontId="25" fillId="4" borderId="22" xfId="0" applyNumberFormat="1" applyFont="1" applyFill="1" applyBorder="1" applyProtection="1">
      <protection hidden="1"/>
    </xf>
    <xf numFmtId="0" fontId="14" fillId="32" borderId="23" xfId="0" applyFont="1" applyFill="1" applyBorder="1" applyProtection="1">
      <protection hidden="1"/>
    </xf>
    <xf numFmtId="165" fontId="14" fillId="32" borderId="23" xfId="1" applyFont="1" applyFill="1" applyBorder="1" applyProtection="1">
      <protection hidden="1"/>
    </xf>
    <xf numFmtId="0" fontId="14" fillId="11" borderId="23" xfId="0" applyFont="1" applyFill="1" applyBorder="1" applyProtection="1">
      <protection hidden="1"/>
    </xf>
    <xf numFmtId="165" fontId="14" fillId="11" borderId="23" xfId="0" applyNumberFormat="1" applyFont="1" applyFill="1" applyBorder="1" applyProtection="1">
      <protection hidden="1"/>
    </xf>
    <xf numFmtId="0" fontId="14" fillId="34" borderId="23" xfId="0" applyFont="1" applyFill="1" applyBorder="1" applyProtection="1">
      <protection hidden="1"/>
    </xf>
    <xf numFmtId="165" fontId="14" fillId="34" borderId="23" xfId="1" applyFont="1" applyFill="1" applyBorder="1" applyProtection="1">
      <protection hidden="1"/>
    </xf>
    <xf numFmtId="0" fontId="13" fillId="5" borderId="23" xfId="0" applyFont="1" applyFill="1" applyBorder="1" applyProtection="1">
      <protection hidden="1"/>
    </xf>
    <xf numFmtId="165" fontId="13" fillId="5" borderId="23" xfId="1" applyFont="1" applyFill="1" applyBorder="1" applyProtection="1">
      <protection hidden="1"/>
    </xf>
    <xf numFmtId="0" fontId="14" fillId="35" borderId="23" xfId="0" applyFont="1" applyFill="1" applyBorder="1" applyProtection="1">
      <protection hidden="1"/>
    </xf>
    <xf numFmtId="165" fontId="14" fillId="35" borderId="23" xfId="1" applyFont="1" applyFill="1" applyBorder="1" applyProtection="1">
      <protection hidden="1"/>
    </xf>
    <xf numFmtId="165" fontId="14" fillId="5" borderId="23" xfId="1" applyFont="1" applyFill="1" applyBorder="1" applyProtection="1">
      <protection hidden="1"/>
    </xf>
    <xf numFmtId="2" fontId="14" fillId="11" borderId="3" xfId="0" applyNumberFormat="1" applyFont="1" applyFill="1" applyBorder="1" applyProtection="1">
      <protection locked="0"/>
    </xf>
    <xf numFmtId="17" fontId="13" fillId="16" borderId="3" xfId="0" applyNumberFormat="1" applyFont="1" applyFill="1" applyBorder="1" applyAlignment="1" applyProtection="1">
      <alignment horizontal="right"/>
      <protection locked="0"/>
    </xf>
    <xf numFmtId="0" fontId="13" fillId="16" borderId="3" xfId="0" applyFont="1" applyFill="1" applyBorder="1" applyAlignment="1" applyProtection="1">
      <alignment horizontal="right"/>
      <protection locked="0"/>
    </xf>
    <xf numFmtId="49" fontId="13" fillId="16" borderId="3" xfId="0" applyNumberFormat="1" applyFont="1" applyFill="1" applyBorder="1" applyAlignment="1" applyProtection="1">
      <alignment horizontal="right"/>
      <protection locked="0"/>
    </xf>
    <xf numFmtId="165" fontId="14" fillId="25" borderId="3" xfId="0" applyNumberFormat="1" applyFont="1" applyFill="1" applyBorder="1" applyProtection="1">
      <protection locked="0"/>
    </xf>
    <xf numFmtId="165" fontId="14" fillId="26" borderId="3" xfId="0" applyNumberFormat="1" applyFont="1" applyFill="1" applyBorder="1" applyProtection="1">
      <protection locked="0"/>
    </xf>
    <xf numFmtId="165" fontId="14" fillId="10" borderId="3" xfId="0" applyNumberFormat="1" applyFont="1" applyFill="1" applyBorder="1" applyProtection="1">
      <protection locked="0"/>
    </xf>
    <xf numFmtId="165" fontId="14" fillId="3" borderId="3" xfId="0" applyNumberFormat="1" applyFont="1" applyFill="1" applyBorder="1" applyProtection="1">
      <protection locked="0"/>
    </xf>
    <xf numFmtId="4" fontId="14" fillId="13" borderId="3" xfId="0" applyNumberFormat="1" applyFont="1" applyFill="1" applyBorder="1" applyProtection="1">
      <protection locked="0"/>
    </xf>
    <xf numFmtId="4" fontId="14" fillId="25" borderId="3" xfId="0" applyNumberFormat="1" applyFont="1" applyFill="1" applyBorder="1" applyProtection="1">
      <protection locked="0"/>
    </xf>
    <xf numFmtId="4" fontId="13" fillId="15" borderId="3" xfId="0" applyNumberFormat="1" applyFont="1" applyFill="1" applyBorder="1" applyProtection="1">
      <protection locked="0"/>
    </xf>
    <xf numFmtId="4" fontId="13" fillId="23" borderId="3" xfId="0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165" fontId="17" fillId="11" borderId="15" xfId="1" applyFont="1" applyFill="1" applyBorder="1" applyAlignment="1" applyProtection="1">
      <alignment horizontal="right"/>
      <protection locked="0"/>
    </xf>
    <xf numFmtId="17" fontId="12" fillId="0" borderId="0" xfId="0" applyNumberFormat="1" applyFont="1" applyProtection="1">
      <protection locked="0"/>
    </xf>
    <xf numFmtId="39" fontId="12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167" fontId="12" fillId="0" borderId="0" xfId="0" applyNumberFormat="1" applyFont="1" applyAlignment="1" applyProtection="1">
      <alignment horizontal="center"/>
      <protection locked="0"/>
    </xf>
    <xf numFmtId="165" fontId="12" fillId="0" borderId="0" xfId="1" applyFont="1" applyAlignment="1" applyProtection="1">
      <alignment horizontal="right"/>
      <protection locked="0"/>
    </xf>
    <xf numFmtId="0" fontId="17" fillId="11" borderId="15" xfId="0" applyFont="1" applyFill="1" applyBorder="1" applyAlignment="1">
      <alignment horizontal="center"/>
    </xf>
    <xf numFmtId="165" fontId="17" fillId="11" borderId="15" xfId="1" applyFont="1" applyFill="1" applyBorder="1" applyAlignment="1" applyProtection="1">
      <alignment horizontal="right"/>
    </xf>
    <xf numFmtId="165" fontId="12" fillId="12" borderId="15" xfId="1" applyFont="1" applyFill="1" applyBorder="1" applyAlignment="1" applyProtection="1">
      <alignment horizontal="right"/>
    </xf>
    <xf numFmtId="0" fontId="12" fillId="18" borderId="15" xfId="0" applyFont="1" applyFill="1" applyBorder="1" applyAlignment="1">
      <alignment horizontal="center"/>
    </xf>
    <xf numFmtId="0" fontId="21" fillId="18" borderId="15" xfId="0" applyFont="1" applyFill="1" applyBorder="1" applyAlignment="1">
      <alignment horizontal="center"/>
    </xf>
    <xf numFmtId="167" fontId="12" fillId="18" borderId="15" xfId="0" applyNumberFormat="1" applyFont="1" applyFill="1" applyBorder="1" applyAlignment="1">
      <alignment horizontal="center"/>
    </xf>
    <xf numFmtId="39" fontId="12" fillId="18" borderId="15" xfId="1" applyNumberFormat="1" applyFont="1" applyFill="1" applyBorder="1" applyAlignment="1" applyProtection="1">
      <alignment horizontal="right"/>
    </xf>
    <xf numFmtId="0" fontId="17" fillId="0" borderId="15" xfId="0" applyFont="1" applyBorder="1" applyAlignment="1">
      <alignment horizontal="center"/>
    </xf>
    <xf numFmtId="167" fontId="12" fillId="0" borderId="15" xfId="0" applyNumberFormat="1" applyFont="1" applyBorder="1" applyAlignment="1">
      <alignment horizontal="center"/>
    </xf>
    <xf numFmtId="39" fontId="17" fillId="0" borderId="15" xfId="1" applyNumberFormat="1" applyFont="1" applyFill="1" applyBorder="1" applyAlignment="1" applyProtection="1">
      <alignment horizontal="right"/>
    </xf>
    <xf numFmtId="39" fontId="12" fillId="0" borderId="15" xfId="1" applyNumberFormat="1" applyFont="1" applyFill="1" applyBorder="1" applyAlignment="1" applyProtection="1">
      <alignment horizontal="right"/>
    </xf>
    <xf numFmtId="4" fontId="14" fillId="30" borderId="15" xfId="0" applyNumberFormat="1" applyFont="1" applyFill="1" applyBorder="1" applyProtection="1">
      <protection locked="0"/>
    </xf>
    <xf numFmtId="4" fontId="14" fillId="15" borderId="15" xfId="0" applyNumberFormat="1" applyFont="1" applyFill="1" applyBorder="1" applyProtection="1">
      <protection locked="0"/>
    </xf>
    <xf numFmtId="2" fontId="14" fillId="36" borderId="15" xfId="0" applyNumberFormat="1" applyFont="1" applyFill="1" applyBorder="1" applyProtection="1">
      <protection locked="0"/>
    </xf>
    <xf numFmtId="4" fontId="14" fillId="36" borderId="15" xfId="0" applyNumberFormat="1" applyFont="1" applyFill="1" applyBorder="1" applyProtection="1">
      <protection locked="0"/>
    </xf>
    <xf numFmtId="0" fontId="13" fillId="12" borderId="15" xfId="0" applyFont="1" applyFill="1" applyBorder="1" applyAlignment="1" applyProtection="1">
      <alignment horizontal="right"/>
      <protection locked="0"/>
    </xf>
    <xf numFmtId="0" fontId="13" fillId="12" borderId="15" xfId="0" applyFont="1" applyFill="1" applyBorder="1"/>
    <xf numFmtId="0" fontId="14" fillId="30" borderId="15" xfId="0" applyFont="1" applyFill="1" applyBorder="1"/>
    <xf numFmtId="0" fontId="14" fillId="15" borderId="15" xfId="0" applyFont="1" applyFill="1" applyBorder="1"/>
    <xf numFmtId="0" fontId="14" fillId="36" borderId="15" xfId="0" applyFont="1" applyFill="1" applyBorder="1"/>
    <xf numFmtId="0" fontId="13" fillId="28" borderId="15" xfId="0" applyFont="1" applyFill="1" applyBorder="1"/>
    <xf numFmtId="0" fontId="14" fillId="31" borderId="15" xfId="0" applyFont="1" applyFill="1" applyBorder="1"/>
    <xf numFmtId="0" fontId="13" fillId="23" borderId="15" xfId="0" applyFont="1" applyFill="1" applyBorder="1"/>
    <xf numFmtId="4" fontId="13" fillId="28" borderId="15" xfId="0" applyNumberFormat="1" applyFont="1" applyFill="1" applyBorder="1"/>
    <xf numFmtId="2" fontId="14" fillId="31" borderId="15" xfId="0" applyNumberFormat="1" applyFont="1" applyFill="1" applyBorder="1"/>
    <xf numFmtId="2" fontId="13" fillId="23" borderId="15" xfId="0" applyNumberFormat="1" applyFont="1" applyFill="1" applyBorder="1"/>
    <xf numFmtId="0" fontId="17" fillId="0" borderId="0" xfId="0" applyFont="1" applyProtection="1">
      <protection hidden="1"/>
    </xf>
    <xf numFmtId="17" fontId="17" fillId="0" borderId="0" xfId="0" applyNumberFormat="1" applyFont="1" applyAlignment="1" applyProtection="1">
      <alignment horizontal="right"/>
      <protection hidden="1"/>
    </xf>
    <xf numFmtId="0" fontId="17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17" fontId="17" fillId="0" borderId="0" xfId="0" applyNumberFormat="1" applyFont="1" applyProtection="1">
      <protection hidden="1"/>
    </xf>
    <xf numFmtId="165" fontId="12" fillId="0" borderId="0" xfId="1" applyFont="1" applyProtection="1">
      <protection hidden="1"/>
    </xf>
    <xf numFmtId="4" fontId="12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168" fontId="12" fillId="0" borderId="0" xfId="1" applyNumberFormat="1" applyFont="1" applyProtection="1">
      <protection hidden="1"/>
    </xf>
    <xf numFmtId="9" fontId="12" fillId="0" borderId="0" xfId="2" applyFont="1" applyProtection="1">
      <protection hidden="1"/>
    </xf>
    <xf numFmtId="165" fontId="12" fillId="0" borderId="0" xfId="0" applyNumberFormat="1" applyFont="1" applyProtection="1">
      <protection hidden="1"/>
    </xf>
    <xf numFmtId="0" fontId="13" fillId="30" borderId="15" xfId="0" applyFont="1" applyFill="1" applyBorder="1" applyProtection="1">
      <protection locked="0"/>
    </xf>
    <xf numFmtId="165" fontId="13" fillId="30" borderId="15" xfId="0" applyNumberFormat="1" applyFont="1" applyFill="1" applyBorder="1" applyProtection="1">
      <protection locked="0"/>
    </xf>
    <xf numFmtId="0" fontId="13" fillId="30" borderId="15" xfId="0" applyFont="1" applyFill="1" applyBorder="1" applyAlignment="1" applyProtection="1">
      <alignment horizontal="right"/>
      <protection locked="0"/>
    </xf>
    <xf numFmtId="0" fontId="14" fillId="12" borderId="15" xfId="0" applyFont="1" applyFill="1" applyBorder="1" applyProtection="1">
      <protection locked="0"/>
    </xf>
    <xf numFmtId="0" fontId="14" fillId="15" borderId="15" xfId="0" applyFont="1" applyFill="1" applyBorder="1" applyProtection="1">
      <protection locked="0"/>
    </xf>
    <xf numFmtId="0" fontId="13" fillId="37" borderId="15" xfId="0" applyFont="1" applyFill="1" applyBorder="1" applyProtection="1">
      <protection locked="0"/>
    </xf>
    <xf numFmtId="0" fontId="13" fillId="38" borderId="15" xfId="0" applyFont="1" applyFill="1" applyBorder="1" applyProtection="1">
      <protection locked="0"/>
    </xf>
    <xf numFmtId="2" fontId="13" fillId="38" borderId="15" xfId="0" applyNumberFormat="1" applyFont="1" applyFill="1" applyBorder="1" applyProtection="1">
      <protection locked="0"/>
    </xf>
    <xf numFmtId="17" fontId="13" fillId="32" borderId="22" xfId="1" applyNumberFormat="1" applyFont="1" applyFill="1" applyBorder="1" applyAlignment="1" applyProtection="1">
      <alignment horizontal="right"/>
      <protection hidden="1"/>
    </xf>
    <xf numFmtId="9" fontId="14" fillId="0" borderId="0" xfId="2" applyFont="1" applyProtection="1">
      <protection locked="0"/>
    </xf>
    <xf numFmtId="0" fontId="12" fillId="0" borderId="0" xfId="0" applyFont="1"/>
    <xf numFmtId="2" fontId="12" fillId="0" borderId="0" xfId="0" applyNumberFormat="1" applyFont="1"/>
    <xf numFmtId="0" fontId="12" fillId="0" borderId="0" xfId="0" applyFont="1" applyAlignment="1">
      <alignment horizontal="center"/>
    </xf>
    <xf numFmtId="17" fontId="12" fillId="0" borderId="0" xfId="0" applyNumberFormat="1" applyFont="1" applyAlignment="1">
      <alignment horizontal="center"/>
    </xf>
    <xf numFmtId="0" fontId="12" fillId="0" borderId="24" xfId="0" applyFont="1" applyBorder="1" applyAlignment="1">
      <alignment horizontal="center"/>
    </xf>
    <xf numFmtId="17" fontId="12" fillId="0" borderId="24" xfId="0" applyNumberFormat="1" applyFont="1" applyBorder="1" applyAlignment="1">
      <alignment horizontal="center"/>
    </xf>
    <xf numFmtId="0" fontId="12" fillId="0" borderId="24" xfId="0" applyFont="1" applyBorder="1"/>
    <xf numFmtId="9" fontId="12" fillId="0" borderId="24" xfId="2" applyFont="1" applyBorder="1"/>
    <xf numFmtId="4" fontId="12" fillId="0" borderId="24" xfId="0" applyNumberFormat="1" applyFont="1" applyBorder="1"/>
    <xf numFmtId="2" fontId="12" fillId="0" borderId="24" xfId="0" applyNumberFormat="1" applyFont="1" applyBorder="1" applyAlignment="1">
      <alignment horizontal="center"/>
    </xf>
    <xf numFmtId="2" fontId="12" fillId="0" borderId="24" xfId="0" applyNumberFormat="1" applyFont="1" applyBorder="1"/>
    <xf numFmtId="2" fontId="14" fillId="12" borderId="15" xfId="0" applyNumberFormat="1" applyFont="1" applyFill="1" applyBorder="1" applyProtection="1">
      <protection locked="0"/>
    </xf>
    <xf numFmtId="2" fontId="14" fillId="15" borderId="15" xfId="0" applyNumberFormat="1" applyFont="1" applyFill="1" applyBorder="1" applyProtection="1">
      <protection locked="0"/>
    </xf>
    <xf numFmtId="2" fontId="13" fillId="37" borderId="15" xfId="0" applyNumberFormat="1" applyFont="1" applyFill="1" applyBorder="1" applyProtection="1">
      <protection locked="0"/>
    </xf>
    <xf numFmtId="2" fontId="13" fillId="12" borderId="15" xfId="0" applyNumberFormat="1" applyFont="1" applyFill="1" applyBorder="1" applyProtection="1">
      <protection locked="0"/>
    </xf>
    <xf numFmtId="2" fontId="13" fillId="15" borderId="15" xfId="0" applyNumberFormat="1" applyFont="1" applyFill="1" applyBorder="1" applyProtection="1">
      <protection locked="0"/>
    </xf>
    <xf numFmtId="0" fontId="17" fillId="0" borderId="0" xfId="0" applyFont="1" applyAlignment="1" applyProtection="1">
      <alignment horizontal="right" wrapText="1"/>
      <protection locked="0"/>
    </xf>
    <xf numFmtId="165" fontId="27" fillId="0" borderId="0" xfId="0" applyNumberFormat="1" applyFont="1" applyProtection="1">
      <protection locked="0"/>
    </xf>
    <xf numFmtId="165" fontId="26" fillId="0" borderId="0" xfId="0" applyNumberFormat="1" applyFont="1" applyProtection="1">
      <protection hidden="1"/>
    </xf>
    <xf numFmtId="2" fontId="14" fillId="0" borderId="0" xfId="0" applyNumberFormat="1" applyFont="1" applyProtection="1">
      <protection locked="0"/>
    </xf>
    <xf numFmtId="4" fontId="14" fillId="0" borderId="0" xfId="0" applyNumberFormat="1" applyFont="1" applyProtection="1">
      <protection locked="0"/>
    </xf>
    <xf numFmtId="9" fontId="12" fillId="0" borderId="0" xfId="2" applyFont="1"/>
    <xf numFmtId="4" fontId="14" fillId="15" borderId="15" xfId="0" applyNumberFormat="1" applyFont="1" applyFill="1" applyBorder="1"/>
    <xf numFmtId="0" fontId="17" fillId="12" borderId="15" xfId="1" applyNumberFormat="1" applyFont="1" applyFill="1" applyBorder="1" applyAlignment="1" applyProtection="1">
      <alignment horizontal="right"/>
      <protection locked="0"/>
    </xf>
    <xf numFmtId="0" fontId="14" fillId="8" borderId="3" xfId="0" applyFont="1" applyFill="1" applyBorder="1"/>
    <xf numFmtId="165" fontId="13" fillId="8" borderId="3" xfId="0" applyNumberFormat="1" applyFont="1" applyFill="1" applyBorder="1"/>
    <xf numFmtId="165" fontId="14" fillId="8" borderId="3" xfId="0" applyNumberFormat="1" applyFont="1" applyFill="1" applyBorder="1" applyProtection="1">
      <protection locked="0"/>
    </xf>
    <xf numFmtId="4" fontId="14" fillId="8" borderId="3" xfId="1" applyNumberFormat="1" applyFont="1" applyFill="1" applyBorder="1" applyProtection="1">
      <protection locked="0"/>
    </xf>
    <xf numFmtId="165" fontId="14" fillId="8" borderId="0" xfId="0" applyNumberFormat="1" applyFont="1" applyFill="1"/>
    <xf numFmtId="165" fontId="14" fillId="8" borderId="0" xfId="1" applyFont="1" applyFill="1" applyProtection="1"/>
    <xf numFmtId="2" fontId="14" fillId="8" borderId="0" xfId="0" applyNumberFormat="1" applyFont="1" applyFill="1"/>
    <xf numFmtId="0" fontId="14" fillId="8" borderId="0" xfId="0" applyFont="1" applyFill="1"/>
    <xf numFmtId="4" fontId="13" fillId="8" borderId="3" xfId="0" applyNumberFormat="1" applyFont="1" applyFill="1" applyBorder="1" applyProtection="1">
      <protection locked="0"/>
    </xf>
    <xf numFmtId="0" fontId="13" fillId="8" borderId="3" xfId="0" applyFont="1" applyFill="1" applyBorder="1" applyProtection="1">
      <protection locked="0"/>
    </xf>
    <xf numFmtId="2" fontId="13" fillId="8" borderId="3" xfId="0" applyNumberFormat="1" applyFont="1" applyFill="1" applyBorder="1" applyProtection="1">
      <protection locked="0"/>
    </xf>
    <xf numFmtId="2" fontId="14" fillId="8" borderId="3" xfId="0" applyNumberFormat="1" applyFont="1" applyFill="1" applyBorder="1" applyProtection="1">
      <protection locked="0"/>
    </xf>
    <xf numFmtId="2" fontId="14" fillId="8" borderId="3" xfId="0" applyNumberFormat="1" applyFont="1" applyFill="1" applyBorder="1"/>
    <xf numFmtId="4" fontId="14" fillId="25" borderId="3" xfId="1" applyNumberFormat="1" applyFont="1" applyFill="1" applyBorder="1" applyProtection="1"/>
    <xf numFmtId="0" fontId="17" fillId="10" borderId="11" xfId="0" applyFont="1" applyFill="1" applyBorder="1"/>
    <xf numFmtId="168" fontId="12" fillId="10" borderId="11" xfId="1" applyNumberFormat="1" applyFont="1" applyFill="1" applyBorder="1" applyAlignment="1" applyProtection="1">
      <protection locked="0"/>
    </xf>
    <xf numFmtId="0" fontId="12" fillId="10" borderId="11" xfId="0" applyFont="1" applyFill="1" applyBorder="1" applyProtection="1">
      <protection locked="0"/>
    </xf>
    <xf numFmtId="0" fontId="17" fillId="11" borderId="11" xfId="0" applyFont="1" applyFill="1" applyBorder="1"/>
    <xf numFmtId="165" fontId="12" fillId="11" borderId="11" xfId="1" applyFont="1" applyFill="1" applyBorder="1" applyAlignment="1" applyProtection="1">
      <alignment vertical="center" wrapText="1"/>
      <protection locked="0"/>
    </xf>
    <xf numFmtId="165" fontId="12" fillId="11" borderId="11" xfId="1" applyFont="1" applyFill="1" applyBorder="1" applyAlignment="1" applyProtection="1">
      <alignment vertical="center" wrapText="1"/>
    </xf>
    <xf numFmtId="10" fontId="12" fillId="11" borderId="11" xfId="2" applyNumberFormat="1" applyFont="1" applyFill="1" applyBorder="1" applyAlignment="1" applyProtection="1"/>
    <xf numFmtId="165" fontId="12" fillId="11" borderId="11" xfId="1" applyFont="1" applyFill="1" applyBorder="1" applyAlignment="1" applyProtection="1">
      <alignment wrapText="1"/>
      <protection locked="0"/>
    </xf>
    <xf numFmtId="165" fontId="12" fillId="11" borderId="11" xfId="1" applyFont="1" applyFill="1" applyBorder="1" applyAlignment="1" applyProtection="1">
      <alignment wrapText="1"/>
    </xf>
    <xf numFmtId="165" fontId="12" fillId="11" borderId="11" xfId="1" applyFont="1" applyFill="1" applyBorder="1" applyAlignment="1" applyProtection="1">
      <protection locked="0"/>
    </xf>
    <xf numFmtId="165" fontId="12" fillId="11" borderId="11" xfId="1" applyFont="1" applyFill="1" applyBorder="1" applyAlignment="1" applyProtection="1"/>
    <xf numFmtId="10" fontId="12" fillId="0" borderId="0" xfId="2" applyNumberFormat="1" applyFont="1" applyFill="1" applyAlignment="1"/>
    <xf numFmtId="165" fontId="12" fillId="0" borderId="0" xfId="1" applyFont="1" applyFill="1" applyAlignment="1"/>
    <xf numFmtId="165" fontId="12" fillId="0" borderId="0" xfId="0" applyNumberFormat="1" applyFont="1"/>
    <xf numFmtId="2" fontId="12" fillId="0" borderId="0" xfId="2" applyNumberFormat="1" applyFont="1" applyFill="1" applyAlignment="1"/>
    <xf numFmtId="165" fontId="17" fillId="11" borderId="11" xfId="1" applyFont="1" applyFill="1" applyBorder="1" applyAlignment="1" applyProtection="1">
      <protection locked="0"/>
    </xf>
    <xf numFmtId="165" fontId="17" fillId="11" borderId="11" xfId="1" applyFont="1" applyFill="1" applyBorder="1" applyAlignment="1" applyProtection="1"/>
    <xf numFmtId="10" fontId="17" fillId="11" borderId="11" xfId="2" applyNumberFormat="1" applyFont="1" applyFill="1" applyBorder="1" applyAlignment="1" applyProtection="1"/>
    <xf numFmtId="4" fontId="12" fillId="0" borderId="0" xfId="0" applyNumberFormat="1" applyFont="1"/>
    <xf numFmtId="0" fontId="17" fillId="13" borderId="12" xfId="0" applyFont="1" applyFill="1" applyBorder="1" applyProtection="1">
      <protection locked="0"/>
    </xf>
    <xf numFmtId="0" fontId="19" fillId="12" borderId="12" xfId="0" applyFont="1" applyFill="1" applyBorder="1"/>
    <xf numFmtId="165" fontId="12" fillId="12" borderId="12" xfId="1" applyFont="1" applyFill="1" applyBorder="1" applyAlignment="1" applyProtection="1">
      <protection locked="0"/>
    </xf>
    <xf numFmtId="165" fontId="12" fillId="12" borderId="12" xfId="1" applyFont="1" applyFill="1" applyBorder="1" applyAlignment="1" applyProtection="1"/>
    <xf numFmtId="10" fontId="12" fillId="12" borderId="12" xfId="2" applyNumberFormat="1" applyFont="1" applyFill="1" applyBorder="1" applyAlignment="1" applyProtection="1"/>
    <xf numFmtId="0" fontId="19" fillId="15" borderId="12" xfId="0" applyFont="1" applyFill="1" applyBorder="1"/>
    <xf numFmtId="165" fontId="12" fillId="15" borderId="12" xfId="1" applyFont="1" applyFill="1" applyBorder="1" applyAlignment="1" applyProtection="1">
      <protection locked="0"/>
    </xf>
    <xf numFmtId="10" fontId="12" fillId="15" borderId="12" xfId="1" applyNumberFormat="1" applyFont="1" applyFill="1" applyBorder="1" applyAlignment="1" applyProtection="1">
      <protection locked="0"/>
    </xf>
    <xf numFmtId="165" fontId="12" fillId="15" borderId="12" xfId="1" applyFont="1" applyFill="1" applyBorder="1" applyAlignment="1" applyProtection="1"/>
    <xf numFmtId="10" fontId="17" fillId="15" borderId="12" xfId="2" applyNumberFormat="1" applyFont="1" applyFill="1" applyBorder="1" applyAlignment="1" applyProtection="1"/>
    <xf numFmtId="0" fontId="19" fillId="5" borderId="12" xfId="0" applyFont="1" applyFill="1" applyBorder="1"/>
    <xf numFmtId="165" fontId="12" fillId="5" borderId="12" xfId="1" applyFont="1" applyFill="1" applyBorder="1" applyAlignment="1" applyProtection="1">
      <protection locked="0"/>
    </xf>
    <xf numFmtId="165" fontId="12" fillId="5" borderId="12" xfId="1" applyFont="1" applyFill="1" applyBorder="1" applyAlignment="1" applyProtection="1"/>
    <xf numFmtId="10" fontId="17" fillId="5" borderId="12" xfId="2" applyNumberFormat="1" applyFont="1" applyFill="1" applyBorder="1" applyAlignment="1" applyProtection="1"/>
    <xf numFmtId="0" fontId="18" fillId="16" borderId="12" xfId="0" applyFont="1" applyFill="1" applyBorder="1"/>
    <xf numFmtId="165" fontId="17" fillId="16" borderId="12" xfId="1" applyFont="1" applyFill="1" applyBorder="1" applyAlignment="1" applyProtection="1">
      <protection locked="0"/>
    </xf>
    <xf numFmtId="10" fontId="17" fillId="16" borderId="12" xfId="2" applyNumberFormat="1" applyFont="1" applyFill="1" applyBorder="1" applyAlignment="1" applyProtection="1"/>
    <xf numFmtId="0" fontId="18" fillId="0" borderId="0" xfId="0" applyFont="1"/>
    <xf numFmtId="172" fontId="12" fillId="0" borderId="0" xfId="0" applyNumberFormat="1" applyFont="1"/>
    <xf numFmtId="39" fontId="12" fillId="0" borderId="0" xfId="0" applyNumberFormat="1" applyFont="1"/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7" fillId="13" borderId="15" xfId="0" applyFont="1" applyFill="1" applyBorder="1" applyAlignment="1" applyProtection="1">
      <alignment horizontal="center" vertical="center" wrapText="1"/>
      <protection locked="0"/>
    </xf>
    <xf numFmtId="0" fontId="17" fillId="13" borderId="15" xfId="0" applyFont="1" applyFill="1" applyBorder="1" applyAlignment="1">
      <alignment horizontal="center" vertical="center" wrapText="1"/>
    </xf>
    <xf numFmtId="0" fontId="28" fillId="39" borderId="5" xfId="0" applyFont="1" applyFill="1" applyBorder="1" applyAlignment="1">
      <alignment horizontal="center" vertical="center"/>
    </xf>
    <xf numFmtId="165" fontId="28" fillId="39" borderId="5" xfId="4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165" fontId="29" fillId="0" borderId="5" xfId="4" applyFont="1" applyFill="1" applyBorder="1" applyAlignment="1">
      <alignment horizontal="center" vertical="center"/>
    </xf>
    <xf numFmtId="0" fontId="30" fillId="0" borderId="5" xfId="0" applyFont="1" applyBorder="1" applyAlignment="1">
      <alignment horizontal="left" vertical="center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168" fontId="31" fillId="0" borderId="5" xfId="4" applyNumberFormat="1" applyFont="1" applyBorder="1" applyAlignment="1">
      <alignment vertical="center"/>
    </xf>
    <xf numFmtId="165" fontId="30" fillId="0" borderId="5" xfId="4" applyFont="1" applyBorder="1" applyAlignment="1">
      <alignment vertical="center"/>
    </xf>
    <xf numFmtId="0" fontId="30" fillId="0" borderId="5" xfId="0" applyFont="1" applyBorder="1" applyAlignment="1">
      <alignment horizontal="right" vertical="center"/>
    </xf>
    <xf numFmtId="168" fontId="30" fillId="0" borderId="5" xfId="4" applyNumberFormat="1" applyFont="1" applyBorder="1" applyAlignment="1">
      <alignment vertical="center"/>
    </xf>
    <xf numFmtId="165" fontId="30" fillId="0" borderId="0" xfId="4" applyFont="1" applyAlignment="1">
      <alignment vertical="center"/>
    </xf>
    <xf numFmtId="0" fontId="30" fillId="0" borderId="0" xfId="0" applyFont="1" applyAlignment="1">
      <alignment horizontal="left" vertical="center"/>
    </xf>
    <xf numFmtId="174" fontId="31" fillId="0" borderId="5" xfId="0" applyNumberFormat="1" applyFont="1" applyBorder="1" applyAlignment="1">
      <alignment horizontal="right" vertical="center" wrapText="1"/>
    </xf>
    <xf numFmtId="44" fontId="31" fillId="0" borderId="5" xfId="0" applyNumberFormat="1" applyFont="1" applyBorder="1" applyAlignment="1">
      <alignment horizontal="right" vertical="center" wrapText="1"/>
    </xf>
    <xf numFmtId="10" fontId="31" fillId="0" borderId="5" xfId="2" applyNumberFormat="1" applyFont="1" applyBorder="1" applyAlignment="1">
      <alignment horizontal="right" vertical="center" wrapText="1"/>
    </xf>
    <xf numFmtId="175" fontId="31" fillId="0" borderId="5" xfId="3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vertical="center" wrapText="1"/>
    </xf>
    <xf numFmtId="9" fontId="31" fillId="0" borderId="5" xfId="0" applyNumberFormat="1" applyFont="1" applyBorder="1" applyAlignment="1">
      <alignment horizontal="right" vertical="center"/>
    </xf>
    <xf numFmtId="9" fontId="30" fillId="0" borderId="5" xfId="4" applyNumberFormat="1" applyFont="1" applyBorder="1" applyAlignment="1">
      <alignment vertical="center"/>
    </xf>
    <xf numFmtId="176" fontId="30" fillId="0" borderId="5" xfId="4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9" fontId="30" fillId="0" borderId="0" xfId="2" applyFont="1" applyAlignment="1">
      <alignment vertical="center"/>
    </xf>
    <xf numFmtId="0" fontId="29" fillId="0" borderId="5" xfId="0" applyFont="1" applyBorder="1" applyAlignment="1">
      <alignment horizontal="center" vertical="center"/>
    </xf>
    <xf numFmtId="168" fontId="29" fillId="0" borderId="5" xfId="0" applyNumberFormat="1" applyFont="1" applyBorder="1" applyAlignment="1">
      <alignment horizontal="center" vertical="center"/>
    </xf>
    <xf numFmtId="9" fontId="30" fillId="0" borderId="5" xfId="4" applyNumberFormat="1" applyFont="1" applyFill="1" applyBorder="1" applyAlignment="1">
      <alignment horizontal="right" vertical="center"/>
    </xf>
    <xf numFmtId="9" fontId="29" fillId="0" borderId="5" xfId="2" applyFont="1" applyFill="1" applyBorder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166" fontId="30" fillId="0" borderId="5" xfId="15" applyFont="1" applyFill="1" applyBorder="1" applyAlignment="1">
      <alignment horizontal="right" vertical="center"/>
    </xf>
    <xf numFmtId="165" fontId="29" fillId="3" borderId="5" xfId="4" applyFont="1" applyFill="1" applyBorder="1" applyAlignment="1">
      <alignment horizontal="right" vertical="center"/>
    </xf>
    <xf numFmtId="0" fontId="29" fillId="3" borderId="5" xfId="0" applyFont="1" applyFill="1" applyBorder="1" applyAlignment="1">
      <alignment horizontal="right" vertical="center"/>
    </xf>
    <xf numFmtId="166" fontId="29" fillId="3" borderId="5" xfId="15" applyFont="1" applyFill="1" applyBorder="1" applyAlignment="1">
      <alignment horizontal="right" vertical="center"/>
    </xf>
    <xf numFmtId="165" fontId="29" fillId="0" borderId="5" xfId="4" applyFont="1" applyFill="1" applyBorder="1" applyAlignment="1">
      <alignment horizontal="right" vertical="center"/>
    </xf>
    <xf numFmtId="0" fontId="29" fillId="0" borderId="5" xfId="0" applyFont="1" applyBorder="1" applyAlignment="1">
      <alignment horizontal="right" vertical="center"/>
    </xf>
    <xf numFmtId="168" fontId="30" fillId="0" borderId="5" xfId="4" applyNumberFormat="1" applyFont="1" applyFill="1" applyBorder="1" applyAlignment="1">
      <alignment horizontal="right" vertical="center"/>
    </xf>
    <xf numFmtId="174" fontId="30" fillId="0" borderId="5" xfId="15" applyNumberFormat="1" applyFont="1" applyFill="1" applyBorder="1" applyAlignment="1">
      <alignment horizontal="left" vertical="center"/>
    </xf>
    <xf numFmtId="174" fontId="30" fillId="0" borderId="5" xfId="15" applyNumberFormat="1" applyFont="1" applyFill="1" applyBorder="1" applyAlignment="1">
      <alignment horizontal="right" vertical="center"/>
    </xf>
    <xf numFmtId="174" fontId="29" fillId="0" borderId="5" xfId="15" applyNumberFormat="1" applyFont="1" applyFill="1" applyBorder="1" applyAlignment="1">
      <alignment horizontal="center" vertical="center"/>
    </xf>
    <xf numFmtId="166" fontId="29" fillId="0" borderId="5" xfId="15" applyFont="1" applyFill="1" applyBorder="1" applyAlignment="1">
      <alignment horizontal="center" vertical="center"/>
    </xf>
    <xf numFmtId="166" fontId="29" fillId="0" borderId="5" xfId="15" applyFont="1" applyFill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165" fontId="30" fillId="0" borderId="5" xfId="4" applyFont="1" applyFill="1" applyBorder="1" applyAlignment="1">
      <alignment horizontal="right" vertical="center"/>
    </xf>
    <xf numFmtId="43" fontId="30" fillId="0" borderId="5" xfId="3" applyFont="1" applyFill="1" applyBorder="1" applyAlignment="1">
      <alignment horizontal="center" vertical="center"/>
    </xf>
    <xf numFmtId="9" fontId="30" fillId="0" borderId="5" xfId="2" applyFont="1" applyFill="1" applyBorder="1" applyAlignment="1">
      <alignment horizontal="center" vertical="center"/>
    </xf>
    <xf numFmtId="174" fontId="30" fillId="0" borderId="5" xfId="15" applyNumberFormat="1" applyFont="1" applyFill="1" applyBorder="1" applyAlignment="1">
      <alignment horizontal="center" vertical="center"/>
    </xf>
    <xf numFmtId="9" fontId="30" fillId="0" borderId="5" xfId="2" applyFont="1" applyFill="1" applyBorder="1" applyAlignment="1">
      <alignment horizontal="right" vertical="center"/>
    </xf>
    <xf numFmtId="0" fontId="29" fillId="3" borderId="5" xfId="0" applyFont="1" applyFill="1" applyBorder="1" applyAlignment="1">
      <alignment horizontal="left" vertical="center"/>
    </xf>
    <xf numFmtId="43" fontId="29" fillId="0" borderId="5" xfId="3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right" vertical="center"/>
    </xf>
    <xf numFmtId="0" fontId="29" fillId="0" borderId="5" xfId="0" applyFont="1" applyBorder="1"/>
    <xf numFmtId="43" fontId="30" fillId="0" borderId="5" xfId="3" applyFont="1" applyFill="1" applyBorder="1" applyAlignment="1">
      <alignment horizontal="right" vertical="center"/>
    </xf>
    <xf numFmtId="43" fontId="29" fillId="0" borderId="5" xfId="0" applyNumberFormat="1" applyFont="1" applyBorder="1"/>
    <xf numFmtId="0" fontId="33" fillId="0" borderId="5" xfId="0" applyFont="1" applyBorder="1" applyAlignment="1">
      <alignment horizontal="right" vertical="center"/>
    </xf>
    <xf numFmtId="0" fontId="29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vertical="center"/>
    </xf>
    <xf numFmtId="168" fontId="0" fillId="0" borderId="5" xfId="1" applyNumberFormat="1" applyFont="1" applyBorder="1" applyAlignment="1">
      <alignment horizontal="center"/>
    </xf>
    <xf numFmtId="168" fontId="3" fillId="0" borderId="5" xfId="1" applyNumberFormat="1" applyFont="1" applyBorder="1" applyAlignment="1">
      <alignment horizontal="center" vertical="center"/>
    </xf>
    <xf numFmtId="168" fontId="30" fillId="9" borderId="5" xfId="4" applyNumberFormat="1" applyFont="1" applyFill="1" applyBorder="1" applyAlignment="1">
      <alignment vertical="center"/>
    </xf>
    <xf numFmtId="0" fontId="14" fillId="28" borderId="15" xfId="0" applyFont="1" applyFill="1" applyBorder="1" applyAlignment="1" applyProtection="1">
      <alignment horizontal="left" vertical="center" wrapText="1"/>
      <protection locked="0"/>
    </xf>
    <xf numFmtId="2" fontId="14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2" fontId="14" fillId="28" borderId="15" xfId="0" applyNumberFormat="1" applyFont="1" applyFill="1" applyBorder="1" applyAlignment="1" applyProtection="1">
      <alignment horizontal="right" vertical="center"/>
      <protection locked="0"/>
    </xf>
    <xf numFmtId="2" fontId="13" fillId="28" borderId="15" xfId="0" applyNumberFormat="1" applyFont="1" applyFill="1" applyBorder="1" applyAlignment="1" applyProtection="1">
      <alignment horizontal="right" vertical="center"/>
      <protection locked="0"/>
    </xf>
    <xf numFmtId="177" fontId="30" fillId="0" borderId="5" xfId="15" applyNumberFormat="1" applyFont="1" applyFill="1" applyBorder="1" applyAlignment="1">
      <alignment horizontal="right" vertical="center"/>
    </xf>
    <xf numFmtId="177" fontId="29" fillId="0" borderId="5" xfId="15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34" fillId="40" borderId="27" xfId="0" applyFont="1" applyFill="1" applyBorder="1" applyAlignment="1">
      <alignment horizontal="left" vertical="center"/>
    </xf>
    <xf numFmtId="0" fontId="34" fillId="40" borderId="27" xfId="0" applyFont="1" applyFill="1" applyBorder="1" applyAlignment="1">
      <alignment horizontal="center" vertical="center" wrapText="1"/>
    </xf>
    <xf numFmtId="0" fontId="3" fillId="8" borderId="28" xfId="0" applyFont="1" applyFill="1" applyBorder="1"/>
    <xf numFmtId="175" fontId="0" fillId="8" borderId="28" xfId="3" applyNumberFormat="1" applyFont="1" applyFill="1" applyBorder="1"/>
    <xf numFmtId="175" fontId="0" fillId="8" borderId="28" xfId="3" applyNumberFormat="1" applyFont="1" applyFill="1" applyBorder="1" applyAlignment="1">
      <alignment wrapText="1"/>
    </xf>
    <xf numFmtId="175" fontId="0" fillId="8" borderId="28" xfId="3" applyNumberFormat="1" applyFont="1" applyFill="1" applyBorder="1" applyAlignment="1">
      <alignment horizontal="center"/>
    </xf>
    <xf numFmtId="0" fontId="3" fillId="17" borderId="28" xfId="0" applyFont="1" applyFill="1" applyBorder="1"/>
    <xf numFmtId="43" fontId="3" fillId="17" borderId="28" xfId="3" applyFont="1" applyFill="1" applyBorder="1"/>
    <xf numFmtId="175" fontId="3" fillId="17" borderId="28" xfId="3" applyNumberFormat="1" applyFont="1" applyFill="1" applyBorder="1"/>
    <xf numFmtId="178" fontId="3" fillId="17" borderId="28" xfId="3" applyNumberFormat="1" applyFont="1" applyFill="1" applyBorder="1"/>
    <xf numFmtId="175" fontId="3" fillId="17" borderId="28" xfId="3" applyNumberFormat="1" applyFont="1" applyFill="1" applyBorder="1" applyAlignment="1">
      <alignment horizontal="center"/>
    </xf>
    <xf numFmtId="0" fontId="3" fillId="8" borderId="35" xfId="0" applyFont="1" applyFill="1" applyBorder="1"/>
    <xf numFmtId="179" fontId="0" fillId="8" borderId="35" xfId="3" applyNumberFormat="1" applyFont="1" applyFill="1" applyBorder="1"/>
    <xf numFmtId="0" fontId="3" fillId="8" borderId="36" xfId="0" applyFont="1" applyFill="1" applyBorder="1"/>
    <xf numFmtId="0" fontId="3" fillId="8" borderId="0" xfId="0" applyFont="1" applyFill="1"/>
    <xf numFmtId="0" fontId="3" fillId="8" borderId="0" xfId="0" applyFont="1" applyFill="1" applyAlignment="1">
      <alignment horizontal="center"/>
    </xf>
    <xf numFmtId="179" fontId="0" fillId="8" borderId="0" xfId="0" applyNumberFormat="1" applyFill="1"/>
    <xf numFmtId="9" fontId="0" fillId="8" borderId="0" xfId="0" applyNumberFormat="1" applyFill="1" applyAlignment="1">
      <alignment horizontal="center"/>
    </xf>
    <xf numFmtId="0" fontId="3" fillId="8" borderId="35" xfId="0" applyFont="1" applyFill="1" applyBorder="1" applyAlignment="1">
      <alignment wrapText="1"/>
    </xf>
    <xf numFmtId="174" fontId="0" fillId="8" borderId="36" xfId="15" applyNumberFormat="1" applyFont="1" applyFill="1" applyBorder="1" applyAlignment="1">
      <alignment horizontal="center" vertical="center"/>
    </xf>
    <xf numFmtId="43" fontId="0" fillId="8" borderId="0" xfId="0" applyNumberFormat="1" applyFill="1"/>
    <xf numFmtId="43" fontId="0" fillId="8" borderId="0" xfId="3" applyFont="1" applyFill="1"/>
    <xf numFmtId="9" fontId="0" fillId="8" borderId="36" xfId="3" applyNumberFormat="1" applyFont="1" applyFill="1" applyBorder="1" applyAlignment="1">
      <alignment horizontal="center" vertical="center"/>
    </xf>
    <xf numFmtId="175" fontId="0" fillId="8" borderId="36" xfId="3" applyNumberFormat="1" applyFont="1" applyFill="1" applyBorder="1" applyAlignment="1">
      <alignment horizontal="center" vertical="center"/>
    </xf>
    <xf numFmtId="9" fontId="0" fillId="8" borderId="0" xfId="0" applyNumberFormat="1" applyFill="1"/>
    <xf numFmtId="2" fontId="0" fillId="8" borderId="0" xfId="0" applyNumberFormat="1" applyFill="1"/>
    <xf numFmtId="175" fontId="0" fillId="8" borderId="0" xfId="0" applyNumberFormat="1" applyFill="1"/>
    <xf numFmtId="175" fontId="0" fillId="8" borderId="0" xfId="0" applyNumberFormat="1" applyFill="1" applyAlignment="1">
      <alignment horizontal="center"/>
    </xf>
    <xf numFmtId="14" fontId="0" fillId="8" borderId="0" xfId="0" applyNumberFormat="1" applyFill="1"/>
    <xf numFmtId="165" fontId="0" fillId="8" borderId="0" xfId="1" applyFont="1" applyFill="1"/>
    <xf numFmtId="0" fontId="34" fillId="41" borderId="5" xfId="0" applyFont="1" applyFill="1" applyBorder="1" applyAlignment="1">
      <alignment horizontal="center" vertical="center"/>
    </xf>
    <xf numFmtId="0" fontId="34" fillId="41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74" fontId="0" fillId="17" borderId="5" xfId="15" applyNumberFormat="1" applyFont="1" applyFill="1" applyBorder="1" applyAlignment="1">
      <alignment horizontal="right" vertical="center"/>
    </xf>
    <xf numFmtId="174" fontId="0" fillId="0" borderId="5" xfId="15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74" fontId="0" fillId="17" borderId="1" xfId="15" applyNumberFormat="1" applyFont="1" applyFill="1" applyBorder="1" applyAlignment="1">
      <alignment horizontal="right" vertical="center"/>
    </xf>
    <xf numFmtId="0" fontId="0" fillId="0" borderId="37" xfId="0" applyBorder="1" applyAlignment="1">
      <alignment horizontal="left" vertical="center" wrapText="1"/>
    </xf>
    <xf numFmtId="0" fontId="0" fillId="0" borderId="37" xfId="0" applyBorder="1" applyAlignment="1">
      <alignment vertical="center" wrapText="1"/>
    </xf>
    <xf numFmtId="174" fontId="39" fillId="0" borderId="26" xfId="15" applyNumberFormat="1" applyFont="1" applyBorder="1" applyAlignment="1">
      <alignment horizontal="right"/>
    </xf>
    <xf numFmtId="174" fontId="39" fillId="0" borderId="39" xfId="15" applyNumberFormat="1" applyFont="1" applyBorder="1" applyAlignment="1">
      <alignment horizontal="right"/>
    </xf>
    <xf numFmtId="178" fontId="0" fillId="8" borderId="5" xfId="3" applyNumberFormat="1" applyFont="1" applyFill="1" applyBorder="1" applyAlignment="1">
      <alignment vertical="center" wrapText="1"/>
    </xf>
    <xf numFmtId="178" fontId="0" fillId="8" borderId="0" xfId="3" applyNumberFormat="1" applyFont="1" applyFill="1" applyBorder="1" applyAlignment="1">
      <alignment vertical="center" wrapText="1"/>
    </xf>
    <xf numFmtId="44" fontId="0" fillId="19" borderId="5" xfId="15" applyNumberFormat="1" applyFont="1" applyFill="1" applyBorder="1" applyAlignment="1">
      <alignment horizontal="right" vertical="center"/>
    </xf>
    <xf numFmtId="9" fontId="0" fillId="0" borderId="0" xfId="0" applyNumberFormat="1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80" fontId="0" fillId="0" borderId="0" xfId="0" applyNumberFormat="1"/>
    <xf numFmtId="0" fontId="17" fillId="11" borderId="11" xfId="0" applyFont="1" applyFill="1" applyBorder="1" applyAlignment="1">
      <alignment horizontal="center" vertical="center"/>
    </xf>
    <xf numFmtId="0" fontId="17" fillId="11" borderId="11" xfId="0" applyFont="1" applyFill="1" applyBorder="1" applyAlignment="1" applyProtection="1">
      <alignment horizontal="center" vertical="center" wrapText="1"/>
      <protection locked="0"/>
    </xf>
    <xf numFmtId="0" fontId="17" fillId="11" borderId="11" xfId="0" applyFont="1" applyFill="1" applyBorder="1" applyAlignment="1">
      <alignment horizontal="center" vertical="center" wrapText="1"/>
    </xf>
    <xf numFmtId="44" fontId="0" fillId="0" borderId="0" xfId="0" applyNumberFormat="1"/>
    <xf numFmtId="9" fontId="0" fillId="8" borderId="0" xfId="3" applyNumberFormat="1" applyFont="1" applyFill="1" applyBorder="1" applyAlignment="1">
      <alignment horizontal="center" vertical="center"/>
    </xf>
    <xf numFmtId="175" fontId="0" fillId="8" borderId="0" xfId="3" applyNumberFormat="1" applyFont="1" applyFill="1" applyBorder="1" applyAlignment="1">
      <alignment horizontal="center" vertical="center"/>
    </xf>
    <xf numFmtId="2" fontId="3" fillId="8" borderId="36" xfId="0" applyNumberFormat="1" applyFont="1" applyFill="1" applyBorder="1"/>
    <xf numFmtId="2" fontId="3" fillId="8" borderId="0" xfId="0" applyNumberFormat="1" applyFont="1" applyFill="1"/>
    <xf numFmtId="0" fontId="0" fillId="8" borderId="0" xfId="0" applyFill="1" applyAlignment="1">
      <alignment wrapText="1"/>
    </xf>
    <xf numFmtId="168" fontId="0" fillId="8" borderId="0" xfId="1" applyNumberFormat="1" applyFont="1" applyFill="1"/>
    <xf numFmtId="0" fontId="3" fillId="8" borderId="36" xfId="0" applyFont="1" applyFill="1" applyBorder="1" applyAlignment="1">
      <alignment vertical="center"/>
    </xf>
    <xf numFmtId="0" fontId="12" fillId="0" borderId="13" xfId="0" applyFont="1" applyBorder="1" applyProtection="1">
      <protection locked="0"/>
    </xf>
    <xf numFmtId="0" fontId="12" fillId="0" borderId="14" xfId="0" applyFont="1" applyBorder="1" applyProtection="1">
      <protection locked="0"/>
    </xf>
    <xf numFmtId="0" fontId="18" fillId="10" borderId="11" xfId="0" applyFont="1" applyFill="1" applyBorder="1" applyProtection="1">
      <protection locked="0"/>
    </xf>
    <xf numFmtId="0" fontId="17" fillId="10" borderId="11" xfId="0" applyFont="1" applyFill="1" applyBorder="1" applyAlignment="1" applyProtection="1">
      <alignment vertical="center" wrapText="1"/>
      <protection locked="0"/>
    </xf>
    <xf numFmtId="0" fontId="17" fillId="10" borderId="11" xfId="0" applyFont="1" applyFill="1" applyBorder="1" applyProtection="1">
      <protection locked="0"/>
    </xf>
    <xf numFmtId="0" fontId="16" fillId="0" borderId="5" xfId="14" applyFont="1" applyBorder="1" applyAlignment="1">
      <alignment horizontal="center"/>
    </xf>
    <xf numFmtId="0" fontId="17" fillId="12" borderId="15" xfId="0" applyFont="1" applyFill="1" applyBorder="1" applyAlignment="1" applyProtection="1">
      <alignment horizontal="center"/>
      <protection locked="0"/>
    </xf>
    <xf numFmtId="0" fontId="17" fillId="5" borderId="15" xfId="0" applyFont="1" applyFill="1" applyBorder="1" applyAlignment="1" applyProtection="1">
      <alignment horizontal="left"/>
      <protection locked="0"/>
    </xf>
    <xf numFmtId="0" fontId="17" fillId="12" borderId="17" xfId="0" applyFont="1" applyFill="1" applyBorder="1" applyAlignment="1" applyProtection="1">
      <alignment horizontal="center"/>
      <protection locked="0"/>
    </xf>
    <xf numFmtId="0" fontId="17" fillId="12" borderId="18" xfId="0" applyFont="1" applyFill="1" applyBorder="1" applyAlignment="1" applyProtection="1">
      <alignment horizontal="center"/>
      <protection locked="0"/>
    </xf>
    <xf numFmtId="0" fontId="17" fillId="12" borderId="19" xfId="0" applyFont="1" applyFill="1" applyBorder="1" applyAlignment="1" applyProtection="1">
      <alignment horizontal="center"/>
      <protection locked="0"/>
    </xf>
    <xf numFmtId="0" fontId="22" fillId="12" borderId="3" xfId="0" applyFont="1" applyFill="1" applyBorder="1" applyAlignment="1">
      <alignment horizontal="left"/>
    </xf>
    <xf numFmtId="0" fontId="13" fillId="16" borderId="3" xfId="0" applyFont="1" applyFill="1" applyBorder="1" applyAlignment="1">
      <alignment horizontal="center"/>
    </xf>
    <xf numFmtId="2" fontId="25" fillId="14" borderId="3" xfId="0" applyNumberFormat="1" applyFont="1" applyFill="1" applyBorder="1" applyAlignment="1">
      <alignment horizontal="center"/>
    </xf>
    <xf numFmtId="2" fontId="14" fillId="30" borderId="4" xfId="0" applyNumberFormat="1" applyFont="1" applyFill="1" applyBorder="1" applyAlignment="1">
      <alignment horizontal="center"/>
    </xf>
    <xf numFmtId="2" fontId="14" fillId="30" borderId="20" xfId="0" applyNumberFormat="1" applyFont="1" applyFill="1" applyBorder="1" applyAlignment="1">
      <alignment horizontal="center"/>
    </xf>
    <xf numFmtId="2" fontId="14" fillId="30" borderId="21" xfId="0" applyNumberFormat="1" applyFont="1" applyFill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/>
    </xf>
    <xf numFmtId="0" fontId="13" fillId="21" borderId="23" xfId="0" applyFont="1" applyFill="1" applyBorder="1" applyAlignment="1" applyProtection="1">
      <alignment horizontal="left"/>
      <protection hidden="1"/>
    </xf>
    <xf numFmtId="0" fontId="13" fillId="6" borderId="22" xfId="0" applyFont="1" applyFill="1" applyBorder="1" applyAlignment="1" applyProtection="1">
      <alignment horizontal="center"/>
      <protection hidden="1"/>
    </xf>
    <xf numFmtId="0" fontId="13" fillId="6" borderId="23" xfId="0" applyFont="1" applyFill="1" applyBorder="1" applyAlignment="1" applyProtection="1">
      <alignment horizontal="center"/>
      <protection locked="0"/>
    </xf>
    <xf numFmtId="0" fontId="13" fillId="32" borderId="23" xfId="0" applyFont="1" applyFill="1" applyBorder="1" applyAlignment="1" applyProtection="1">
      <alignment horizontal="left"/>
      <protection locked="0"/>
    </xf>
    <xf numFmtId="0" fontId="13" fillId="11" borderId="23" xfId="0" applyFont="1" applyFill="1" applyBorder="1" applyAlignment="1" applyProtection="1">
      <alignment horizontal="left"/>
      <protection hidden="1"/>
    </xf>
    <xf numFmtId="0" fontId="13" fillId="34" borderId="23" xfId="0" applyFont="1" applyFill="1" applyBorder="1" applyAlignment="1" applyProtection="1">
      <alignment horizontal="left"/>
      <protection hidden="1"/>
    </xf>
    <xf numFmtId="0" fontId="34" fillId="40" borderId="32" xfId="0" applyFont="1" applyFill="1" applyBorder="1" applyAlignment="1">
      <alignment horizontal="center" vertical="center" wrapText="1"/>
    </xf>
    <xf numFmtId="0" fontId="34" fillId="40" borderId="33" xfId="0" applyFont="1" applyFill="1" applyBorder="1" applyAlignment="1">
      <alignment horizontal="center" vertical="center" wrapText="1"/>
    </xf>
    <xf numFmtId="0" fontId="34" fillId="40" borderId="34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/>
    </xf>
    <xf numFmtId="43" fontId="0" fillId="0" borderId="29" xfId="3" applyFont="1" applyFill="1" applyBorder="1" applyAlignment="1">
      <alignment vertical="center"/>
    </xf>
    <xf numFmtId="43" fontId="0" fillId="0" borderId="30" xfId="3" applyFont="1" applyFill="1" applyBorder="1" applyAlignment="1">
      <alignment vertical="center"/>
    </xf>
    <xf numFmtId="43" fontId="0" fillId="0" borderId="31" xfId="3" applyFont="1" applyFill="1" applyBorder="1" applyAlignment="1">
      <alignment vertical="center"/>
    </xf>
    <xf numFmtId="178" fontId="0" fillId="8" borderId="29" xfId="3" applyNumberFormat="1" applyFont="1" applyFill="1" applyBorder="1" applyAlignment="1">
      <alignment horizontal="center" vertical="center" wrapText="1"/>
    </xf>
    <xf numFmtId="178" fontId="0" fillId="8" borderId="30" xfId="3" applyNumberFormat="1" applyFont="1" applyFill="1" applyBorder="1" applyAlignment="1">
      <alignment horizontal="center" vertical="center" wrapText="1"/>
    </xf>
    <xf numFmtId="178" fontId="0" fillId="8" borderId="31" xfId="3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9" fillId="0" borderId="37" xfId="0" applyFont="1" applyBorder="1" applyAlignment="1">
      <alignment horizontal="right" vertical="center"/>
    </xf>
    <xf numFmtId="0" fontId="39" fillId="0" borderId="38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</cellXfs>
  <cellStyles count="16">
    <cellStyle name="Comma" xfId="1" builtinId="3"/>
    <cellStyle name="Comma 2" xfId="3"/>
    <cellStyle name="Comma 2 2" xfId="4"/>
    <cellStyle name="Comma 3" xfId="13"/>
    <cellStyle name="Comma 9" xfId="11"/>
    <cellStyle name="Currency" xfId="15" builtinId="4"/>
    <cellStyle name="Currency 2" xfId="5"/>
    <cellStyle name="Followed Hyperlink" xfId="9" builtinId="9" hidden="1"/>
    <cellStyle name="Hyperlink" xfId="8" builtinId="8" hidden="1"/>
    <cellStyle name="Normal" xfId="0" builtinId="0"/>
    <cellStyle name="Normal 15" xfId="10"/>
    <cellStyle name="Normal 2" xfId="6"/>
    <cellStyle name="Normal 3" xfId="12"/>
    <cellStyle name="Normal 4" xfId="14"/>
    <cellStyle name="Percent" xfId="2" builtinId="5"/>
    <cellStyle name="Percent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4D4F4"/>
      <color rgb="FFD5FC79"/>
      <color rgb="FFFFFD78"/>
      <color rgb="FFE9EFBC"/>
      <color rgb="FFF4D5F4"/>
      <color rgb="FFEBF9FA"/>
      <color rgb="FFFFA3A8"/>
      <color rgb="FFCEECAD"/>
      <color rgb="FF8EFA00"/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122555</xdr:colOff>
      <xdr:row>0</xdr:row>
      <xdr:rowOff>133350</xdr:rowOff>
    </xdr:from>
    <xdr:to>
      <xdr:col>5</xdr:col>
      <xdr:colOff>285750</xdr:colOff>
      <xdr:row>2</xdr:row>
      <xdr:rowOff>123825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3B52FC0-C3AD-4B5E-9212-3129CCC76032}"/>
            </a:ext>
          </a:extLst>
        </xdr:cNvPr>
        <xdr:cNvSpPr txBox="1"/>
      </xdr:nvSpPr>
      <xdr:spPr>
        <a:xfrm>
          <a:off x="1204595" y="133350"/>
          <a:ext cx="1885315" cy="35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KASTURI VAN</a:t>
          </a:r>
          <a:r>
            <a:rPr lang="en-US" sz="1100" baseline="0"/>
            <a:t> BUILDING NO 1</a:t>
          </a:r>
        </a:p>
        <a:p>
          <a:endParaRPr lang="en-US" sz="1100"/>
        </a:p>
      </xdr:txBody>
    </xdr:sp>
    <xdr:clientData/>
  </xdr:twoCellAnchor>
  <xdr:twoCellAnchor>
    <xdr:from>
      <xdr:col>1</xdr:col>
      <xdr:colOff>390525</xdr:colOff>
      <xdr:row>369</xdr:row>
      <xdr:rowOff>9525</xdr:rowOff>
    </xdr:from>
    <xdr:to>
      <xdr:col>9</xdr:col>
      <xdr:colOff>800100</xdr:colOff>
      <xdr:row>377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76CC789C-B385-4D16-A9E9-903EBD1F28AB}"/>
            </a:ext>
          </a:extLst>
        </xdr:cNvPr>
        <xdr:cNvSpPr txBox="1"/>
      </xdr:nvSpPr>
      <xdr:spPr>
        <a:xfrm>
          <a:off x="794385" y="68772405"/>
          <a:ext cx="5423535" cy="1463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100"/>
            <a:t>                                                Carpet Area                    Saleable Area</a:t>
          </a:r>
        </a:p>
        <a:p>
          <a:pPr algn="l"/>
          <a:r>
            <a:rPr lang="en-US" sz="1100"/>
            <a:t>Ground Floor Shops area= 728.32 sq.mt                  15679 sq.ft</a:t>
          </a:r>
        </a:p>
        <a:p>
          <a:pPr algn="l"/>
          <a:r>
            <a:rPr lang="en-US" sz="1100"/>
            <a:t>Office P2 floor area=           1723.85 sq.mt               18752 sq.ft</a:t>
          </a:r>
        </a:p>
        <a:p>
          <a:pPr algn="l"/>
          <a:r>
            <a:rPr lang="en-US" sz="1100"/>
            <a:t>Office P2 floor area=           278.16 sq.mt                    5240 sq.ft</a:t>
          </a:r>
        </a:p>
        <a:p>
          <a:pPr algn="l"/>
          <a:r>
            <a:rPr lang="en-US" sz="1100"/>
            <a:t>Office P3 floor area=           890.01 sq.mt                 11525 sq.ft</a:t>
          </a:r>
        </a:p>
        <a:p>
          <a:pPr algn="l"/>
          <a:r>
            <a:rPr lang="en-US" sz="1100"/>
            <a:t>Total Flats area=                   19288.1 sq.mt            346315 sq.ft</a:t>
          </a:r>
        </a:p>
        <a:p>
          <a:pPr algn="l"/>
          <a:r>
            <a:rPr lang="en-US" sz="1100" b="1"/>
            <a:t>Grand Total                           22900.94 sq.mt         397511 sq.ft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Babul/DK%20Reality/Working-DK%20Realty_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-CBI"/>
      <sheetName val="Sheet3"/>
      <sheetName val="CA Certificate"/>
      <sheetName val="DETAILS OF MAP"/>
      <sheetName val="Parking"/>
      <sheetName val="SALE Detail-cbi"/>
      <sheetName val="Sold Unsold Inventory"/>
      <sheetName val="Type of Units"/>
      <sheetName val="Sheet2"/>
      <sheetName val="Cost of Construction"/>
      <sheetName val="Construction Status"/>
      <sheetName val="Valuation Working"/>
      <sheetName val="Sheet6"/>
      <sheetName val="Loan"/>
      <sheetName val="Sheet1"/>
      <sheetName val="Completion sheet"/>
      <sheetName val="Valuation Working (2)"/>
    </sheetNames>
    <sheetDataSet>
      <sheetData sheetId="0"/>
      <sheetData sheetId="1"/>
      <sheetData sheetId="2"/>
      <sheetData sheetId="3">
        <row r="5">
          <cell r="G5">
            <v>916959.86459999986</v>
          </cell>
        </row>
      </sheetData>
      <sheetData sheetId="4"/>
      <sheetData sheetId="5"/>
      <sheetData sheetId="6">
        <row r="2">
          <cell r="I2">
            <v>654</v>
          </cell>
        </row>
        <row r="13">
          <cell r="N13">
            <v>9</v>
          </cell>
        </row>
      </sheetData>
      <sheetData sheetId="7"/>
      <sheetData sheetId="8"/>
      <sheetData sheetId="9">
        <row r="14">
          <cell r="D14">
            <v>0</v>
          </cell>
        </row>
        <row r="17">
          <cell r="I17">
            <v>73.962020470010941</v>
          </cell>
          <cell r="J17">
            <v>284.82065569125677</v>
          </cell>
        </row>
        <row r="21">
          <cell r="F21">
            <v>0.8321165286840001</v>
          </cell>
          <cell r="G21">
            <v>3.3284661147360004</v>
          </cell>
          <cell r="H21">
            <v>4.1605826434200006</v>
          </cell>
          <cell r="I21">
            <v>8.3211652868400012</v>
          </cell>
        </row>
        <row r="28">
          <cell r="G28">
            <v>201.92527088721636</v>
          </cell>
        </row>
        <row r="29">
          <cell r="G29">
            <v>37.540420506152024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28"/>
  <sheetViews>
    <sheetView workbookViewId="0">
      <selection activeCell="A13" sqref="A13"/>
    </sheetView>
  </sheetViews>
  <sheetFormatPr defaultColWidth="9.28515625" defaultRowHeight="15"/>
  <cols>
    <col min="1" max="1" width="41.85546875" style="300" bestFit="1" customWidth="1"/>
    <col min="2" max="2" width="18.42578125" style="300" bestFit="1" customWidth="1"/>
    <col min="3" max="3" width="15" style="300" customWidth="1"/>
    <col min="4" max="4" width="17.28515625" style="300" bestFit="1" customWidth="1"/>
    <col min="5" max="5" width="18.28515625" style="300" bestFit="1" customWidth="1"/>
    <col min="6" max="6" width="10.7109375" style="300" bestFit="1" customWidth="1"/>
    <col min="7" max="7" width="19.140625" style="300" bestFit="1" customWidth="1"/>
    <col min="8" max="16374" width="9.28515625" style="300"/>
    <col min="16375" max="16375" width="25.28515625" style="300" bestFit="1" customWidth="1"/>
    <col min="16376" max="16384" width="9.28515625" style="300"/>
  </cols>
  <sheetData>
    <row r="1" spans="1:8 16375:16375" ht="15.75">
      <c r="A1" s="338" t="s">
        <v>12</v>
      </c>
      <c r="B1" s="517" t="s">
        <v>226</v>
      </c>
      <c r="C1" s="517"/>
      <c r="D1" s="517"/>
      <c r="E1" s="517"/>
    </row>
    <row r="2" spans="1:8 16375:16375" ht="15.75">
      <c r="A2" s="338" t="s">
        <v>42</v>
      </c>
      <c r="B2" s="518"/>
      <c r="C2" s="518"/>
      <c r="D2" s="518"/>
      <c r="E2" s="518"/>
    </row>
    <row r="3" spans="1:8 16375:16375">
      <c r="A3" s="59" t="s">
        <v>58</v>
      </c>
      <c r="B3" s="339"/>
      <c r="C3" s="340" t="s">
        <v>62</v>
      </c>
      <c r="D3" s="519" t="s">
        <v>126</v>
      </c>
      <c r="E3" s="519"/>
      <c r="XEU3" s="300" t="s">
        <v>123</v>
      </c>
    </row>
    <row r="4" spans="1:8 16375:16375">
      <c r="A4" s="59" t="s">
        <v>60</v>
      </c>
      <c r="B4" s="339"/>
      <c r="C4" s="340" t="s">
        <v>62</v>
      </c>
      <c r="D4" s="519"/>
      <c r="E4" s="519"/>
      <c r="XEU4" s="300" t="s">
        <v>124</v>
      </c>
    </row>
    <row r="5" spans="1:8 16375:16375" s="380" customFormat="1" ht="31.5">
      <c r="A5" s="504" t="s">
        <v>3</v>
      </c>
      <c r="B5" s="505" t="s">
        <v>45</v>
      </c>
      <c r="C5" s="505" t="s">
        <v>227</v>
      </c>
      <c r="D5" s="506" t="s">
        <v>59</v>
      </c>
      <c r="E5" s="504" t="s">
        <v>31</v>
      </c>
      <c r="XEU5" s="380" t="s">
        <v>125</v>
      </c>
    </row>
    <row r="6" spans="1:8 16375:16375">
      <c r="A6" s="60" t="s">
        <v>110</v>
      </c>
      <c r="B6" s="342">
        <v>5.25</v>
      </c>
      <c r="C6" s="342">
        <v>1.94</v>
      </c>
      <c r="D6" s="343">
        <f t="shared" ref="D6:D16" si="0">B6-C6</f>
        <v>3.31</v>
      </c>
      <c r="E6" s="344">
        <f>B6/$B$17</f>
        <v>0.15615434965152483</v>
      </c>
      <c r="XEU6" s="300" t="s">
        <v>126</v>
      </c>
    </row>
    <row r="7" spans="1:8 16375:16375">
      <c r="A7" s="60" t="s">
        <v>111</v>
      </c>
      <c r="B7" s="345">
        <v>0</v>
      </c>
      <c r="C7" s="345">
        <v>0</v>
      </c>
      <c r="D7" s="346">
        <f t="shared" si="0"/>
        <v>0</v>
      </c>
      <c r="E7" s="344">
        <f t="shared" ref="E7:E16" si="1">B7/$B$17</f>
        <v>0</v>
      </c>
      <c r="XEU7" s="300" t="s">
        <v>127</v>
      </c>
    </row>
    <row r="8" spans="1:8 16375:16375">
      <c r="A8" s="60" t="s">
        <v>112</v>
      </c>
      <c r="B8" s="345">
        <v>0</v>
      </c>
      <c r="C8" s="345">
        <v>0</v>
      </c>
      <c r="D8" s="346">
        <f t="shared" si="0"/>
        <v>0</v>
      </c>
      <c r="E8" s="344">
        <f t="shared" si="1"/>
        <v>0</v>
      </c>
    </row>
    <row r="9" spans="1:8 16375:16375">
      <c r="A9" s="60" t="s">
        <v>113</v>
      </c>
      <c r="B9" s="345">
        <v>1</v>
      </c>
      <c r="C9" s="345">
        <v>0.2</v>
      </c>
      <c r="D9" s="346">
        <f t="shared" si="0"/>
        <v>0.8</v>
      </c>
      <c r="E9" s="344">
        <f t="shared" si="1"/>
        <v>2.9743685647909492E-2</v>
      </c>
    </row>
    <row r="10" spans="1:8 16375:16375">
      <c r="A10" s="60" t="s">
        <v>114</v>
      </c>
      <c r="B10" s="347">
        <v>1.87</v>
      </c>
      <c r="C10" s="347">
        <v>1.87</v>
      </c>
      <c r="D10" s="348">
        <f t="shared" si="0"/>
        <v>0</v>
      </c>
      <c r="E10" s="344">
        <f t="shared" si="1"/>
        <v>5.5620692161590754E-2</v>
      </c>
      <c r="G10" s="349"/>
    </row>
    <row r="11" spans="1:8 16375:16375">
      <c r="A11" s="60" t="s">
        <v>115</v>
      </c>
      <c r="B11" s="345">
        <v>0</v>
      </c>
      <c r="C11" s="345">
        <v>0</v>
      </c>
      <c r="D11" s="346">
        <f t="shared" si="0"/>
        <v>0</v>
      </c>
      <c r="E11" s="344">
        <f t="shared" si="1"/>
        <v>0</v>
      </c>
      <c r="G11" s="349"/>
    </row>
    <row r="12" spans="1:8 16375:16375">
      <c r="A12" s="61" t="s">
        <v>116</v>
      </c>
      <c r="B12" s="347">
        <v>19.28</v>
      </c>
      <c r="C12" s="347">
        <v>0</v>
      </c>
      <c r="D12" s="348">
        <f t="shared" si="0"/>
        <v>19.28</v>
      </c>
      <c r="E12" s="344">
        <f t="shared" si="1"/>
        <v>0.57345825929169503</v>
      </c>
      <c r="G12" s="350"/>
    </row>
    <row r="13" spans="1:8 16375:16375">
      <c r="A13" s="60" t="s">
        <v>117</v>
      </c>
      <c r="B13" s="347">
        <v>1.3</v>
      </c>
      <c r="C13" s="347">
        <v>0</v>
      </c>
      <c r="D13" s="348">
        <f t="shared" si="0"/>
        <v>1.3</v>
      </c>
      <c r="E13" s="344">
        <f t="shared" si="1"/>
        <v>3.866679134228234E-2</v>
      </c>
      <c r="F13" s="351"/>
      <c r="G13" s="349">
        <f>B13/B12</f>
        <v>6.7427385892116179E-2</v>
      </c>
      <c r="H13" s="351"/>
    </row>
    <row r="14" spans="1:8 16375:16375">
      <c r="A14" s="60" t="s">
        <v>118</v>
      </c>
      <c r="B14" s="347">
        <v>1.35</v>
      </c>
      <c r="C14" s="347">
        <v>0.4</v>
      </c>
      <c r="D14" s="348">
        <f t="shared" si="0"/>
        <v>0.95000000000000007</v>
      </c>
      <c r="E14" s="344">
        <f t="shared" si="1"/>
        <v>4.0153975624677818E-2</v>
      </c>
      <c r="F14" s="351"/>
      <c r="G14" s="349">
        <f>B14/B12</f>
        <v>7.0020746887966806E-2</v>
      </c>
      <c r="H14" s="351"/>
    </row>
    <row r="15" spans="1:8 16375:16375">
      <c r="A15" s="60" t="s">
        <v>61</v>
      </c>
      <c r="B15" s="347">
        <v>0</v>
      </c>
      <c r="C15" s="347">
        <v>0</v>
      </c>
      <c r="D15" s="348">
        <f t="shared" si="0"/>
        <v>0</v>
      </c>
      <c r="E15" s="344">
        <f t="shared" si="1"/>
        <v>0</v>
      </c>
      <c r="F15" s="351"/>
      <c r="G15" s="349"/>
      <c r="H15" s="351"/>
    </row>
    <row r="16" spans="1:8 16375:16375">
      <c r="A16" s="60" t="s">
        <v>92</v>
      </c>
      <c r="B16" s="347">
        <f>SUM(Cashflow!C19:AA19)</f>
        <v>3.57058125</v>
      </c>
      <c r="C16" s="347">
        <v>0</v>
      </c>
      <c r="D16" s="348">
        <f t="shared" si="0"/>
        <v>3.57058125</v>
      </c>
      <c r="E16" s="344">
        <f t="shared" si="1"/>
        <v>0.10620224628031974</v>
      </c>
      <c r="F16" s="352"/>
      <c r="G16" s="349"/>
      <c r="H16" s="351"/>
    </row>
    <row r="17" spans="1:9" ht="15.75">
      <c r="A17" s="341" t="s">
        <v>13</v>
      </c>
      <c r="B17" s="353">
        <f>SUM(B6:B16)</f>
        <v>33.620581250000001</v>
      </c>
      <c r="C17" s="353">
        <f>SUM(C6:C16)</f>
        <v>4.41</v>
      </c>
      <c r="D17" s="354">
        <f>SUM(D6:D16)</f>
        <v>29.210581250000001</v>
      </c>
      <c r="E17" s="355">
        <f>SUM(E6:E16)</f>
        <v>1</v>
      </c>
      <c r="F17" s="351"/>
      <c r="G17" s="351"/>
      <c r="I17" s="351"/>
    </row>
    <row r="18" spans="1:9">
      <c r="A18" s="515"/>
      <c r="B18" s="516"/>
      <c r="C18" s="516"/>
      <c r="D18" s="516"/>
      <c r="E18" s="516"/>
      <c r="F18" s="356"/>
    </row>
    <row r="19" spans="1:9" ht="15.75">
      <c r="A19" s="62" t="s">
        <v>14</v>
      </c>
      <c r="B19" s="357" t="s">
        <v>55</v>
      </c>
      <c r="C19" s="357" t="s">
        <v>197</v>
      </c>
      <c r="D19" s="62" t="s">
        <v>63</v>
      </c>
      <c r="E19" s="62" t="s">
        <v>47</v>
      </c>
      <c r="G19" s="356"/>
    </row>
    <row r="20" spans="1:9">
      <c r="A20" s="358" t="s">
        <v>119</v>
      </c>
      <c r="B20" s="359">
        <v>0.24</v>
      </c>
      <c r="C20" s="359">
        <v>0.24</v>
      </c>
      <c r="D20" s="360">
        <f>B20-C20</f>
        <v>0</v>
      </c>
      <c r="E20" s="361">
        <f>B20/$B$25</f>
        <v>7.1384845554982781E-3</v>
      </c>
      <c r="G20" s="351"/>
      <c r="H20" s="356"/>
    </row>
    <row r="21" spans="1:9">
      <c r="A21" s="358" t="s">
        <v>120</v>
      </c>
      <c r="B21" s="359">
        <v>8</v>
      </c>
      <c r="C21" s="359">
        <v>4.17</v>
      </c>
      <c r="D21" s="360">
        <f>B21-C21</f>
        <v>3.83</v>
      </c>
      <c r="E21" s="361">
        <f t="shared" ref="E21:E24" si="2">B21/$B$25</f>
        <v>0.23794948518327594</v>
      </c>
      <c r="H21" s="356"/>
    </row>
    <row r="22" spans="1:9">
      <c r="A22" s="362" t="s">
        <v>121</v>
      </c>
      <c r="B22" s="363"/>
      <c r="C22" s="363">
        <v>0</v>
      </c>
      <c r="D22" s="363">
        <f>B22-C22</f>
        <v>0</v>
      </c>
      <c r="E22" s="364">
        <f t="shared" si="2"/>
        <v>0</v>
      </c>
      <c r="H22" s="356"/>
    </row>
    <row r="23" spans="1:9" ht="15.75">
      <c r="A23" s="362" t="s">
        <v>122</v>
      </c>
      <c r="B23" s="363">
        <f>B17-B20-B22-B24-B21</f>
        <v>10.880581249999999</v>
      </c>
      <c r="C23" s="363">
        <v>0</v>
      </c>
      <c r="D23" s="365">
        <f>B23-C23</f>
        <v>10.880581249999999</v>
      </c>
      <c r="E23" s="366">
        <f t="shared" si="2"/>
        <v>0.32362858836653807</v>
      </c>
      <c r="F23" s="351"/>
      <c r="H23" s="301"/>
    </row>
    <row r="24" spans="1:9" ht="15.75">
      <c r="A24" s="367" t="s">
        <v>221</v>
      </c>
      <c r="B24" s="368">
        <v>14.5</v>
      </c>
      <c r="C24" s="368">
        <v>0</v>
      </c>
      <c r="D24" s="369">
        <f>B24-C24</f>
        <v>14.5</v>
      </c>
      <c r="E24" s="370">
        <f t="shared" si="2"/>
        <v>0.43128344189468765</v>
      </c>
      <c r="H24" s="301"/>
    </row>
    <row r="25" spans="1:9" ht="15.75">
      <c r="A25" s="371" t="s">
        <v>15</v>
      </c>
      <c r="B25" s="372">
        <f>SUM(B20:B24)</f>
        <v>33.620581250000001</v>
      </c>
      <c r="C25" s="372">
        <f>SUM(C20:C24)</f>
        <v>4.41</v>
      </c>
      <c r="D25" s="372">
        <f>SUM(D20:D24)</f>
        <v>29.210581249999997</v>
      </c>
      <c r="E25" s="373">
        <f>SUM(E20:E24)</f>
        <v>1</v>
      </c>
    </row>
    <row r="26" spans="1:9" ht="15.75">
      <c r="A26" s="374"/>
      <c r="B26" s="375"/>
      <c r="C26" s="349"/>
      <c r="G26" s="356"/>
    </row>
    <row r="27" spans="1:9">
      <c r="B27" s="352"/>
      <c r="C27" s="356"/>
      <c r="D27" s="376"/>
    </row>
    <row r="28" spans="1:9">
      <c r="B28" s="356"/>
      <c r="C28" s="351"/>
    </row>
  </sheetData>
  <mergeCells count="4">
    <mergeCell ref="A18:E18"/>
    <mergeCell ref="B1:E1"/>
    <mergeCell ref="B2:E2"/>
    <mergeCell ref="D3:E4"/>
  </mergeCells>
  <dataValidations disablePrompts="1" count="1">
    <dataValidation type="list" allowBlank="1" showInputMessage="1" showErrorMessage="1" sqref="D3:E4">
      <formula1>$XEU$3:$XEU$7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D10" sqref="D10"/>
    </sheetView>
  </sheetViews>
  <sheetFormatPr defaultColWidth="10.85546875" defaultRowHeight="15"/>
  <cols>
    <col min="1" max="1" width="34.140625" style="282" bestFit="1" customWidth="1"/>
    <col min="2" max="2" width="9.7109375" style="282" bestFit="1" customWidth="1"/>
    <col min="3" max="9" width="12.28515625" style="282" bestFit="1" customWidth="1"/>
    <col min="10" max="16384" width="10.85546875" style="282"/>
  </cols>
  <sheetData>
    <row r="2" spans="1:11" ht="15.75">
      <c r="A2" s="279" t="s">
        <v>0</v>
      </c>
      <c r="B2" s="280" t="s">
        <v>225</v>
      </c>
      <c r="C2" s="280" t="s">
        <v>147</v>
      </c>
      <c r="D2" s="281" t="s">
        <v>148</v>
      </c>
      <c r="E2" s="281" t="s">
        <v>149</v>
      </c>
      <c r="F2" s="281" t="s">
        <v>150</v>
      </c>
      <c r="G2" s="279" t="s">
        <v>151</v>
      </c>
      <c r="H2" s="279" t="s">
        <v>152</v>
      </c>
      <c r="I2" s="279" t="s">
        <v>153</v>
      </c>
    </row>
    <row r="3" spans="1:11" ht="15.75">
      <c r="A3" s="279"/>
      <c r="B3" s="283"/>
      <c r="C3" s="283"/>
      <c r="D3" s="279"/>
      <c r="E3" s="279"/>
      <c r="F3" s="279"/>
      <c r="G3" s="279"/>
      <c r="H3" s="279"/>
      <c r="I3" s="279"/>
    </row>
    <row r="4" spans="1:11">
      <c r="A4" s="282" t="s">
        <v>154</v>
      </c>
      <c r="B4" s="284">
        <f>SUMIFS(Cashflow!$C$8:$AE$8,Cashflow!$C$2:$AE$2,'Annualised Cashflow'!B$2)</f>
        <v>0</v>
      </c>
      <c r="C4" s="284">
        <f>SUMIFS(Cashflow!$C$8:$AE$8,Cashflow!$C$2:$AE$2,'Annualised Cashflow'!C$2)</f>
        <v>3.1633999999999993</v>
      </c>
      <c r="D4" s="284">
        <f>SUMIFS(Cashflow!$C$8:$AE$8,Cashflow!$C$2:$AE$2,'Annualised Cashflow'!D$2)</f>
        <v>9.3191349999999993</v>
      </c>
      <c r="E4" s="284">
        <f>SUMIFS(Cashflow!$C$8:$AE$8,Cashflow!$C$2:$AE$2,'Annualised Cashflow'!E$2)</f>
        <v>29.894364999999993</v>
      </c>
      <c r="F4" s="284">
        <f>SUMIFS(Cashflow!$C$8:$AE$8,Cashflow!$C$2:$AE$2,'Annualised Cashflow'!F$2)</f>
        <v>5.2590999999999992</v>
      </c>
      <c r="G4" s="284">
        <f>SUMIFS(Cashflow!$C$8:$AE$8,Cashflow!$C$2:$AE$2,'Annualised Cashflow'!G$2)</f>
        <v>0</v>
      </c>
      <c r="H4" s="284">
        <f>SUMIFS(Cashflow!$C$8:$AE$8,Cashflow!$C$2:$AE$2,'Annualised Cashflow'!H$2)</f>
        <v>0</v>
      </c>
      <c r="I4" s="284">
        <f>SUMIFS(Cashflow!$C$8:$AE$8,Cashflow!$C$2:$AE$2,'Annualised Cashflow'!I$2)</f>
        <v>0</v>
      </c>
      <c r="J4" s="289"/>
    </row>
    <row r="5" spans="1:11">
      <c r="B5" s="284"/>
      <c r="C5" s="284"/>
      <c r="D5" s="284"/>
      <c r="E5" s="284"/>
      <c r="F5" s="284"/>
      <c r="G5" s="284"/>
      <c r="H5" s="284"/>
      <c r="I5" s="284"/>
    </row>
    <row r="6" spans="1:11">
      <c r="A6" s="282" t="s">
        <v>195</v>
      </c>
      <c r="B6" s="284">
        <f>SUMPRODUCT((Cashflow!$C$2:$AE$2='Annualised Cashflow'!B$2)*(Cashflow!$C$9:$AE$9))</f>
        <v>0</v>
      </c>
      <c r="C6" s="284">
        <f>SUMPRODUCT((Cashflow!$C$2:$AE$2='Annualised Cashflow'!C$2)*(Cashflow!$C$9:$AE$9))</f>
        <v>1.1100000000000001</v>
      </c>
      <c r="D6" s="284">
        <f>SUMPRODUCT((Cashflow!$C$2:$AE$2='Annualised Cashflow'!D$2)*(Cashflow!$C$9:$AE$9))</f>
        <v>2.2000000000000002</v>
      </c>
      <c r="E6" s="284">
        <f>SUMPRODUCT((Cashflow!$C$2:$AE$2='Annualised Cashflow'!E$2)*(Cashflow!$C$9:$AE$9))</f>
        <v>0</v>
      </c>
      <c r="F6" s="284">
        <f>SUMPRODUCT((Cashflow!$C$2:$AE$2='Annualised Cashflow'!F$2)*(Cashflow!$C$9:$AE$9))</f>
        <v>0</v>
      </c>
      <c r="G6" s="284">
        <f>SUMPRODUCT((Cashflow!$C$2:$AE$2='Annualised Cashflow'!G$2)*(Cashflow!$C$9:$AE$9))</f>
        <v>0</v>
      </c>
      <c r="H6" s="284">
        <f>SUMPRODUCT((Cashflow!$C$2:$AE$2='Annualised Cashflow'!H$2)*(Cashflow!$C$9:$AE$9))</f>
        <v>0</v>
      </c>
      <c r="I6" s="284">
        <f>SUMPRODUCT((Cashflow!$C$2:$AE$2='Annualised Cashflow'!I$2)*(Cashflow!$C$9:$AE$9))</f>
        <v>0</v>
      </c>
      <c r="J6" s="289"/>
    </row>
    <row r="7" spans="1:11" s="286" customFormat="1">
      <c r="A7" s="285" t="s">
        <v>155</v>
      </c>
      <c r="B7" s="284">
        <f>SUMPRODUCT((Cashflow!$C$2:$AE$2='Annualised Cashflow'!B$2)*(Cashflow!$C$10:$AE$15))</f>
        <v>0</v>
      </c>
      <c r="C7" s="284">
        <f>SUMPRODUCT((Cashflow!$C$2:$AE$2='Annualised Cashflow'!C$2)*(Cashflow!$C$10:$AE$15))</f>
        <v>12.8</v>
      </c>
      <c r="D7" s="284">
        <f>SUMPRODUCT((Cashflow!$C$2:$AE$2='Annualised Cashflow'!D$2)*(Cashflow!$C$10:$AE$15))</f>
        <v>6.78</v>
      </c>
      <c r="E7" s="284">
        <f>SUMPRODUCT((Cashflow!$C$2:$AE$2='Annualised Cashflow'!E$2)*(Cashflow!$C$10:$AE$15))</f>
        <v>0.5</v>
      </c>
      <c r="F7" s="284">
        <f>SUMPRODUCT((Cashflow!$C$2:$AE$2='Annualised Cashflow'!F$2)*(Cashflow!$C$10:$AE$15))</f>
        <v>0</v>
      </c>
      <c r="G7" s="284">
        <f>SUMPRODUCT((Cashflow!$C$2:$AE$2='Annualised Cashflow'!G$2)*(Cashflow!$C$10:$AE$15))</f>
        <v>0</v>
      </c>
      <c r="H7" s="284">
        <f>SUMPRODUCT((Cashflow!$C$2:$AE$2='Annualised Cashflow'!H$2)*(Cashflow!$C$10:$AE$15))</f>
        <v>0</v>
      </c>
      <c r="I7" s="284">
        <f>SUMPRODUCT((Cashflow!$C$2:$AE$2='Annualised Cashflow'!I$2)*(Cashflow!$C$10:$AE$15))</f>
        <v>0</v>
      </c>
      <c r="J7" s="289"/>
    </row>
    <row r="8" spans="1:11" s="286" customFormat="1">
      <c r="A8" s="285" t="s">
        <v>156</v>
      </c>
      <c r="B8" s="284">
        <f>SUMPRODUCT((Cashflow!$C$2:$AE$2='Annualised Cashflow'!B$2)*(Cashflow!$C$16:$AE$17))</f>
        <v>0</v>
      </c>
      <c r="C8" s="284">
        <f>SUMPRODUCT((Cashflow!$C$2:$AE$2='Annualised Cashflow'!C$2)*(Cashflow!$C$16:$AE$17))</f>
        <v>0.72</v>
      </c>
      <c r="D8" s="284">
        <f>SUMPRODUCT((Cashflow!$C$2:$AE$2='Annualised Cashflow'!D$2)*(Cashflow!$C$16:$AE$17))</f>
        <v>0.68000000000000016</v>
      </c>
      <c r="E8" s="284">
        <f>SUMPRODUCT((Cashflow!$C$2:$AE$2='Annualised Cashflow'!E$2)*(Cashflow!$C$16:$AE$17))</f>
        <v>0.68000000000000016</v>
      </c>
      <c r="F8" s="284">
        <f>SUMPRODUCT((Cashflow!$C$2:$AE$2='Annualised Cashflow'!F$2)*(Cashflow!$C$16:$AE$17))</f>
        <v>0.17</v>
      </c>
      <c r="G8" s="284">
        <f>SUMPRODUCT((Cashflow!$C$2:$AE$2='Annualised Cashflow'!G$2)*(Cashflow!$C$16:$AE$17))</f>
        <v>0</v>
      </c>
      <c r="H8" s="284">
        <f>SUMPRODUCT((Cashflow!$C$2:$AE$2='Annualised Cashflow'!H$2)*(Cashflow!$C$16:$AE$17))</f>
        <v>0</v>
      </c>
      <c r="I8" s="284">
        <f>SUMPRODUCT((Cashflow!$C$2:$AE$2='Annualised Cashflow'!I$2)*(Cashflow!$C$16:$AE$17))</f>
        <v>0</v>
      </c>
      <c r="J8" s="289"/>
    </row>
    <row r="9" spans="1:11" s="286" customFormat="1">
      <c r="A9" s="285" t="s">
        <v>194</v>
      </c>
      <c r="B9" s="284">
        <f>SUMIFS(Cashflow!$C$18:$AE$18,Cashflow!$C$2:$AE$2,'Annualised Cashflow'!B$2)</f>
        <v>0</v>
      </c>
      <c r="C9" s="284">
        <f>SUMIFS(Cashflow!$C$18:$AE$18,Cashflow!$C$2:$AE$2,'Annualised Cashflow'!C$2)</f>
        <v>0</v>
      </c>
      <c r="D9" s="284">
        <f>SUMIFS(Cashflow!$C$18:$AE$18,Cashflow!$C$2:$AE$2,'Annualised Cashflow'!D$2)</f>
        <v>0</v>
      </c>
      <c r="E9" s="284">
        <f>SUMIFS(Cashflow!$C$18:$AE$18,Cashflow!$C$2:$AE$2,'Annualised Cashflow'!E$2)</f>
        <v>0</v>
      </c>
      <c r="F9" s="284">
        <f>SUMIFS(Cashflow!$C$18:$AE$18,Cashflow!$C$2:$AE$2,'Annualised Cashflow'!F$2)</f>
        <v>0</v>
      </c>
      <c r="G9" s="284">
        <f>SUMIFS(Cashflow!$C$18:$AE$18,Cashflow!$C$2:$AE$2,'Annualised Cashflow'!G$2)</f>
        <v>0</v>
      </c>
      <c r="H9" s="284">
        <f>SUMIFS(Cashflow!$C$18:$AE$18,Cashflow!$C$2:$AE$2,'Annualised Cashflow'!H$2)</f>
        <v>0</v>
      </c>
      <c r="I9" s="284">
        <f>SUMIFS(Cashflow!$C$18:$AE$18,Cashflow!$C$2:$AE$2,'Annualised Cashflow'!I$2)</f>
        <v>0</v>
      </c>
      <c r="J9" s="289"/>
      <c r="K9" s="318"/>
    </row>
    <row r="10" spans="1:11" s="286" customFormat="1">
      <c r="A10" s="285" t="s">
        <v>92</v>
      </c>
      <c r="B10" s="284">
        <f>SUMIFS(Cashflow!$C$19:$AE$19,Cashflow!$C$2:$AE$2,'Annualised Cashflow'!B$2)</f>
        <v>0</v>
      </c>
      <c r="C10" s="284">
        <f>SUMIFS(Cashflow!$C$19:$AE$19,Cashflow!$C$2:$AE$2,'Annualised Cashflow'!C$2)</f>
        <v>0.82012499999999999</v>
      </c>
      <c r="D10" s="284">
        <f>SUMIFS(Cashflow!$C$19:$AE$19,Cashflow!$C$2:$AE$2,'Annualised Cashflow'!D$2)</f>
        <v>1.5810187499999999</v>
      </c>
      <c r="E10" s="284">
        <f>SUMIFS(Cashflow!$C$19:$AE$19,Cashflow!$C$2:$AE$2,'Annualised Cashflow'!E$2)</f>
        <v>1.1694374999999999</v>
      </c>
      <c r="F10" s="284">
        <f>SUMIFS(Cashflow!$C$19:$AE$19,Cashflow!$C$2:$AE$2,'Annualised Cashflow'!F$2)</f>
        <v>0</v>
      </c>
      <c r="G10" s="284">
        <f>SUMIFS(Cashflow!$C$19:$AE$19,Cashflow!$C$2:$AE$2,'Annualised Cashflow'!G$2)</f>
        <v>0</v>
      </c>
      <c r="H10" s="284">
        <f>SUMIFS(Cashflow!$C$19:$AE$19,Cashflow!$C$2:$AE$2,'Annualised Cashflow'!H$2)</f>
        <v>0</v>
      </c>
      <c r="I10" s="284">
        <f>SUMIFS(Cashflow!$C$19:$AE$19,Cashflow!$C$2:$AE$2,'Annualised Cashflow'!I$2)</f>
        <v>0</v>
      </c>
      <c r="J10" s="289"/>
    </row>
    <row r="11" spans="1:11" s="286" customFormat="1">
      <c r="A11" s="285" t="s">
        <v>44</v>
      </c>
      <c r="B11" s="284">
        <f>SUMIFS(Cashflow!$C$20:$AE$20,Cashflow!$C$2:$AE$2,'Annualised Cashflow'!B$2)</f>
        <v>0</v>
      </c>
      <c r="C11" s="284">
        <f>SUMIFS(Cashflow!$C$20:$AE$20,Cashflow!$C$2:$AE$2,'Annualised Cashflow'!C$2)</f>
        <v>0</v>
      </c>
      <c r="D11" s="284">
        <f>SUMIFS(Cashflow!$C$20:$AE$20,Cashflow!$C$2:$AE$2,'Annualised Cashflow'!D$2)</f>
        <v>2</v>
      </c>
      <c r="E11" s="284">
        <f>SUMIFS(Cashflow!$C$20:$AE$20,Cashflow!$C$2:$AE$2,'Annualised Cashflow'!E$2)</f>
        <v>1.3</v>
      </c>
      <c r="F11" s="284">
        <f>SUMIFS(Cashflow!$C$20:$AE$20,Cashflow!$C$2:$AE$2,'Annualised Cashflow'!F$2)</f>
        <v>-3.3</v>
      </c>
      <c r="G11" s="284">
        <f>SUMIFS(Cashflow!$C$20:$AE$20,Cashflow!$C$2:$AE$2,'Annualised Cashflow'!G$2)</f>
        <v>0</v>
      </c>
      <c r="H11" s="284">
        <f>SUMIFS(Cashflow!$C$20:$AE$20,Cashflow!$C$2:$AE$2,'Annualised Cashflow'!H$2)</f>
        <v>0</v>
      </c>
      <c r="I11" s="284">
        <f>SUMIFS(Cashflow!$C$20:$AE$20,Cashflow!$C$2:$AE$2,'Annualised Cashflow'!I$2)</f>
        <v>0</v>
      </c>
    </row>
    <row r="12" spans="1:11" s="286" customFormat="1">
      <c r="A12" s="285"/>
      <c r="B12" s="284"/>
      <c r="C12" s="284"/>
      <c r="D12" s="284"/>
      <c r="E12" s="284"/>
      <c r="F12" s="284"/>
      <c r="G12" s="282"/>
      <c r="H12" s="282"/>
      <c r="I12" s="282"/>
    </row>
    <row r="13" spans="1:11">
      <c r="A13" s="285" t="s">
        <v>157</v>
      </c>
      <c r="B13" s="287">
        <f>SUMIFS('Inflow Calculation'!$J$3:$J$31,'Inflow Calculation'!$C$3:$C$31,'Annualised Cashflow'!B2)</f>
        <v>0</v>
      </c>
      <c r="C13" s="287">
        <f>SUMIFS('Inflow Calculation'!$J$3:$J$31,'Inflow Calculation'!$C$3:$C$31,'Annualised Cashflow'!C2)</f>
        <v>6571</v>
      </c>
      <c r="D13" s="287">
        <f>SUMIFS('Inflow Calculation'!$J$3:$J$31,'Inflow Calculation'!$C$3:$C$31,'Annualised Cashflow'!D2)</f>
        <v>9650</v>
      </c>
      <c r="E13" s="287">
        <f>SUMIFS('Inflow Calculation'!$J$3:$J$31,'Inflow Calculation'!$C$3:$C$31,'Annualised Cashflow'!E2)</f>
        <v>16442</v>
      </c>
      <c r="F13" s="287">
        <f>SUMIFS('Inflow Calculation'!$J$3:$J$31,'Inflow Calculation'!$C$3:$C$31,'Annualised Cashflow'!F2)</f>
        <v>4781</v>
      </c>
      <c r="G13" s="287">
        <f>SUMIFS('Inflow Calculation'!$J$3:$J$31,'Inflow Calculation'!$C$3:$C$31,'Annualised Cashflow'!G2)</f>
        <v>0</v>
      </c>
      <c r="H13" s="287">
        <f>SUMIFS('Inflow Calculation'!$J$3:$J$31,'Inflow Calculation'!$C$3:$C$31,'Annualised Cashflow'!H2)</f>
        <v>0</v>
      </c>
      <c r="I13" s="287">
        <f>SUMIFS('Inflow Calculation'!$J$3:$J$31,'Inflow Calculation'!$C$3:$C$31,'Annualised Cashflow'!I2)</f>
        <v>0</v>
      </c>
    </row>
    <row r="14" spans="1:11">
      <c r="A14" s="285" t="s">
        <v>158</v>
      </c>
      <c r="B14" s="288">
        <f>B13/SUM($B$13:$I$13)</f>
        <v>0</v>
      </c>
      <c r="C14" s="288">
        <f t="shared" ref="C14:I14" si="0">C13/SUM($B$13:$I$13)</f>
        <v>0.17548872983655592</v>
      </c>
      <c r="D14" s="288">
        <f t="shared" si="0"/>
        <v>0.25771819250080119</v>
      </c>
      <c r="E14" s="288">
        <f t="shared" si="0"/>
        <v>0.43910906954385215</v>
      </c>
      <c r="F14" s="288">
        <f t="shared" si="0"/>
        <v>0.12768400811879071</v>
      </c>
      <c r="G14" s="288">
        <f t="shared" si="0"/>
        <v>0</v>
      </c>
      <c r="H14" s="288">
        <f t="shared" si="0"/>
        <v>0</v>
      </c>
      <c r="I14" s="288">
        <f t="shared" si="0"/>
        <v>0</v>
      </c>
    </row>
    <row r="15" spans="1:11">
      <c r="A15" s="285" t="s">
        <v>159</v>
      </c>
      <c r="B15" s="288">
        <f>SUM($B$7:B7)/SUM($B$7:$I$7)</f>
        <v>0</v>
      </c>
      <c r="C15" s="288">
        <f>SUM($B$7:C7)/SUM($B$7:$I$7)</f>
        <v>0.63745019920318724</v>
      </c>
      <c r="D15" s="288">
        <f>SUM($B$7:D7)/SUM($B$7:$I$7)</f>
        <v>0.97509960159362552</v>
      </c>
      <c r="E15" s="288">
        <f>SUM($B$7:E7)/SUM($B$7:$I$7)</f>
        <v>1</v>
      </c>
      <c r="F15" s="288">
        <f>SUM($B$7:F7)/SUM($B$7:$I$7)</f>
        <v>1</v>
      </c>
      <c r="G15" s="288">
        <f>SUM($B$7:G7)/SUM($B$7:$I$7)</f>
        <v>1</v>
      </c>
      <c r="H15" s="288">
        <f>SUM($B$7:H7)/SUM($B$7:$I$7)</f>
        <v>1</v>
      </c>
      <c r="I15" s="288">
        <f>SUM($B$7:I7)/SUM($B$7:$I$7)</f>
        <v>1</v>
      </c>
    </row>
    <row r="17" spans="1:9">
      <c r="A17" s="282" t="s">
        <v>86</v>
      </c>
      <c r="B17" s="284">
        <f>SUMIFS('Inflow Calculation'!$L$3:$L$31,'Inflow Calculation'!$C$3:$C$31,'Annualised Cashflow'!B$2)+'Project Brief'!$B$22</f>
        <v>0</v>
      </c>
      <c r="C17" s="284">
        <f>SUMIFS('Inflow Calculation'!$L$3:$L$31,'Inflow Calculation'!$C$3:$C$31,'Annualised Cashflow'!C$2)</f>
        <v>7.9084999999999992</v>
      </c>
      <c r="D17" s="284">
        <f>SUMIFS('Inflow Calculation'!$L$3:$L$31,'Inflow Calculation'!$C$3:$C$31,'Annualised Cashflow'!D$2)</f>
        <v>11.295400000000001</v>
      </c>
      <c r="E17" s="284">
        <f>SUMIFS('Inflow Calculation'!$L$3:$L$31,'Inflow Calculation'!$C$3:$C$31,'Annualised Cashflow'!E$2)</f>
        <v>23.173000000000002</v>
      </c>
      <c r="F17" s="284">
        <f>SUMIFS('Inflow Calculation'!$L$3:$L$31,'Inflow Calculation'!$C$3:$C$31,'Annualised Cashflow'!F$2)</f>
        <v>5.2591000000000001</v>
      </c>
      <c r="G17" s="284">
        <f>SUMIFS('Inflow Calculation'!$L$3:$L$31,'Inflow Calculation'!$C$3:$C$31,'Annualised Cashflow'!G$2)</f>
        <v>0</v>
      </c>
      <c r="H17" s="284">
        <f>SUMIFS('Inflow Calculation'!$L$3:$L$31,'Inflow Calculation'!$C$3:$C$31,'Annualised Cashflow'!H$2)</f>
        <v>0</v>
      </c>
      <c r="I17" s="284">
        <f>SUMIFS('Inflow Calculation'!$L$3:$L$31,'Inflow Calculation'!$C$3:$C$31,'Annualised Cashflow'!I$2)</f>
        <v>0</v>
      </c>
    </row>
    <row r="18" spans="1:9">
      <c r="A18" s="282" t="s">
        <v>160</v>
      </c>
      <c r="B18" s="284">
        <f>SUM($B$6:$B$10:B6:B10)</f>
        <v>0</v>
      </c>
      <c r="C18" s="284">
        <f>SUM($B$6:$B$10:C6:C10)</f>
        <v>15.450125</v>
      </c>
      <c r="D18" s="284">
        <f>SUM($B$6:$B$10:D6:D10)</f>
        <v>26.691143749999998</v>
      </c>
      <c r="E18" s="284">
        <f>SUM($B$6:$B$10:E6:E10)</f>
        <v>29.040581249999999</v>
      </c>
      <c r="F18" s="284">
        <f>SUM($B$6:$B$10:F6:F10)</f>
        <v>29.210581250000001</v>
      </c>
      <c r="G18" s="284">
        <f>SUM($B$6:$B$10:G6:G10)</f>
        <v>29.210581250000001</v>
      </c>
      <c r="H18" s="284">
        <f>SUM($B$6:$B$10:H6:H10)</f>
        <v>29.210581250000001</v>
      </c>
      <c r="I18" s="284">
        <f>SUM($B$6:$B$10:I6:I10)</f>
        <v>29.210581250000001</v>
      </c>
    </row>
    <row r="19" spans="1:9">
      <c r="B19" s="284"/>
      <c r="C19" s="284"/>
      <c r="D19" s="284"/>
      <c r="E19" s="284"/>
      <c r="F19" s="284"/>
    </row>
    <row r="20" spans="1:9">
      <c r="A20" s="282" t="s">
        <v>161</v>
      </c>
      <c r="B20" s="284">
        <f>Cashflow!C27+SUMIFS(Cashflow!$C$26:$AE$26,Cashflow!$C$2:$AE$2,'Annualised Cashflow'!B$2)</f>
        <v>4.41</v>
      </c>
      <c r="C20" s="284">
        <f>B20+SUMIFS(Cashflow!$C$26:$AE$26,Cashflow!$C$2:$AE$2,'Annualised Cashflow'!C$2)</f>
        <v>6.24</v>
      </c>
      <c r="D20" s="284">
        <f>C20+SUMIFS(Cashflow!$C$26:$AE$26,Cashflow!$C$2:$AE$2,'Annualised Cashflow'!D$2)</f>
        <v>7.84</v>
      </c>
      <c r="E20" s="284">
        <f>D20+SUMIFS(Cashflow!$C$26:$AE$26,Cashflow!$C$2:$AE$2,'Annualised Cashflow'!E$2)</f>
        <v>8.24</v>
      </c>
      <c r="F20" s="284">
        <f>E20+SUMIFS(Cashflow!$C$26:$AE$26,Cashflow!$C$2:$AE$2,'Annualised Cashflow'!F$2)</f>
        <v>8.24</v>
      </c>
      <c r="G20" s="284">
        <f>F20+SUMIFS(Cashflow!$C$26:$AE$26,Cashflow!$C$2:$AE$2,'Annualised Cashflow'!G$2)</f>
        <v>8.24</v>
      </c>
      <c r="H20" s="284">
        <f>G20+SUMIFS(Cashflow!$C$26:$AE$26,Cashflow!$C$2:$AE$2,'Annualised Cashflow'!H$2)</f>
        <v>8.24</v>
      </c>
      <c r="I20" s="284">
        <f>H20+SUMIFS(Cashflow!$C$26:$AE$26,Cashflow!$C$2:$AE$2,'Annualised Cashflow'!I$2)</f>
        <v>8.24</v>
      </c>
    </row>
    <row r="21" spans="1:9">
      <c r="A21" s="282" t="s">
        <v>162</v>
      </c>
      <c r="B21" s="284">
        <f>SUMIFS(Cashflow!$C$28:$AE$28,Cashflow!$C$2:$AE$2,'Annualised Cashflow'!B$2)</f>
        <v>0</v>
      </c>
      <c r="C21" s="284">
        <f>SUMIFS(Cashflow!$C$28:$AE$28,Cashflow!$C$2:$AE$2,'Annualised Cashflow'!C$2)</f>
        <v>10.5</v>
      </c>
      <c r="D21" s="284">
        <f>SUMIFS(Cashflow!$C$28:$AE$28,Cashflow!$C$2:$AE$2,'Annualised Cashflow'!D$2)</f>
        <v>3.75</v>
      </c>
      <c r="E21" s="284">
        <f>SUMIFS(Cashflow!$C$28:$AE$28,Cashflow!$C$2:$AE$2,'Annualised Cashflow'!E$2)</f>
        <v>0.25</v>
      </c>
      <c r="F21" s="284">
        <f>SUMIFS(Cashflow!$C$28:$AE$28,Cashflow!$C$2:$AE$2,'Annualised Cashflow'!F$2)</f>
        <v>0</v>
      </c>
      <c r="G21" s="284">
        <f>SUMIFS(Cashflow!$C$28:$AE$28,Cashflow!$C$2:$AE$2,'Annualised Cashflow'!G$2)</f>
        <v>0</v>
      </c>
      <c r="H21" s="284">
        <f>SUMIFS(Cashflow!$C$28:$AE$28,Cashflow!$C$2:$AE$2,'Annualised Cashflow'!H$2)</f>
        <v>0</v>
      </c>
      <c r="I21" s="284">
        <f>SUMIFS(Cashflow!$C$28:$AE$28,Cashflow!$C$2:$AE$2,'Annualised Cashflow'!I$2)</f>
        <v>0</v>
      </c>
    </row>
    <row r="22" spans="1:9">
      <c r="A22" s="282" t="s">
        <v>163</v>
      </c>
      <c r="B22" s="284">
        <f>SUM($B$21:B21)</f>
        <v>0</v>
      </c>
      <c r="C22" s="284">
        <f>SUM($B$21:C21)</f>
        <v>10.5</v>
      </c>
      <c r="D22" s="284">
        <f>SUM($B$21:D21)</f>
        <v>14.25</v>
      </c>
      <c r="E22" s="284">
        <f>SUM($B$21:E21)</f>
        <v>14.5</v>
      </c>
      <c r="F22" s="284">
        <f>SUM($B$21:F21)</f>
        <v>14.5</v>
      </c>
      <c r="G22" s="284">
        <f>SUM($B$21:G21)</f>
        <v>14.5</v>
      </c>
      <c r="H22" s="284">
        <f>SUM($B$21:H21)</f>
        <v>14.5</v>
      </c>
      <c r="I22" s="284">
        <f>SUM($B$21:I21)</f>
        <v>14.5</v>
      </c>
    </row>
    <row r="23" spans="1:9">
      <c r="A23" s="282" t="s">
        <v>164</v>
      </c>
      <c r="B23" s="284">
        <f>SUMIFS(Cashflow!$C$29:$AE$29,Cashflow!$C$2:$AE$2,'Annualised Cashflow'!B$2)</f>
        <v>0</v>
      </c>
      <c r="C23" s="284">
        <f>SUMIFS(Cashflow!$C$29:$AE$29,Cashflow!$C$2:$AE$2,'Annualised Cashflow'!C$2)</f>
        <v>0</v>
      </c>
      <c r="D23" s="284">
        <f>SUMIFS(Cashflow!$C$29:$AE$29,Cashflow!$C$2:$AE$2,'Annualised Cashflow'!D$2)</f>
        <v>0</v>
      </c>
      <c r="E23" s="284">
        <f>SUMIFS(Cashflow!$C$29:$AE$29,Cashflow!$C$2:$AE$2,'Annualised Cashflow'!E$2)</f>
        <v>-10.5</v>
      </c>
      <c r="F23" s="284">
        <f>SUMIFS(Cashflow!$C$29:$AE$29,Cashflow!$C$2:$AE$2,'Annualised Cashflow'!F$2)</f>
        <v>-4</v>
      </c>
      <c r="G23" s="284">
        <f>SUMIFS(Cashflow!$C$29:$AE$29,Cashflow!$C$2:$AE$2,'Annualised Cashflow'!G$2)</f>
        <v>0</v>
      </c>
      <c r="H23" s="284">
        <f>SUMIFS(Cashflow!$C$29:$AE$29,Cashflow!$C$2:$AE$2,'Annualised Cashflow'!H$2)</f>
        <v>0</v>
      </c>
      <c r="I23" s="284">
        <f>SUMIFS(Cashflow!$C$29:$AE$29,Cashflow!$C$2:$AE$2,'Annualised Cashflow'!I$2)</f>
        <v>0</v>
      </c>
    </row>
    <row r="24" spans="1:9">
      <c r="A24" s="282" t="s">
        <v>165</v>
      </c>
      <c r="B24" s="289">
        <f>SUM($B$23:B23)</f>
        <v>0</v>
      </c>
      <c r="C24" s="289">
        <f>SUM($B$23:C23)</f>
        <v>0</v>
      </c>
      <c r="D24" s="289">
        <f>SUM($B$23:D23)</f>
        <v>0</v>
      </c>
      <c r="E24" s="289">
        <f>SUM($B$23:E23)</f>
        <v>-10.5</v>
      </c>
      <c r="F24" s="289">
        <f>SUM($B$23:F23)</f>
        <v>-14.5</v>
      </c>
      <c r="G24" s="289">
        <f>SUM($B$23:G23)</f>
        <v>-14.5</v>
      </c>
      <c r="H24" s="289">
        <f>SUM($B$23:H23)</f>
        <v>-14.5</v>
      </c>
      <c r="I24" s="289">
        <f>SUM($B$23:I23)</f>
        <v>-14.5</v>
      </c>
    </row>
    <row r="25" spans="1:9">
      <c r="A25" s="282" t="s">
        <v>140</v>
      </c>
      <c r="B25" s="289">
        <f>B22+B24</f>
        <v>0</v>
      </c>
      <c r="C25" s="289">
        <f>C22+C24</f>
        <v>10.5</v>
      </c>
      <c r="D25" s="289">
        <f>D22+D24</f>
        <v>14.25</v>
      </c>
      <c r="E25" s="289">
        <f>E22+E24</f>
        <v>4</v>
      </c>
      <c r="F25" s="289">
        <f>F22+F24</f>
        <v>0</v>
      </c>
      <c r="G25" s="289">
        <f t="shared" ref="G25:I25" si="1">G22+G24</f>
        <v>0</v>
      </c>
      <c r="H25" s="289">
        <f t="shared" si="1"/>
        <v>0</v>
      </c>
      <c r="I25" s="289">
        <f t="shared" si="1"/>
        <v>0</v>
      </c>
    </row>
    <row r="27" spans="1:9">
      <c r="B27" s="289"/>
      <c r="C27" s="289"/>
      <c r="D27" s="289"/>
      <c r="E27" s="289"/>
      <c r="F27" s="28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6" workbookViewId="0">
      <selection activeCell="G46" sqref="G46"/>
    </sheetView>
  </sheetViews>
  <sheetFormatPr defaultColWidth="10.85546875" defaultRowHeight="14.25"/>
  <cols>
    <col min="1" max="1" width="36.140625" style="203" customWidth="1"/>
    <col min="2" max="16384" width="10.85546875" style="203"/>
  </cols>
  <sheetData>
    <row r="1" spans="1:11" ht="15">
      <c r="A1" s="537" t="s">
        <v>166</v>
      </c>
      <c r="B1" s="537"/>
      <c r="C1" s="537"/>
      <c r="D1" s="537"/>
      <c r="E1" s="537"/>
      <c r="F1" s="537"/>
      <c r="G1" s="537"/>
      <c r="H1" s="537"/>
      <c r="I1" s="537"/>
    </row>
    <row r="2" spans="1:11" ht="15">
      <c r="A2" s="209" t="s">
        <v>0</v>
      </c>
      <c r="B2" s="298" t="str">
        <f>'Annualised Cashflow'!B2</f>
        <v>2022-23</v>
      </c>
      <c r="C2" s="210" t="str">
        <f>'Annualised Cashflow'!C2</f>
        <v>2023-2024</v>
      </c>
      <c r="D2" s="210" t="str">
        <f>'Annualised Cashflow'!D2</f>
        <v>2024-2025</v>
      </c>
      <c r="E2" s="210" t="str">
        <f>'Annualised Cashflow'!E2</f>
        <v>2025-2026</v>
      </c>
      <c r="F2" s="210" t="str">
        <f>'Annualised Cashflow'!F2</f>
        <v>2026-2027</v>
      </c>
      <c r="G2" s="210" t="str">
        <f>'Annualised Cashflow'!G2</f>
        <v>2027-2028</v>
      </c>
      <c r="H2" s="210" t="str">
        <f>'Annualised Cashflow'!H2</f>
        <v>2028-2029</v>
      </c>
      <c r="I2" s="210" t="str">
        <f>'Annualised Cashflow'!I2</f>
        <v>2029-2030</v>
      </c>
    </row>
    <row r="3" spans="1:11">
      <c r="A3" s="211" t="s">
        <v>167</v>
      </c>
      <c r="B3" s="212">
        <f>IF('Annualised Cashflow'!B15&lt;100%,0,SUM('Annualised Cashflow'!$B$17:B17))</f>
        <v>0</v>
      </c>
      <c r="C3" s="212">
        <f>IF(B3=0,IF('Annualised Cashflow'!C15&lt;100%,0,SUM('Annualised Cashflow'!$B$17:C17)),'Annualised Cashflow'!C17)</f>
        <v>0</v>
      </c>
      <c r="D3" s="212">
        <f>IF(C3=0,IF('Annualised Cashflow'!D15&lt;100%,0,SUM('Annualised Cashflow'!$B$17:D17)),'Annualised Cashflow'!D17)</f>
        <v>0</v>
      </c>
      <c r="E3" s="212">
        <f>IF(D3=0,IF('Annualised Cashflow'!E15&lt;100%,0,SUM('Annualised Cashflow'!$B$17:E17)),'Annualised Cashflow'!E17)</f>
        <v>42.376900000000006</v>
      </c>
      <c r="F3" s="212">
        <f>IF(E3=0,IF('Annualised Cashflow'!F15&lt;100%,0,SUM('Annualised Cashflow'!$B$17:F17)),'Annualised Cashflow'!F17)</f>
        <v>5.2591000000000001</v>
      </c>
      <c r="G3" s="212">
        <f>IF(F3=0,IF('Annualised Cashflow'!G15&lt;100%,0,SUM('Annualised Cashflow'!$B$17:G17)),'Annualised Cashflow'!G17)</f>
        <v>0</v>
      </c>
      <c r="H3" s="212">
        <f>IF(G3=0,IF('Annualised Cashflow'!H15&lt;100%,0,SUM('Annualised Cashflow'!$B$17:H17)),'Annualised Cashflow'!H17)</f>
        <v>47.63600000000001</v>
      </c>
      <c r="I3" s="212">
        <f>IF(H3=0,IF('Annualised Cashflow'!I15&lt;100%,0,SUM('Annualised Cashflow'!$B$17:I17)),'Annualised Cashflow'!I17)</f>
        <v>0</v>
      </c>
    </row>
    <row r="4" spans="1:11" ht="15">
      <c r="A4" s="213" t="s">
        <v>168</v>
      </c>
      <c r="B4" s="214"/>
      <c r="C4" s="214"/>
      <c r="D4" s="214"/>
      <c r="E4" s="214"/>
      <c r="F4" s="214"/>
      <c r="G4" s="214"/>
      <c r="H4" s="214"/>
      <c r="I4" s="214"/>
    </row>
    <row r="5" spans="1:11">
      <c r="A5" s="215" t="s">
        <v>110</v>
      </c>
      <c r="B5" s="214">
        <f>HLOOKUP(B2,'Annualised Cashflow'!$B$2:$I$10,5,FALSE)</f>
        <v>0</v>
      </c>
      <c r="C5" s="214">
        <f>HLOOKUP(C2,'Annualised Cashflow'!$B$2:$I$10,5,FALSE)</f>
        <v>1.1100000000000001</v>
      </c>
      <c r="D5" s="214">
        <f>HLOOKUP(D2,'Annualised Cashflow'!$B$2:$I$10,5,FALSE)</f>
        <v>2.2000000000000002</v>
      </c>
      <c r="E5" s="214">
        <f>HLOOKUP(E2,'Annualised Cashflow'!$B$2:$I$10,5,FALSE)</f>
        <v>0</v>
      </c>
      <c r="F5" s="214">
        <f>HLOOKUP(F2,'Annualised Cashflow'!$B$2:$I$10,5,FALSE)</f>
        <v>0</v>
      </c>
      <c r="G5" s="214">
        <f>HLOOKUP(G2,'Annualised Cashflow'!$B$2:$I$10,5,FALSE)</f>
        <v>0</v>
      </c>
      <c r="H5" s="214">
        <f>HLOOKUP(H2,'Annualised Cashflow'!$B$2:$I$10,5,FALSE)</f>
        <v>0</v>
      </c>
      <c r="I5" s="214">
        <f>HLOOKUP(I2,'Annualised Cashflow'!$B$2:$I$10,5,FALSE)</f>
        <v>0</v>
      </c>
    </row>
    <row r="6" spans="1:11">
      <c r="A6" s="216" t="str">
        <f>'Annualised Cashflow'!A7</f>
        <v>Construction Expenses - Outflow</v>
      </c>
      <c r="B6" s="214">
        <f>HLOOKUP(B$2,'Annualised Cashflow'!$B$2:$I$10,6,FALSE)+HLOOKUP(B$2,'Annualised Cashflow'!$B$2:$I$10,8,FALSE)</f>
        <v>0</v>
      </c>
      <c r="C6" s="214">
        <f>HLOOKUP(C$2,'Annualised Cashflow'!$B$2:$I$10,6,FALSE)+HLOOKUP(C$2,'Annualised Cashflow'!$B$2:$I$10,8,FALSE)</f>
        <v>12.8</v>
      </c>
      <c r="D6" s="214">
        <f>HLOOKUP(D$2,'Annualised Cashflow'!$B$2:$I$10,6,FALSE)+HLOOKUP(D$2,'Annualised Cashflow'!$B$2:$I$10,8,FALSE)</f>
        <v>6.78</v>
      </c>
      <c r="E6" s="214">
        <f>HLOOKUP(E$2,'Annualised Cashflow'!$B$2:$I$10,6,FALSE)+HLOOKUP(E$2,'Annualised Cashflow'!$B$2:$I$10,8,FALSE)</f>
        <v>0.5</v>
      </c>
      <c r="F6" s="214">
        <f>HLOOKUP(F$2,'Annualised Cashflow'!$B$2:$I$10,6,FALSE)+HLOOKUP(F$2,'Annualised Cashflow'!$B$2:$I$10,8,FALSE)</f>
        <v>0</v>
      </c>
      <c r="G6" s="214">
        <f>HLOOKUP(G$2,'Annualised Cashflow'!$B$2:$I$10,6,FALSE)+HLOOKUP(G$2,'Annualised Cashflow'!$B$2:$I$10,8,FALSE)</f>
        <v>0</v>
      </c>
      <c r="H6" s="214">
        <f>HLOOKUP(H$2,'Annualised Cashflow'!$B$2:$I$10,6,FALSE)+HLOOKUP(H$2,'Annualised Cashflow'!$B$2:$I$10,8,FALSE)</f>
        <v>0</v>
      </c>
      <c r="I6" s="214">
        <f>HLOOKUP(I$2,'Annualised Cashflow'!$B$2:$I$10,6,FALSE)+HLOOKUP(I$2,'Annualised Cashflow'!$B$2:$I$10,8,FALSE)</f>
        <v>0</v>
      </c>
    </row>
    <row r="7" spans="1:11">
      <c r="A7" s="216" t="str">
        <f>'Annualised Cashflow'!A8</f>
        <v>Selling and Administration Cost</v>
      </c>
      <c r="B7" s="214">
        <f>HLOOKUP(B$2,'Annualised Cashflow'!$B$2:$I$10,7,FALSE)</f>
        <v>0</v>
      </c>
      <c r="C7" s="214">
        <f>HLOOKUP(C$2,'Annualised Cashflow'!$B$2:$I$10,7,FALSE)</f>
        <v>0.72</v>
      </c>
      <c r="D7" s="214">
        <f>HLOOKUP(D$2,'Annualised Cashflow'!$B$2:$I$10,7,FALSE)</f>
        <v>0.68000000000000016</v>
      </c>
      <c r="E7" s="214">
        <f>HLOOKUP(E$2,'Annualised Cashflow'!$B$2:$I$10,7,FALSE)</f>
        <v>0.68000000000000016</v>
      </c>
      <c r="F7" s="214">
        <f>HLOOKUP(F$2,'Annualised Cashflow'!$B$2:$I$10,7,FALSE)</f>
        <v>0.17</v>
      </c>
      <c r="G7" s="214">
        <f>HLOOKUP(G$2,'Annualised Cashflow'!$B$2:$I$10,7,FALSE)</f>
        <v>0</v>
      </c>
      <c r="H7" s="214">
        <f>HLOOKUP(H$2,'Annualised Cashflow'!$B$2:$I$10,7,FALSE)</f>
        <v>0</v>
      </c>
      <c r="I7" s="214">
        <f>HLOOKUP(I$2,'Annualised Cashflow'!$B$2:$I$10,7,FALSE)</f>
        <v>0</v>
      </c>
    </row>
    <row r="8" spans="1:11">
      <c r="A8" s="216" t="str">
        <f>'Annualised Cashflow'!A10</f>
        <v>Finance Cost</v>
      </c>
      <c r="B8" s="214">
        <f>HLOOKUP(B$2,'Annualised Cashflow'!$B$2:$I$10,9,FALSE)</f>
        <v>0</v>
      </c>
      <c r="C8" s="214">
        <f>HLOOKUP(C$2,'Annualised Cashflow'!$B$2:$I$10,9,FALSE)</f>
        <v>0.82012499999999999</v>
      </c>
      <c r="D8" s="214">
        <f>HLOOKUP(D$2,'Annualised Cashflow'!$B$2:$I$10,9,FALSE)</f>
        <v>1.5810187499999999</v>
      </c>
      <c r="E8" s="214">
        <f>HLOOKUP(E$2,'Annualised Cashflow'!$B$2:$I$10,9,FALSE)</f>
        <v>1.1694374999999999</v>
      </c>
      <c r="F8" s="214">
        <f>HLOOKUP(F$2,'Annualised Cashflow'!$B$2:$I$10,9,FALSE)</f>
        <v>0</v>
      </c>
      <c r="G8" s="214">
        <f>HLOOKUP(G$2,'Annualised Cashflow'!$B$2:$I$10,9,FALSE)</f>
        <v>0</v>
      </c>
      <c r="H8" s="214">
        <f>HLOOKUP(H$2,'Annualised Cashflow'!$B$2:$I$10,9,FALSE)</f>
        <v>0</v>
      </c>
      <c r="I8" s="214">
        <f>HLOOKUP(I$2,'Annualised Cashflow'!$B$2:$I$10,9,FALSE)</f>
        <v>0</v>
      </c>
    </row>
    <row r="9" spans="1:11">
      <c r="A9" s="204" t="s">
        <v>169</v>
      </c>
      <c r="B9" s="204"/>
      <c r="C9" s="218">
        <f>B10</f>
        <v>0</v>
      </c>
      <c r="D9" s="218">
        <f>C10</f>
        <v>15.450125</v>
      </c>
      <c r="E9" s="218">
        <f>D10</f>
        <v>26.691143749999998</v>
      </c>
      <c r="F9" s="218">
        <f>E10</f>
        <v>3.7080178120993992</v>
      </c>
      <c r="G9" s="218">
        <f t="shared" ref="G9:I9" si="0">F10</f>
        <v>0</v>
      </c>
      <c r="H9" s="218">
        <f t="shared" si="0"/>
        <v>29.210581250000001</v>
      </c>
      <c r="I9" s="218">
        <f t="shared" si="0"/>
        <v>0</v>
      </c>
    </row>
    <row r="10" spans="1:11">
      <c r="A10" s="204" t="s">
        <v>170</v>
      </c>
      <c r="B10" s="205">
        <f>IF(B3=0,'Annualised Cashflow'!B18,('Annualised Cashflow'!B18-('Annualised Cashflow'!B18*SUM('Annualised Cashflow'!$B$14:'Annualised Cashflow'!B14))))</f>
        <v>0</v>
      </c>
      <c r="C10" s="217">
        <f>IF(C3=0,'Annualised Cashflow'!C18,('Annualised Cashflow'!C18-('Annualised Cashflow'!C18*SUM('Annualised Cashflow'!$B$14:'Annualised Cashflow'!C14))))</f>
        <v>15.450125</v>
      </c>
      <c r="D10" s="217">
        <f>IF(D3=0,'Annualised Cashflow'!D18,('Annualised Cashflow'!D18-('Annualised Cashflow'!D18*SUM('Annualised Cashflow'!$B$14:'Annualised Cashflow'!D14))))</f>
        <v>26.691143749999998</v>
      </c>
      <c r="E10" s="217">
        <f>IF(E3=0,'Annualised Cashflow'!E18,('Annualised Cashflow'!E18-('Annualised Cashflow'!E18*SUM('Annualised Cashflow'!$B$14:'Annualised Cashflow'!E14))))</f>
        <v>3.7080178120993992</v>
      </c>
      <c r="F10" s="217">
        <f>IF(F3=0,'Annualised Cashflow'!F18,('Annualised Cashflow'!F18-('Annualised Cashflow'!F18*SUM('Annualised Cashflow'!$B$14:'Annualised Cashflow'!F14))))</f>
        <v>0</v>
      </c>
      <c r="G10" s="217">
        <f>IF(G3=0,'Annualised Cashflow'!G18,('Annualised Cashflow'!G18-('Annualised Cashflow'!G18*SUM('Annualised Cashflow'!$B$14:'Annualised Cashflow'!G14))))</f>
        <v>29.210581250000001</v>
      </c>
      <c r="H10" s="217">
        <f>IF(H3=0,'Annualised Cashflow'!H18,('Annualised Cashflow'!H18-('Annualised Cashflow'!H18*SUM('Annualised Cashflow'!$B$14:'Annualised Cashflow'!H14))))</f>
        <v>0</v>
      </c>
      <c r="I10" s="217">
        <f>IF(I3=0,'Annualised Cashflow'!I18,('Annualised Cashflow'!I18-('Annualised Cashflow'!I18*SUM('Annualised Cashflow'!$B$14:'Annualised Cashflow'!I14))))</f>
        <v>29.210581250000001</v>
      </c>
    </row>
    <row r="11" spans="1:11" ht="15">
      <c r="A11" s="219" t="s">
        <v>171</v>
      </c>
      <c r="B11" s="220">
        <f>B3-SUM(B5:B8)-B9+B10</f>
        <v>0</v>
      </c>
      <c r="C11" s="220">
        <f t="shared" ref="C11:I11" si="1">C3-SUM(C5:C8)-C9+C10</f>
        <v>0</v>
      </c>
      <c r="D11" s="220">
        <f t="shared" si="1"/>
        <v>0</v>
      </c>
      <c r="E11" s="220">
        <f t="shared" si="1"/>
        <v>17.044336562099407</v>
      </c>
      <c r="F11" s="220">
        <f t="shared" si="1"/>
        <v>1.381082187900601</v>
      </c>
      <c r="G11" s="220">
        <f t="shared" si="1"/>
        <v>29.210581250000001</v>
      </c>
      <c r="H11" s="220">
        <f t="shared" si="1"/>
        <v>18.425418750000009</v>
      </c>
      <c r="I11" s="220">
        <f t="shared" si="1"/>
        <v>29.210581250000001</v>
      </c>
      <c r="J11" s="299"/>
      <c r="K11" s="299"/>
    </row>
    <row r="12" spans="1:11" s="206" customFormat="1">
      <c r="A12" s="221" t="s">
        <v>172</v>
      </c>
      <c r="B12" s="222">
        <f t="shared" ref="B12:I12" si="2">B11*30%</f>
        <v>0</v>
      </c>
      <c r="C12" s="222">
        <f t="shared" si="2"/>
        <v>0</v>
      </c>
      <c r="D12" s="222">
        <f t="shared" si="2"/>
        <v>0</v>
      </c>
      <c r="E12" s="222">
        <f t="shared" si="2"/>
        <v>5.1133009686298214</v>
      </c>
      <c r="F12" s="222">
        <f t="shared" si="2"/>
        <v>0.41432465637018029</v>
      </c>
      <c r="G12" s="222">
        <f t="shared" si="2"/>
        <v>8.7631743750000002</v>
      </c>
      <c r="H12" s="222">
        <f t="shared" si="2"/>
        <v>5.5276256250000024</v>
      </c>
      <c r="I12" s="222">
        <f t="shared" si="2"/>
        <v>8.7631743750000002</v>
      </c>
    </row>
    <row r="13" spans="1:11" ht="15">
      <c r="A13" s="219" t="s">
        <v>173</v>
      </c>
      <c r="B13" s="220">
        <f t="shared" ref="B13:I13" si="3">B11-B12</f>
        <v>0</v>
      </c>
      <c r="C13" s="220">
        <f t="shared" si="3"/>
        <v>0</v>
      </c>
      <c r="D13" s="220">
        <f t="shared" si="3"/>
        <v>0</v>
      </c>
      <c r="E13" s="220">
        <f t="shared" si="3"/>
        <v>11.931035593469584</v>
      </c>
      <c r="F13" s="220">
        <f t="shared" si="3"/>
        <v>0.96675753153042066</v>
      </c>
      <c r="G13" s="220">
        <f t="shared" si="3"/>
        <v>20.447406874999999</v>
      </c>
      <c r="H13" s="220">
        <f t="shared" si="3"/>
        <v>12.897793125000007</v>
      </c>
      <c r="I13" s="220">
        <f t="shared" si="3"/>
        <v>20.447406874999999</v>
      </c>
    </row>
    <row r="15" spans="1:11" ht="15">
      <c r="A15" s="538" t="s">
        <v>174</v>
      </c>
      <c r="B15" s="538"/>
      <c r="C15" s="538"/>
      <c r="D15" s="538"/>
      <c r="E15" s="538"/>
      <c r="F15" s="538"/>
      <c r="G15" s="538"/>
      <c r="H15" s="538"/>
      <c r="I15" s="538"/>
    </row>
    <row r="16" spans="1:11" ht="15">
      <c r="A16" s="539" t="s">
        <v>175</v>
      </c>
      <c r="B16" s="539"/>
      <c r="C16" s="539"/>
      <c r="D16" s="539"/>
      <c r="E16" s="539"/>
      <c r="F16" s="539"/>
      <c r="G16" s="539"/>
      <c r="H16" s="539"/>
      <c r="I16" s="539"/>
    </row>
    <row r="17" spans="1:13">
      <c r="A17" s="207" t="s">
        <v>176</v>
      </c>
      <c r="B17" s="207"/>
      <c r="C17" s="207"/>
      <c r="D17" s="207"/>
      <c r="E17" s="207"/>
      <c r="F17" s="207"/>
      <c r="G17" s="207"/>
      <c r="H17" s="207"/>
      <c r="I17" s="207"/>
    </row>
    <row r="18" spans="1:13">
      <c r="A18" s="223" t="s">
        <v>177</v>
      </c>
      <c r="B18" s="224">
        <f>IF(B3=0,SUM('Annualised Cashflow'!$B$4:'Annualised Cashflow'!B4),0)</f>
        <v>0</v>
      </c>
      <c r="C18" s="224">
        <f>IF(C3=0,SUM('Annualised Cashflow'!$B$4:'Annualised Cashflow'!C4),0)</f>
        <v>3.1633999999999993</v>
      </c>
      <c r="D18" s="224">
        <f>IF(D3=0,SUM('Annualised Cashflow'!$B$4:'Annualised Cashflow'!D4),0)</f>
        <v>12.482534999999999</v>
      </c>
      <c r="E18" s="224">
        <f>IF(E3=0,SUM('Annualised Cashflow'!$B$4:'Annualised Cashflow'!E4),0)</f>
        <v>0</v>
      </c>
      <c r="F18" s="224">
        <f>IF(F3=0,SUM('Annualised Cashflow'!$B$4:'Annualised Cashflow'!F4),0)</f>
        <v>0</v>
      </c>
      <c r="G18" s="224">
        <f>IF(G3=0,SUM('Annualised Cashflow'!$B$4:'Annualised Cashflow'!G4),0)</f>
        <v>47.635999999999989</v>
      </c>
      <c r="H18" s="224">
        <f>IF(H3=0,SUM('Annualised Cashflow'!$B$4:'Annualised Cashflow'!H4),0)</f>
        <v>0</v>
      </c>
      <c r="I18" s="224">
        <f>IF(I3=0,SUM('Annualised Cashflow'!$B$4:'Annualised Cashflow'!I4),0)</f>
        <v>47.635999999999989</v>
      </c>
    </row>
    <row r="19" spans="1:13">
      <c r="A19" s="223" t="s">
        <v>178</v>
      </c>
      <c r="B19" s="224">
        <f>SUM($B$12:B12)</f>
        <v>0</v>
      </c>
      <c r="C19" s="224">
        <f>SUM($B$12:C12)</f>
        <v>0</v>
      </c>
      <c r="D19" s="224">
        <f>SUM($B$12:D12)</f>
        <v>0</v>
      </c>
      <c r="E19" s="224">
        <f>SUM($B$12:E12)</f>
        <v>5.1133009686298214</v>
      </c>
      <c r="F19" s="224">
        <f>SUM($B$12:F12)</f>
        <v>5.5276256250000015</v>
      </c>
      <c r="G19" s="224">
        <f>SUM($B$12:G12)</f>
        <v>14.290800000000001</v>
      </c>
      <c r="H19" s="224">
        <f>SUM($B$12:H12)</f>
        <v>19.818425625000003</v>
      </c>
      <c r="I19" s="224">
        <f>SUM($B$12:I12)</f>
        <v>28.581600000000002</v>
      </c>
    </row>
    <row r="20" spans="1:13">
      <c r="A20" s="223" t="s">
        <v>179</v>
      </c>
      <c r="B20" s="224">
        <f>SUMIFS(Cashflow!$C$29:$AE$29,Cashflow!$C$2:$AE$2,CMA!C2)*-1</f>
        <v>0</v>
      </c>
      <c r="C20" s="224">
        <f>SUMIFS(Cashflow!$C$29:$AE$29,Cashflow!$C$2:$AE$2,CMA!D2)*-1</f>
        <v>0</v>
      </c>
      <c r="D20" s="224">
        <f>SUMIFS(Cashflow!$C$29:$AE$29,Cashflow!$C$2:$AE$2,CMA!E2)*-1</f>
        <v>10.5</v>
      </c>
      <c r="E20" s="224">
        <f>SUMIFS(Cashflow!$C$29:$AE$29,Cashflow!$C$2:$AE$2,CMA!F2)*-1</f>
        <v>4</v>
      </c>
      <c r="F20" s="224">
        <f>SUMIFS(Cashflow!$C$29:$AE$29,Cashflow!$C$2:$AE$2,CMA!G2)*-1</f>
        <v>0</v>
      </c>
      <c r="G20" s="224">
        <f>SUMIFS(Cashflow!$C$29:$AE$29,Cashflow!$C$2:$AE$2,CMA!H2)*-1</f>
        <v>0</v>
      </c>
      <c r="H20" s="224">
        <f>SUMIFS(Cashflow!$C$29:$AE$29,Cashflow!$C$2:$AE$2,CMA!I2)*-1</f>
        <v>0</v>
      </c>
      <c r="I20" s="224">
        <f>SUMIFS(Cashflow!$C$29:$AE$29,Cashflow!$C$2:$AE$2,CMA!J2)*-1</f>
        <v>0</v>
      </c>
    </row>
    <row r="21" spans="1:13" ht="15">
      <c r="A21" s="540" t="s">
        <v>180</v>
      </c>
      <c r="B21" s="540"/>
      <c r="C21" s="540"/>
      <c r="D21" s="540"/>
      <c r="E21" s="540"/>
      <c r="F21" s="540"/>
      <c r="G21" s="540"/>
      <c r="H21" s="540"/>
      <c r="I21" s="540"/>
    </row>
    <row r="22" spans="1:13">
      <c r="A22" s="225" t="s">
        <v>181</v>
      </c>
      <c r="B22" s="226">
        <f>'Annualised Cashflow'!B25-CMA!B20</f>
        <v>0</v>
      </c>
      <c r="C22" s="226">
        <f>'Annualised Cashflow'!C25-CMA!C20</f>
        <v>10.5</v>
      </c>
      <c r="D22" s="226">
        <f>'Annualised Cashflow'!D25-CMA!D20</f>
        <v>3.75</v>
      </c>
      <c r="E22" s="226">
        <f>'Annualised Cashflow'!E25-CMA!E20</f>
        <v>0</v>
      </c>
      <c r="F22" s="226">
        <f>'Annualised Cashflow'!F25-CMA!F20</f>
        <v>0</v>
      </c>
      <c r="G22" s="226">
        <f>'Annualised Cashflow'!G25-CMA!G20</f>
        <v>0</v>
      </c>
      <c r="H22" s="226">
        <f>'Annualised Cashflow'!H25-CMA!H20</f>
        <v>0</v>
      </c>
      <c r="I22" s="226">
        <f>'Annualised Cashflow'!I25-CMA!I20</f>
        <v>0</v>
      </c>
    </row>
    <row r="23" spans="1:13">
      <c r="A23" s="225" t="s">
        <v>182</v>
      </c>
      <c r="B23" s="225"/>
      <c r="C23" s="225"/>
      <c r="D23" s="225"/>
      <c r="E23" s="225"/>
      <c r="F23" s="225"/>
      <c r="G23" s="225"/>
      <c r="H23" s="225"/>
      <c r="I23" s="225"/>
    </row>
    <row r="24" spans="1:13" ht="15">
      <c r="A24" s="541" t="s">
        <v>183</v>
      </c>
      <c r="B24" s="541"/>
      <c r="C24" s="541"/>
      <c r="D24" s="541"/>
      <c r="E24" s="541"/>
      <c r="F24" s="541"/>
      <c r="G24" s="541"/>
      <c r="H24" s="541"/>
      <c r="I24" s="541"/>
    </row>
    <row r="25" spans="1:13">
      <c r="A25" s="227" t="s">
        <v>184</v>
      </c>
      <c r="B25" s="228">
        <f>'Annualised Cashflow'!B20</f>
        <v>4.41</v>
      </c>
      <c r="C25" s="228">
        <f>'Annualised Cashflow'!C20</f>
        <v>6.24</v>
      </c>
      <c r="D25" s="228">
        <f>'Annualised Cashflow'!D20</f>
        <v>7.84</v>
      </c>
      <c r="E25" s="228">
        <f>'Annualised Cashflow'!E20</f>
        <v>8.24</v>
      </c>
      <c r="F25" s="228">
        <f>'Annualised Cashflow'!F20</f>
        <v>8.24</v>
      </c>
      <c r="G25" s="228">
        <f>'Annualised Cashflow'!G20</f>
        <v>8.24</v>
      </c>
      <c r="H25" s="228">
        <f>'Annualised Cashflow'!H20</f>
        <v>8.24</v>
      </c>
      <c r="I25" s="228">
        <f>'Annualised Cashflow'!I20</f>
        <v>8.24</v>
      </c>
    </row>
    <row r="26" spans="1:13">
      <c r="A26" s="227" t="s">
        <v>185</v>
      </c>
      <c r="B26" s="228">
        <f>SUM($B$13:B13)</f>
        <v>0</v>
      </c>
      <c r="C26" s="228">
        <f>SUM($B$13:C13)</f>
        <v>0</v>
      </c>
      <c r="D26" s="228">
        <f>SUM($B$13:D13)</f>
        <v>0</v>
      </c>
      <c r="E26" s="228">
        <f>SUM($B$13:E13)</f>
        <v>11.931035593469584</v>
      </c>
      <c r="F26" s="228">
        <f>SUM($B$13:F13)</f>
        <v>12.897793125000005</v>
      </c>
      <c r="G26" s="228">
        <f>SUM($B$13:G13)</f>
        <v>33.345200000000006</v>
      </c>
      <c r="H26" s="228">
        <f>SUM($B$13:H13)</f>
        <v>46.242993125000012</v>
      </c>
      <c r="I26" s="228">
        <f>SUM($B$13:I13)</f>
        <v>66.690400000000011</v>
      </c>
    </row>
    <row r="27" spans="1:13" ht="15">
      <c r="A27" s="229" t="s">
        <v>186</v>
      </c>
      <c r="B27" s="230">
        <f t="shared" ref="B27:I27" si="4">B18+B19+B20+B22+B23+B25+B26</f>
        <v>4.41</v>
      </c>
      <c r="C27" s="230">
        <f t="shared" si="4"/>
        <v>19.903399999999998</v>
      </c>
      <c r="D27" s="230">
        <f t="shared" si="4"/>
        <v>34.572535000000002</v>
      </c>
      <c r="E27" s="230">
        <f t="shared" si="4"/>
        <v>29.284336562099408</v>
      </c>
      <c r="F27" s="230">
        <f t="shared" si="4"/>
        <v>26.665418750000008</v>
      </c>
      <c r="G27" s="230">
        <f t="shared" si="4"/>
        <v>103.51199999999999</v>
      </c>
      <c r="H27" s="230">
        <f t="shared" si="4"/>
        <v>74.301418750000011</v>
      </c>
      <c r="I27" s="230">
        <f t="shared" si="4"/>
        <v>151.148</v>
      </c>
      <c r="J27" s="208"/>
      <c r="L27" s="208"/>
      <c r="M27" s="208"/>
    </row>
    <row r="28" spans="1:13" ht="15">
      <c r="A28" s="536" t="s">
        <v>187</v>
      </c>
      <c r="B28" s="536"/>
      <c r="C28" s="536"/>
      <c r="D28" s="536"/>
      <c r="E28" s="536"/>
      <c r="F28" s="536"/>
      <c r="G28" s="536"/>
      <c r="H28" s="536"/>
      <c r="I28" s="536"/>
      <c r="K28" s="208"/>
      <c r="M28" s="208"/>
    </row>
    <row r="29" spans="1:13">
      <c r="A29" s="231" t="s">
        <v>188</v>
      </c>
      <c r="B29" s="232">
        <f>'Annualised Cashflow'!B4-SUM('Annualised Cashflow'!B6:B10)+'Annualised Cashflow'!B20+('Annualised Cashflow'!B21+'Annualised Cashflow'!B23)-'Annualised Cashflow'!B11</f>
        <v>4.41</v>
      </c>
      <c r="C29" s="232">
        <f>+B29+'Annualised Cashflow'!C4-SUM('Annualised Cashflow'!C6:C10)+('Annualised Cashflow'!C20-'Annualised Cashflow'!B20)+('Annualised Cashflow'!C21+'Annualised Cashflow'!C23)-'Annualised Cashflow'!C11</f>
        <v>4.4532749999999997</v>
      </c>
      <c r="D29" s="232">
        <f>+C29+'Annualised Cashflow'!D4-SUM('Annualised Cashflow'!D6:D10)+('Annualised Cashflow'!D20-'Annualised Cashflow'!C20)+('Annualised Cashflow'!D21+'Annualised Cashflow'!D23)-'Annualised Cashflow'!D11</f>
        <v>5.8813912499999983</v>
      </c>
      <c r="E29" s="232">
        <f>+D29+'Annualised Cashflow'!E4-SUM('Annualised Cashflow'!E6:E10)+('Annualised Cashflow'!E20-'Annualised Cashflow'!D20)+('Annualised Cashflow'!E21+'Annualised Cashflow'!E23)-'Annualised Cashflow'!E11</f>
        <v>22.276318749999991</v>
      </c>
      <c r="F29" s="232">
        <f>+E29+'Annualised Cashflow'!F4-SUM('Annualised Cashflow'!F6:F10)+('Annualised Cashflow'!F20-'Annualised Cashflow'!E20)+('Annualised Cashflow'!F21+'Annualised Cashflow'!F23)-'Annualised Cashflow'!F11</f>
        <v>26.66541874999999</v>
      </c>
      <c r="G29" s="232">
        <f>+F29+'Annualised Cashflow'!G4-SUM('Annualised Cashflow'!G6:G10)+('Annualised Cashflow'!G20-'Annualised Cashflow'!F20)+('Annualised Cashflow'!G21+'Annualised Cashflow'!G23)-'Annualised Cashflow'!G11</f>
        <v>26.66541874999999</v>
      </c>
      <c r="H29" s="232">
        <f>+G29+'Annualised Cashflow'!H4-SUM('Annualised Cashflow'!H6:H10)+('Annualised Cashflow'!H20-'Annualised Cashflow'!G20)+('Annualised Cashflow'!H21+'Annualised Cashflow'!H23)-'Annualised Cashflow'!H11</f>
        <v>26.66541874999999</v>
      </c>
      <c r="I29" s="232">
        <f>+H29+'Annualised Cashflow'!I4-SUM('Annualised Cashflow'!I6:I10)+('Annualised Cashflow'!I20-'Annualised Cashflow'!H20)+('Annualised Cashflow'!I21+'Annualised Cashflow'!I23)-'Annualised Cashflow'!I11</f>
        <v>26.66541874999999</v>
      </c>
    </row>
    <row r="30" spans="1:13">
      <c r="A30" s="231" t="s">
        <v>44</v>
      </c>
      <c r="B30" s="232">
        <f>IF(SUMIFS(Cashflow!$C$20:$AE$20,Cashflow!$C$2:$AE$2,CMA!B$2)&lt;0,0,SUM('Annualised Cashflow'!$B$11:'Annualised Cashflow'!B11))</f>
        <v>0</v>
      </c>
      <c r="C30" s="232">
        <f>IF(SUMIFS(Cashflow!$C$20:$AE$20,Cashflow!$C$2:$AE$2,CMA!C$2)&lt;0,0,SUM('Annualised Cashflow'!$B$11:'Annualised Cashflow'!C11))</f>
        <v>0</v>
      </c>
      <c r="D30" s="232">
        <f>IF(SUMIFS(Cashflow!$C$20:$AE$20,Cashflow!$C$2:$AE$2,CMA!D$2)&lt;0,0,SUM('Annualised Cashflow'!$B$11:'Annualised Cashflow'!D11))</f>
        <v>2</v>
      </c>
      <c r="E30" s="232">
        <f>IF(SUMIFS(Cashflow!$C$20:$AE$20,Cashflow!$C$2:$AE$2,CMA!E$2)&lt;0,0,SUM('Annualised Cashflow'!$B$11:'Annualised Cashflow'!E11))</f>
        <v>3.3</v>
      </c>
      <c r="F30" s="232">
        <f>IF(SUMIFS(Cashflow!$C$20:$AE$20,Cashflow!$C$2:$AE$2,CMA!F$2)&lt;0,0,SUM('Annualised Cashflow'!$B$11:'Annualised Cashflow'!F11))</f>
        <v>0</v>
      </c>
      <c r="G30" s="232">
        <f>IF(SUMIFS(Cashflow!$C$20:$AE$20,Cashflow!$C$2:$AE$2,CMA!G$2)&lt;0,0,SUM('Annualised Cashflow'!$B$11:'Annualised Cashflow'!G11))</f>
        <v>0</v>
      </c>
      <c r="H30" s="232">
        <f>IF(SUMIFS(Cashflow!$C$20:$AE$20,Cashflow!$C$2:$AE$2,CMA!H$2)&lt;0,0,SUM('Annualised Cashflow'!$B$11:'Annualised Cashflow'!H11))</f>
        <v>0</v>
      </c>
      <c r="I30" s="232">
        <f>IF(SUMIFS(Cashflow!$C$20:$AE$20,Cashflow!$C$2:$AE$2,CMA!I$2)&lt;0,0,SUM('Annualised Cashflow'!$B$11:'Annualised Cashflow'!I11))</f>
        <v>0</v>
      </c>
    </row>
    <row r="31" spans="1:13">
      <c r="A31" s="231" t="s">
        <v>189</v>
      </c>
      <c r="B31" s="232">
        <f>IF(B3=0,0,SUM('Annualised Cashflow'!$B$17:B17)-SUM('Annualised Cashflow'!$B$4:'Annualised Cashflow'!B4))</f>
        <v>0</v>
      </c>
      <c r="C31" s="232">
        <f>IF(C3=0,0,SUM('Annualised Cashflow'!$B$17:C17)-SUM('Annualised Cashflow'!$B$4:'Annualised Cashflow'!C4))</f>
        <v>0</v>
      </c>
      <c r="D31" s="232">
        <f>IF(D3=0,0,SUM('Annualised Cashflow'!$B$17:D17)-SUM('Annualised Cashflow'!$B$4:'Annualised Cashflow'!D4))</f>
        <v>0</v>
      </c>
      <c r="E31" s="232">
        <f>IF(E3=0,0,SUM('Annualised Cashflow'!$B$17:E17)-SUM('Annualised Cashflow'!$B$4:'Annualised Cashflow'!E4))</f>
        <v>1.4210854715202004E-14</v>
      </c>
      <c r="F31" s="232">
        <f>IF(F3=0,0,SUM('Annualised Cashflow'!$B$17:F17)-SUM('Annualised Cashflow'!$B$4:'Annualised Cashflow'!F4))</f>
        <v>2.1316282072803006E-14</v>
      </c>
      <c r="G31" s="232">
        <f>IF(G3=0,0,SUM('Annualised Cashflow'!$B$17:G17)-SUM('Annualised Cashflow'!$B$4:'Annualised Cashflow'!G4))</f>
        <v>0</v>
      </c>
      <c r="H31" s="232">
        <f>IF(H3=0,0,SUM('Annualised Cashflow'!$B$17:H17)-SUM('Annualised Cashflow'!$B$4:'Annualised Cashflow'!H4))</f>
        <v>2.1316282072803006E-14</v>
      </c>
      <c r="I31" s="232">
        <f>IF(I3=0,0,SUM('Annualised Cashflow'!$B$17:I17)-SUM('Annualised Cashflow'!$B$4:'Annualised Cashflow'!I4))</f>
        <v>0</v>
      </c>
    </row>
    <row r="32" spans="1:13">
      <c r="A32" s="231" t="s">
        <v>190</v>
      </c>
      <c r="B32" s="232">
        <f t="shared" ref="B32:I32" si="5">B10</f>
        <v>0</v>
      </c>
      <c r="C32" s="232">
        <f t="shared" si="5"/>
        <v>15.450125</v>
      </c>
      <c r="D32" s="232">
        <f t="shared" si="5"/>
        <v>26.691143749999998</v>
      </c>
      <c r="E32" s="232">
        <f t="shared" si="5"/>
        <v>3.7080178120993992</v>
      </c>
      <c r="F32" s="232">
        <f t="shared" si="5"/>
        <v>0</v>
      </c>
      <c r="G32" s="232">
        <f t="shared" si="5"/>
        <v>29.210581250000001</v>
      </c>
      <c r="H32" s="232">
        <f t="shared" si="5"/>
        <v>0</v>
      </c>
      <c r="I32" s="232">
        <f t="shared" si="5"/>
        <v>29.210581250000001</v>
      </c>
    </row>
    <row r="33" spans="1:11">
      <c r="A33" s="231" t="s">
        <v>191</v>
      </c>
      <c r="B33" s="232"/>
      <c r="C33" s="232"/>
      <c r="D33" s="232"/>
      <c r="E33" s="232"/>
      <c r="F33" s="232"/>
      <c r="G33" s="231"/>
      <c r="H33" s="231"/>
      <c r="I33" s="231"/>
    </row>
    <row r="34" spans="1:11" ht="15">
      <c r="A34" s="229" t="s">
        <v>192</v>
      </c>
      <c r="B34" s="233">
        <f t="shared" ref="B34:I34" si="6">SUM(B29:B33)</f>
        <v>4.41</v>
      </c>
      <c r="C34" s="233">
        <f t="shared" si="6"/>
        <v>19.903399999999998</v>
      </c>
      <c r="D34" s="233">
        <f t="shared" si="6"/>
        <v>34.572534999999995</v>
      </c>
      <c r="E34" s="233">
        <f t="shared" si="6"/>
        <v>29.284336562099405</v>
      </c>
      <c r="F34" s="233">
        <f t="shared" si="6"/>
        <v>26.665418750000011</v>
      </c>
      <c r="G34" s="233">
        <f t="shared" si="6"/>
        <v>55.875999999999991</v>
      </c>
      <c r="H34" s="233">
        <f t="shared" si="6"/>
        <v>26.665418750000011</v>
      </c>
      <c r="I34" s="233">
        <f t="shared" si="6"/>
        <v>55.875999999999991</v>
      </c>
    </row>
    <row r="35" spans="1:11">
      <c r="A35" s="203" t="s">
        <v>193</v>
      </c>
      <c r="B35" s="208">
        <f>B34-B27</f>
        <v>0</v>
      </c>
      <c r="C35" s="208">
        <f t="shared" ref="C35:I35" si="7">C34-C27</f>
        <v>0</v>
      </c>
      <c r="D35" s="208">
        <f t="shared" si="7"/>
        <v>0</v>
      </c>
      <c r="E35" s="208">
        <f t="shared" si="7"/>
        <v>0</v>
      </c>
      <c r="F35" s="208">
        <f t="shared" si="7"/>
        <v>0</v>
      </c>
      <c r="G35" s="208">
        <f t="shared" si="7"/>
        <v>-47.635999999999996</v>
      </c>
      <c r="H35" s="208">
        <f t="shared" si="7"/>
        <v>-47.635999999999996</v>
      </c>
      <c r="I35" s="208">
        <f t="shared" si="7"/>
        <v>-95.272000000000006</v>
      </c>
    </row>
    <row r="37" spans="1:11" ht="15">
      <c r="A37" s="290" t="s">
        <v>198</v>
      </c>
      <c r="B37" s="291" t="str">
        <f>B2</f>
        <v>2022-23</v>
      </c>
      <c r="C37" s="291" t="str">
        <f t="shared" ref="C37:I37" si="8">C2</f>
        <v>2023-2024</v>
      </c>
      <c r="D37" s="291" t="str">
        <f t="shared" si="8"/>
        <v>2024-2025</v>
      </c>
      <c r="E37" s="291" t="str">
        <f t="shared" si="8"/>
        <v>2025-2026</v>
      </c>
      <c r="F37" s="291" t="str">
        <f t="shared" si="8"/>
        <v>2026-2027</v>
      </c>
      <c r="G37" s="291" t="str">
        <f t="shared" si="8"/>
        <v>2027-2028</v>
      </c>
      <c r="H37" s="291" t="str">
        <f t="shared" si="8"/>
        <v>2028-2029</v>
      </c>
      <c r="I37" s="291" t="str">
        <f t="shared" si="8"/>
        <v>2029-2030</v>
      </c>
      <c r="J37" s="292" t="s">
        <v>2</v>
      </c>
    </row>
    <row r="38" spans="1:11" ht="15">
      <c r="A38" s="293" t="s">
        <v>199</v>
      </c>
      <c r="B38" s="311">
        <f>'Annualised Cashflow'!B4-SUM('Annualised Cashflow'!B6:B9)</f>
        <v>0</v>
      </c>
      <c r="C38" s="311">
        <f>'Annualised Cashflow'!C4-SUM('Annualised Cashflow'!C6:C9)</f>
        <v>-11.466600000000001</v>
      </c>
      <c r="D38" s="311">
        <f>'Annualised Cashflow'!D4-SUM('Annualised Cashflow'!D6:D9)</f>
        <v>-0.34086500000000086</v>
      </c>
      <c r="E38" s="311">
        <f>'Annualised Cashflow'!E4-SUM('Annualised Cashflow'!E6:E9)</f>
        <v>28.714364999999994</v>
      </c>
      <c r="F38" s="311">
        <f>'Annualised Cashflow'!F4-SUM('Annualised Cashflow'!F6:F9)</f>
        <v>5.0890999999999993</v>
      </c>
      <c r="G38" s="311">
        <f>'Annualised Cashflow'!G4-SUM('Annualised Cashflow'!G6:G9)</f>
        <v>0</v>
      </c>
      <c r="H38" s="311">
        <f>'Annualised Cashflow'!H4-SUM('Annualised Cashflow'!H6:H11)</f>
        <v>0</v>
      </c>
      <c r="I38" s="311">
        <f>'Annualised Cashflow'!I4-SUM('Annualised Cashflow'!I6:I11)</f>
        <v>0</v>
      </c>
      <c r="J38" s="314">
        <f>SUM(B38:I38)</f>
        <v>21.995999999999992</v>
      </c>
    </row>
    <row r="39" spans="1:11" ht="15">
      <c r="A39" s="293" t="s">
        <v>200</v>
      </c>
      <c r="B39" s="311">
        <f>('Annualised Cashflow'!B23*-1)+'Annualised Cashflow'!B10</f>
        <v>0</v>
      </c>
      <c r="C39" s="311">
        <f>('Annualised Cashflow'!C23*-1)+'Annualised Cashflow'!C10</f>
        <v>0.82012499999999999</v>
      </c>
      <c r="D39" s="311">
        <f>('Annualised Cashflow'!D23*-1)+'Annualised Cashflow'!D10</f>
        <v>1.5810187499999999</v>
      </c>
      <c r="E39" s="311">
        <f>('Annualised Cashflow'!E23*-1)+'Annualised Cashflow'!E10</f>
        <v>11.669437500000001</v>
      </c>
      <c r="F39" s="311">
        <f>('Annualised Cashflow'!F23*-1)+'Annualised Cashflow'!F10</f>
        <v>4</v>
      </c>
      <c r="G39" s="311">
        <f>('Annualised Cashflow'!G23*-1)+'Annualised Cashflow'!G10</f>
        <v>0</v>
      </c>
      <c r="H39" s="311">
        <f>'Annualised Cashflow'!H23*-1</f>
        <v>0</v>
      </c>
      <c r="I39" s="311">
        <f>'Annualised Cashflow'!I23*-1</f>
        <v>0</v>
      </c>
      <c r="J39" s="314">
        <f>SUM(B39:I39)</f>
        <v>18.07058125</v>
      </c>
    </row>
    <row r="40" spans="1:11" ht="15">
      <c r="A40" s="294" t="s">
        <v>201</v>
      </c>
      <c r="B40" s="312">
        <f>'Annualised Cashflow'!B20</f>
        <v>4.41</v>
      </c>
      <c r="C40" s="312">
        <f>'Annualised Cashflow'!C20-'Annualised Cashflow'!B20</f>
        <v>1.83</v>
      </c>
      <c r="D40" s="312">
        <f>'Annualised Cashflow'!D20-'Annualised Cashflow'!C20</f>
        <v>1.5999999999999996</v>
      </c>
      <c r="E40" s="312">
        <f>'Annualised Cashflow'!E20-'Annualised Cashflow'!D20</f>
        <v>0.40000000000000036</v>
      </c>
      <c r="F40" s="312">
        <f>'Annualised Cashflow'!F20-'Annualised Cashflow'!E20</f>
        <v>0</v>
      </c>
      <c r="G40" s="312">
        <f>'Annualised Cashflow'!G20-'Annualised Cashflow'!F20</f>
        <v>0</v>
      </c>
      <c r="H40" s="312">
        <f>'Annualised Cashflow'!H20-'Annualised Cashflow'!G20</f>
        <v>0</v>
      </c>
      <c r="I40" s="312">
        <f>'Annualised Cashflow'!I20-'Annualised Cashflow'!H20</f>
        <v>0</v>
      </c>
      <c r="J40" s="315">
        <f>SUM(B40:I40)</f>
        <v>8.24</v>
      </c>
    </row>
    <row r="41" spans="1:11" ht="15">
      <c r="A41" s="294" t="s">
        <v>202</v>
      </c>
      <c r="B41" s="312">
        <f>'Annualised Cashflow'!B21</f>
        <v>0</v>
      </c>
      <c r="C41" s="312">
        <f>'Annualised Cashflow'!C21</f>
        <v>10.5</v>
      </c>
      <c r="D41" s="312">
        <f>'Annualised Cashflow'!D21</f>
        <v>3.75</v>
      </c>
      <c r="E41" s="312">
        <f>'Annualised Cashflow'!E21</f>
        <v>0.25</v>
      </c>
      <c r="F41" s="312">
        <f>'Annualised Cashflow'!F21</f>
        <v>0</v>
      </c>
      <c r="G41" s="312">
        <f>'Annualised Cashflow'!G21</f>
        <v>0</v>
      </c>
      <c r="H41" s="312">
        <f>'Annualised Cashflow'!H21</f>
        <v>0</v>
      </c>
      <c r="I41" s="312">
        <f>'Annualised Cashflow'!I21</f>
        <v>0</v>
      </c>
      <c r="J41" s="315">
        <f>SUM(B41:I41)</f>
        <v>14.5</v>
      </c>
    </row>
    <row r="42" spans="1:11" s="446" customFormat="1" ht="30" customHeight="1">
      <c r="A42" s="444" t="s">
        <v>203</v>
      </c>
      <c r="B42" s="447">
        <f>B40+B41</f>
        <v>4.41</v>
      </c>
      <c r="C42" s="447">
        <f t="shared" ref="C42:I42" si="9">C40+C41</f>
        <v>12.33</v>
      </c>
      <c r="D42" s="447">
        <f t="shared" si="9"/>
        <v>5.35</v>
      </c>
      <c r="E42" s="447">
        <f t="shared" si="9"/>
        <v>0.65000000000000036</v>
      </c>
      <c r="F42" s="447">
        <f t="shared" si="9"/>
        <v>0</v>
      </c>
      <c r="G42" s="447">
        <f t="shared" si="9"/>
        <v>0</v>
      </c>
      <c r="H42" s="447">
        <f t="shared" si="9"/>
        <v>0</v>
      </c>
      <c r="I42" s="447">
        <f t="shared" si="9"/>
        <v>0</v>
      </c>
      <c r="J42" s="448">
        <f>SUM(B42:I42)</f>
        <v>22.740000000000002</v>
      </c>
      <c r="K42" s="445"/>
    </row>
    <row r="43" spans="1:11" ht="15">
      <c r="A43" s="295" t="s">
        <v>204</v>
      </c>
      <c r="B43" s="313">
        <f>B42+B38</f>
        <v>4.41</v>
      </c>
      <c r="C43" s="313">
        <f t="shared" ref="C43:I43" si="10">B29+C42+C38</f>
        <v>5.2734000000000005</v>
      </c>
      <c r="D43" s="313">
        <f t="shared" si="10"/>
        <v>9.4624099999999984</v>
      </c>
      <c r="E43" s="313">
        <f t="shared" si="10"/>
        <v>35.245756249999992</v>
      </c>
      <c r="F43" s="313">
        <f t="shared" si="10"/>
        <v>27.365418749999989</v>
      </c>
      <c r="G43" s="313">
        <f t="shared" si="10"/>
        <v>26.66541874999999</v>
      </c>
      <c r="H43" s="313">
        <f t="shared" si="10"/>
        <v>26.66541874999999</v>
      </c>
      <c r="I43" s="313">
        <f t="shared" si="10"/>
        <v>26.66541874999999</v>
      </c>
      <c r="J43" s="313">
        <f>J42+J38</f>
        <v>44.73599999999999</v>
      </c>
      <c r="K43" s="208"/>
    </row>
    <row r="44" spans="1:11" ht="15">
      <c r="A44" s="296" t="s">
        <v>198</v>
      </c>
      <c r="B44" s="297" t="e">
        <f t="shared" ref="B44:I44" si="11">B43/B39</f>
        <v>#DIV/0!</v>
      </c>
      <c r="C44" s="297">
        <f t="shared" si="11"/>
        <v>6.4299954275262925</v>
      </c>
      <c r="D44" s="297">
        <f t="shared" si="11"/>
        <v>5.9850080841862239</v>
      </c>
      <c r="E44" s="297">
        <f t="shared" si="11"/>
        <v>3.0203474888999566</v>
      </c>
      <c r="F44" s="297">
        <f t="shared" si="11"/>
        <v>6.8413546874999973</v>
      </c>
      <c r="G44" s="297" t="e">
        <f t="shared" si="11"/>
        <v>#DIV/0!</v>
      </c>
      <c r="H44" s="297" t="e">
        <f t="shared" si="11"/>
        <v>#DIV/0!</v>
      </c>
      <c r="I44" s="297" t="e">
        <f t="shared" si="11"/>
        <v>#DIV/0!</v>
      </c>
      <c r="J44" s="297">
        <f>J43/J39</f>
        <v>2.4756259569680412</v>
      </c>
    </row>
    <row r="46" spans="1:11">
      <c r="C46" s="208"/>
    </row>
    <row r="47" spans="1:11">
      <c r="C47" s="208"/>
    </row>
  </sheetData>
  <mergeCells count="6">
    <mergeCell ref="A28:I28"/>
    <mergeCell ref="A1:I1"/>
    <mergeCell ref="A15:I15"/>
    <mergeCell ref="A16:I16"/>
    <mergeCell ref="A21:I21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EN41"/>
  <sheetViews>
    <sheetView tabSelected="1" topLeftCell="D17" zoomScale="85" zoomScaleNormal="85" workbookViewId="0">
      <selection activeCell="K29" sqref="K29"/>
    </sheetView>
  </sheetViews>
  <sheetFormatPr defaultColWidth="8.85546875" defaultRowHeight="15"/>
  <cols>
    <col min="1" max="1" width="2" style="452" customWidth="1"/>
    <col min="2" max="2" width="50.5703125" style="452" bestFit="1" customWidth="1"/>
    <col min="3" max="3" width="16" style="452" customWidth="1"/>
    <col min="4" max="4" width="14.28515625" style="452" customWidth="1"/>
    <col min="5" max="5" width="11.42578125" style="452" bestFit="1" customWidth="1"/>
    <col min="6" max="6" width="11.7109375" style="452" bestFit="1" customWidth="1"/>
    <col min="7" max="7" width="15.140625" style="452" customWidth="1"/>
    <col min="8" max="8" width="35" style="452" customWidth="1"/>
    <col min="9" max="9" width="18.7109375" style="452" customWidth="1"/>
    <col min="10" max="10" width="16.42578125" style="453" customWidth="1"/>
    <col min="11" max="11" width="15.85546875" style="452" bestFit="1" customWidth="1"/>
    <col min="12" max="12" width="12" style="452" customWidth="1"/>
    <col min="13" max="13" width="12.42578125" style="452" customWidth="1"/>
    <col min="14" max="14" width="10.7109375" style="452" bestFit="1" customWidth="1"/>
    <col min="15" max="16" width="8.85546875" style="452"/>
    <col min="17" max="18" width="10.5703125" style="452" bestFit="1" customWidth="1"/>
    <col min="19" max="16367" width="8.85546875" style="452"/>
    <col min="16368" max="16368" width="5.85546875" style="452" bestFit="1" customWidth="1"/>
    <col min="16369" max="16384" width="8.85546875" style="452"/>
  </cols>
  <sheetData>
    <row r="2" spans="2:13 16368:16368" ht="21">
      <c r="B2" s="545" t="s">
        <v>306</v>
      </c>
      <c r="C2" s="545"/>
      <c r="D2" s="545"/>
      <c r="E2" s="545"/>
    </row>
    <row r="3" spans="2:13 16368:16368" ht="15.75" thickBot="1"/>
    <row r="4" spans="2:13 16368:16368" ht="61.5" thickTop="1" thickBot="1">
      <c r="B4" s="454" t="s">
        <v>0</v>
      </c>
      <c r="C4" s="455" t="s">
        <v>307</v>
      </c>
      <c r="D4" s="455" t="s">
        <v>308</v>
      </c>
      <c r="E4" s="455" t="s">
        <v>309</v>
      </c>
      <c r="F4" s="455" t="s">
        <v>310</v>
      </c>
      <c r="H4" s="455" t="s">
        <v>295</v>
      </c>
      <c r="I4" s="455" t="s">
        <v>296</v>
      </c>
      <c r="J4" s="455" t="s">
        <v>297</v>
      </c>
      <c r="K4" s="455" t="s">
        <v>325</v>
      </c>
      <c r="L4" s="455" t="s">
        <v>311</v>
      </c>
      <c r="M4" s="455" t="s">
        <v>298</v>
      </c>
    </row>
    <row r="5" spans="2:13 16368:16368" ht="16.5" thickTop="1" thickBot="1">
      <c r="B5" s="456" t="s">
        <v>312</v>
      </c>
      <c r="C5" s="546">
        <v>1003.07</v>
      </c>
      <c r="D5" s="546">
        <v>4524.99</v>
      </c>
      <c r="E5" s="457">
        <f>M7</f>
        <v>31200.315119999996</v>
      </c>
      <c r="F5" s="549">
        <v>54152.607599999996</v>
      </c>
      <c r="H5" s="457">
        <v>1</v>
      </c>
      <c r="I5" s="458" t="s">
        <v>89</v>
      </c>
      <c r="J5" s="459" t="s">
        <v>104</v>
      </c>
      <c r="K5" s="458">
        <v>134.79</v>
      </c>
      <c r="L5" s="457">
        <v>3220</v>
      </c>
      <c r="M5" s="458">
        <v>1450.8795599999999</v>
      </c>
    </row>
    <row r="6" spans="2:13 16368:16368" ht="16.5" thickTop="1" thickBot="1">
      <c r="B6" s="456" t="s">
        <v>313</v>
      </c>
      <c r="C6" s="547">
        <v>5030.8999999999996</v>
      </c>
      <c r="D6" s="547"/>
      <c r="E6" s="457">
        <f>M6</f>
        <v>4901.4950399999998</v>
      </c>
      <c r="F6" s="550"/>
      <c r="H6" s="457">
        <v>2</v>
      </c>
      <c r="I6" s="458" t="s">
        <v>132</v>
      </c>
      <c r="J6" s="459" t="s">
        <v>299</v>
      </c>
      <c r="K6" s="458">
        <v>455.36</v>
      </c>
      <c r="L6" s="457">
        <v>9804</v>
      </c>
      <c r="M6" s="458">
        <v>4901.4950399999998</v>
      </c>
    </row>
    <row r="7" spans="2:13 16368:16368" ht="16.5" thickTop="1" thickBot="1">
      <c r="B7" s="456" t="s">
        <v>314</v>
      </c>
      <c r="C7" s="548">
        <v>10.763999999999999</v>
      </c>
      <c r="D7" s="548"/>
      <c r="E7" s="457">
        <f>M5</f>
        <v>1450.8795599999999</v>
      </c>
      <c r="F7" s="551"/>
      <c r="H7" s="457">
        <v>3</v>
      </c>
      <c r="I7" s="458" t="s">
        <v>237</v>
      </c>
      <c r="J7" s="459" t="s">
        <v>300</v>
      </c>
      <c r="K7" s="458">
        <v>2898.58</v>
      </c>
      <c r="L7" s="457">
        <v>52967</v>
      </c>
      <c r="M7" s="458">
        <v>31200.315119999996</v>
      </c>
    </row>
    <row r="8" spans="2:13 16368:16368" ht="16.5" thickTop="1" thickBot="1">
      <c r="B8" s="460" t="s">
        <v>9</v>
      </c>
      <c r="C8" s="461">
        <f>C5+C7</f>
        <v>1013.8340000000001</v>
      </c>
      <c r="D8" s="461">
        <f>D5+D7</f>
        <v>4524.99</v>
      </c>
      <c r="E8" s="462">
        <f>SUM(E5:E7)</f>
        <v>37552.689719999995</v>
      </c>
      <c r="F8" s="463">
        <f>F5+F7</f>
        <v>54152.607599999996</v>
      </c>
      <c r="H8" s="462" t="s">
        <v>2</v>
      </c>
      <c r="I8" s="462"/>
      <c r="J8" s="464"/>
      <c r="K8" s="462">
        <v>3488.73</v>
      </c>
      <c r="L8" s="462">
        <v>65991</v>
      </c>
      <c r="M8" s="462">
        <v>37552.689719999995</v>
      </c>
      <c r="XEN8" s="452" t="e">
        <f>XEN5+#REF!</f>
        <v>#REF!</v>
      </c>
    </row>
    <row r="9" spans="2:13 16368:16368" ht="16.5" thickTop="1" thickBot="1">
      <c r="B9" s="452" t="s">
        <v>315</v>
      </c>
    </row>
    <row r="10" spans="2:13 16368:16368" ht="16.5" thickTop="1" thickBot="1">
      <c r="H10" s="542" t="s">
        <v>316</v>
      </c>
      <c r="I10" s="543"/>
      <c r="J10" s="543"/>
      <c r="K10" s="543"/>
      <c r="L10" s="543"/>
      <c r="M10" s="544"/>
    </row>
    <row r="11" spans="2:13 16368:16368" ht="16.5" thickTop="1" thickBot="1">
      <c r="B11" s="465" t="s">
        <v>317</v>
      </c>
      <c r="C11" s="466">
        <f>SUM(I22:K22)*10^7</f>
        <v>534743857.52891999</v>
      </c>
      <c r="H11" s="467" t="s">
        <v>318</v>
      </c>
      <c r="I11" s="469" t="s">
        <v>326</v>
      </c>
      <c r="J11" s="469" t="s">
        <v>329</v>
      </c>
      <c r="K11" s="469" t="s">
        <v>330</v>
      </c>
      <c r="L11" s="469" t="s">
        <v>364</v>
      </c>
      <c r="M11" s="469" t="s">
        <v>365</v>
      </c>
    </row>
    <row r="12" spans="2:13 16368:16368" ht="17.25" customHeight="1" thickTop="1" thickBot="1">
      <c r="B12" s="468" t="s">
        <v>352</v>
      </c>
      <c r="C12" s="470">
        <f>SUM('Cost of construction'!G24:K24)*10^7</f>
        <v>162051109.6406202</v>
      </c>
      <c r="H12" s="467" t="s">
        <v>319</v>
      </c>
      <c r="J12" s="471">
        <v>0.05</v>
      </c>
      <c r="K12" s="471">
        <v>0.05</v>
      </c>
      <c r="L12" s="471">
        <v>0.05</v>
      </c>
      <c r="M12" s="471">
        <v>0.05</v>
      </c>
    </row>
    <row r="13" spans="2:13 16368:16368" ht="28.5" customHeight="1" thickTop="1" thickBot="1">
      <c r="B13" s="472" t="s">
        <v>320</v>
      </c>
      <c r="C13" s="466"/>
      <c r="E13" s="452">
        <f>Cashflow!B15</f>
        <v>19.28</v>
      </c>
      <c r="H13" s="514" t="s">
        <v>321</v>
      </c>
      <c r="I13" s="473">
        <v>12000</v>
      </c>
      <c r="J13" s="473">
        <f t="shared" ref="J13:M15" si="0">I13*(1+5%)</f>
        <v>12600</v>
      </c>
      <c r="K13" s="473">
        <f t="shared" si="0"/>
        <v>13230</v>
      </c>
      <c r="L13" s="473">
        <f t="shared" si="0"/>
        <v>13891.5</v>
      </c>
      <c r="M13" s="473">
        <f t="shared" si="0"/>
        <v>14586.075000000001</v>
      </c>
    </row>
    <row r="14" spans="2:13 16368:16368" ht="21.75" customHeight="1" thickTop="1" thickBot="1">
      <c r="B14" s="465" t="s">
        <v>113</v>
      </c>
      <c r="C14" s="470">
        <f>1*10^7</f>
        <v>10000000</v>
      </c>
      <c r="E14" s="474">
        <f>E13*10^7/F5</f>
        <v>3560.3087006284813</v>
      </c>
      <c r="H14" s="514" t="s">
        <v>322</v>
      </c>
      <c r="I14" s="473">
        <v>22000</v>
      </c>
      <c r="J14" s="473">
        <f t="shared" si="0"/>
        <v>23100</v>
      </c>
      <c r="K14" s="473">
        <f t="shared" si="0"/>
        <v>24255</v>
      </c>
      <c r="L14" s="473">
        <f t="shared" si="0"/>
        <v>25467.75</v>
      </c>
      <c r="M14" s="473">
        <f t="shared" si="0"/>
        <v>26741.137500000001</v>
      </c>
    </row>
    <row r="15" spans="2:13 16368:16368" ht="21.75" customHeight="1" thickTop="1" thickBot="1">
      <c r="B15" s="465" t="s">
        <v>114</v>
      </c>
      <c r="C15" s="470">
        <f>1.87*10^7</f>
        <v>18700000</v>
      </c>
      <c r="H15" s="514" t="s">
        <v>323</v>
      </c>
      <c r="I15" s="473">
        <v>15000</v>
      </c>
      <c r="J15" s="473">
        <f t="shared" si="0"/>
        <v>15750</v>
      </c>
      <c r="K15" s="473">
        <f t="shared" si="0"/>
        <v>16537.5</v>
      </c>
      <c r="L15" s="473">
        <f t="shared" si="0"/>
        <v>17364.375</v>
      </c>
      <c r="M15" s="473">
        <f t="shared" si="0"/>
        <v>18232.59375</v>
      </c>
    </row>
    <row r="16" spans="2:13 16368:16368" ht="16.5" thickTop="1" thickBot="1">
      <c r="B16" s="465" t="s">
        <v>117</v>
      </c>
      <c r="C16" s="470">
        <f>1.3*10^7</f>
        <v>13000000</v>
      </c>
      <c r="H16" s="542" t="s">
        <v>324</v>
      </c>
      <c r="I16" s="543"/>
      <c r="J16" s="543"/>
      <c r="K16" s="543"/>
      <c r="L16" s="543"/>
      <c r="M16" s="544"/>
    </row>
    <row r="17" spans="2:18" ht="16.5" thickTop="1" thickBot="1">
      <c r="B17" s="465" t="s">
        <v>118</v>
      </c>
      <c r="C17" s="470">
        <f>1.35*10^7</f>
        <v>13500000</v>
      </c>
      <c r="E17" s="474"/>
      <c r="F17" s="475"/>
      <c r="H17" s="467" t="s">
        <v>318</v>
      </c>
      <c r="I17" s="469" t="s">
        <v>326</v>
      </c>
      <c r="J17" s="469" t="s">
        <v>329</v>
      </c>
      <c r="K17" s="469" t="s">
        <v>330</v>
      </c>
      <c r="L17" s="469" t="s">
        <v>327</v>
      </c>
      <c r="M17" s="469" t="s">
        <v>328</v>
      </c>
      <c r="N17" s="452" t="s">
        <v>2</v>
      </c>
    </row>
    <row r="18" spans="2:18" ht="16.5" thickTop="1" thickBot="1">
      <c r="B18" s="452" t="s">
        <v>354</v>
      </c>
      <c r="C18" s="470">
        <f>C11-(C12+C14+C15+C16+C17)</f>
        <v>317492747.88829982</v>
      </c>
      <c r="H18" s="467" t="s">
        <v>321</v>
      </c>
      <c r="I18" s="476">
        <v>0.2</v>
      </c>
      <c r="J18" s="476">
        <v>0.4</v>
      </c>
      <c r="K18" s="476">
        <v>0.4</v>
      </c>
      <c r="L18" s="477">
        <v>0</v>
      </c>
      <c r="M18" s="477">
        <v>0</v>
      </c>
      <c r="N18" s="478">
        <f>SUM(I18:M18)</f>
        <v>1</v>
      </c>
      <c r="O18" s="478">
        <v>0.12</v>
      </c>
    </row>
    <row r="19" spans="2:18" ht="16.5" thickTop="1" thickBot="1">
      <c r="H19" s="467" t="s">
        <v>322</v>
      </c>
      <c r="I19" s="476">
        <v>0.2</v>
      </c>
      <c r="J19" s="476">
        <v>0.4</v>
      </c>
      <c r="K19" s="476">
        <v>0.4</v>
      </c>
      <c r="L19" s="477">
        <v>0</v>
      </c>
      <c r="M19" s="477">
        <v>0</v>
      </c>
      <c r="N19" s="478">
        <f t="shared" ref="N19:N20" si="1">SUM(I19:M19)</f>
        <v>1</v>
      </c>
    </row>
    <row r="20" spans="2:18" ht="16.5" thickTop="1" thickBot="1">
      <c r="C20" s="470"/>
      <c r="H20" s="467" t="s">
        <v>323</v>
      </c>
      <c r="I20" s="476">
        <v>0.2</v>
      </c>
      <c r="J20" s="476">
        <v>0.4</v>
      </c>
      <c r="K20" s="476">
        <v>0.4</v>
      </c>
      <c r="L20" s="477">
        <v>0</v>
      </c>
      <c r="M20" s="477">
        <v>0</v>
      </c>
      <c r="N20" s="478">
        <f t="shared" si="1"/>
        <v>1</v>
      </c>
    </row>
    <row r="21" spans="2:18" ht="16.5" thickTop="1" thickBot="1">
      <c r="C21" s="470"/>
      <c r="H21" s="462" t="s">
        <v>357</v>
      </c>
      <c r="I21" s="508"/>
      <c r="J21" s="508"/>
      <c r="K21" s="508"/>
      <c r="L21" s="509"/>
      <c r="M21" s="509"/>
    </row>
    <row r="22" spans="2:18" ht="16.5" thickTop="1" thickBot="1">
      <c r="H22" s="452" t="s">
        <v>356</v>
      </c>
      <c r="I22" s="510">
        <f>SUMPRODUCT($E$5:$E$7,I13:I15,I18:I20)/10^7</f>
        <v>10.0799973144</v>
      </c>
      <c r="J22" s="510">
        <f>SUMPRODUCT($E$5:$E$7,J13:J15,J18:J20)/10^7</f>
        <v>21.167994360239998</v>
      </c>
      <c r="K22" s="510">
        <f>SUMPRODUCT($E$5:$E$7,K13:K15,K18:K20)/10^7</f>
        <v>22.226394078252</v>
      </c>
      <c r="L22" s="467">
        <f>SUMPRODUCT($E$5:$E$7,L13:L15,L18:L20)</f>
        <v>0</v>
      </c>
      <c r="M22" s="467">
        <f>SUMPRODUCT($E$5:$E$7,M13:M15,M18:M20)</f>
        <v>0</v>
      </c>
      <c r="N22" s="479">
        <f>SUM(I22:M22)</f>
        <v>53.474385752891997</v>
      </c>
    </row>
    <row r="23" spans="2:18" ht="16.5" thickTop="1" thickBot="1">
      <c r="H23" s="462" t="s">
        <v>363</v>
      </c>
      <c r="I23" s="510"/>
      <c r="J23" s="510"/>
      <c r="K23" s="510"/>
      <c r="L23" s="467"/>
      <c r="M23" s="467"/>
      <c r="N23" s="479">
        <f t="shared" ref="N23:N31" si="2">SUM(I23:M23)</f>
        <v>0</v>
      </c>
      <c r="Q23" s="513">
        <v>55000</v>
      </c>
    </row>
    <row r="24" spans="2:18" ht="16.5" thickTop="1" thickBot="1">
      <c r="H24" s="452" t="s">
        <v>110</v>
      </c>
      <c r="I24" s="326">
        <v>2.5</v>
      </c>
      <c r="J24" s="510">
        <v>2.2000000000000002</v>
      </c>
      <c r="K24" s="510">
        <v>0.55000000000000004</v>
      </c>
      <c r="L24" s="467"/>
      <c r="M24" s="467"/>
      <c r="N24" s="479"/>
      <c r="Q24" s="513"/>
    </row>
    <row r="25" spans="2:18" ht="16.5" thickTop="1" thickBot="1">
      <c r="H25" s="452" t="s">
        <v>355</v>
      </c>
      <c r="I25" s="510">
        <v>9</v>
      </c>
      <c r="J25" s="510">
        <v>9</v>
      </c>
      <c r="K25" s="510">
        <v>1.28</v>
      </c>
      <c r="L25" s="467">
        <v>0</v>
      </c>
      <c r="M25" s="467">
        <v>0</v>
      </c>
      <c r="N25" s="479">
        <f t="shared" si="2"/>
        <v>19.28</v>
      </c>
    </row>
    <row r="26" spans="2:18" ht="16.5" thickTop="1" thickBot="1">
      <c r="H26" s="452" t="s">
        <v>113</v>
      </c>
      <c r="I26" s="467">
        <v>0.2</v>
      </c>
      <c r="J26" s="467">
        <v>0.8</v>
      </c>
      <c r="K26" s="467"/>
      <c r="L26" s="467"/>
      <c r="M26" s="467"/>
      <c r="N26" s="479">
        <f t="shared" si="2"/>
        <v>1</v>
      </c>
    </row>
    <row r="27" spans="2:18" ht="16.5" thickTop="1" thickBot="1">
      <c r="H27" s="452" t="s">
        <v>114</v>
      </c>
      <c r="I27" s="467">
        <f>1.87</f>
        <v>1.87</v>
      </c>
      <c r="J27" s="467"/>
      <c r="K27" s="467"/>
      <c r="L27" s="467"/>
      <c r="M27" s="467"/>
      <c r="N27" s="479">
        <f t="shared" si="2"/>
        <v>1.87</v>
      </c>
      <c r="R27" s="513"/>
    </row>
    <row r="28" spans="2:18" ht="16.5" thickTop="1" thickBot="1">
      <c r="H28" s="452" t="s">
        <v>117</v>
      </c>
      <c r="I28" s="467">
        <v>0.3</v>
      </c>
      <c r="J28" s="467">
        <v>0.4</v>
      </c>
      <c r="K28" s="467">
        <v>0.5</v>
      </c>
      <c r="L28" s="467">
        <v>0</v>
      </c>
      <c r="M28" s="467"/>
      <c r="N28" s="479">
        <f t="shared" si="2"/>
        <v>1.2</v>
      </c>
      <c r="R28" s="513"/>
    </row>
    <row r="29" spans="2:18" ht="31.5" thickTop="1" thickBot="1">
      <c r="H29" s="512" t="s">
        <v>118</v>
      </c>
      <c r="I29" s="467">
        <v>0.64</v>
      </c>
      <c r="J29" s="467">
        <v>0.28999999999999998</v>
      </c>
      <c r="K29" s="467">
        <v>0.42</v>
      </c>
      <c r="L29" s="467"/>
      <c r="M29" s="467"/>
      <c r="N29" s="479">
        <f t="shared" si="2"/>
        <v>1.3499999999999999</v>
      </c>
    </row>
    <row r="30" spans="2:18" ht="16.5" thickTop="1" thickBot="1">
      <c r="H30" s="462" t="s">
        <v>358</v>
      </c>
      <c r="I30" s="474">
        <f>SUM(I24:I29)</f>
        <v>14.510000000000002</v>
      </c>
      <c r="J30" s="474">
        <f t="shared" ref="J30:M30" si="3">SUM(J24:J29)</f>
        <v>12.69</v>
      </c>
      <c r="K30" s="474">
        <f t="shared" si="3"/>
        <v>2.75</v>
      </c>
      <c r="L30" s="474">
        <f t="shared" si="3"/>
        <v>0</v>
      </c>
      <c r="M30" s="474">
        <f t="shared" si="3"/>
        <v>0</v>
      </c>
      <c r="N30" s="479">
        <f t="shared" si="2"/>
        <v>29.950000000000003</v>
      </c>
    </row>
    <row r="31" spans="2:18" ht="16.5" thickTop="1" thickBot="1">
      <c r="H31" s="462" t="s">
        <v>360</v>
      </c>
      <c r="I31" s="474">
        <f>I22-I30</f>
        <v>-4.4300026856000017</v>
      </c>
      <c r="J31" s="474">
        <f t="shared" ref="J31:M31" si="4">J22-J30</f>
        <v>8.4779943602399985</v>
      </c>
      <c r="K31" s="474">
        <f t="shared" si="4"/>
        <v>19.476394078252</v>
      </c>
      <c r="L31" s="474">
        <f t="shared" si="4"/>
        <v>0</v>
      </c>
      <c r="M31" s="474">
        <f t="shared" si="4"/>
        <v>0</v>
      </c>
      <c r="N31" s="479">
        <f t="shared" si="2"/>
        <v>23.524385752891995</v>
      </c>
    </row>
    <row r="32" spans="2:18" ht="16.5" thickTop="1" thickBot="1">
      <c r="H32" s="462" t="s">
        <v>362</v>
      </c>
      <c r="I32" s="478">
        <v>0.12</v>
      </c>
      <c r="J32" s="474"/>
      <c r="K32" s="474"/>
      <c r="L32" s="474"/>
      <c r="M32" s="474"/>
    </row>
    <row r="33" spans="6:13" ht="16.5" thickTop="1" thickBot="1">
      <c r="H33" s="462" t="s">
        <v>353</v>
      </c>
      <c r="I33" s="482">
        <v>45382</v>
      </c>
      <c r="J33" s="482">
        <f>EDATE(I33,12)</f>
        <v>45747</v>
      </c>
      <c r="K33" s="482">
        <f>EDATE(J33,12)</f>
        <v>46112</v>
      </c>
    </row>
    <row r="34" spans="6:13" ht="16.5" thickTop="1" thickBot="1">
      <c r="F34" s="482">
        <v>45203</v>
      </c>
      <c r="H34" s="462"/>
      <c r="I34" s="483">
        <f>I31/(1+$O$18)^((I33-$F$34)/365)</f>
        <v>-4.1905104867290452</v>
      </c>
      <c r="J34" s="483">
        <f>J31/(1+$O$18)^((J33-$F$34)/365)</f>
        <v>7.1604125151989448</v>
      </c>
      <c r="K34" s="483">
        <f>K31/(1+$O$18)^((K33-$F$34)/365)</f>
        <v>14.687079655774941</v>
      </c>
      <c r="L34" s="453"/>
      <c r="M34" s="453"/>
    </row>
    <row r="35" spans="6:13" ht="16.5" thickTop="1" thickBot="1">
      <c r="H35" s="462" t="s">
        <v>359</v>
      </c>
      <c r="I35" s="511">
        <f>SUM(I34:M34)</f>
        <v>17.65698168424484</v>
      </c>
      <c r="J35" s="479"/>
      <c r="K35" s="479"/>
      <c r="L35" s="479"/>
      <c r="M35" s="479"/>
    </row>
    <row r="36" spans="6:13" ht="15.75" thickTop="1">
      <c r="I36" s="480">
        <v>176600000</v>
      </c>
      <c r="J36" s="480"/>
      <c r="K36" s="480"/>
      <c r="L36" s="474"/>
      <c r="M36" s="474"/>
    </row>
    <row r="37" spans="6:13">
      <c r="I37" s="480">
        <f>I36*0.85</f>
        <v>150110000</v>
      </c>
      <c r="J37" s="481"/>
      <c r="K37" s="480"/>
    </row>
    <row r="38" spans="6:13">
      <c r="I38" s="480">
        <f>I36*0.75</f>
        <v>132450000</v>
      </c>
      <c r="J38" s="481"/>
      <c r="K38" s="480"/>
      <c r="L38" s="452" t="s">
        <v>331</v>
      </c>
    </row>
    <row r="41" spans="6:13">
      <c r="L41" s="452" t="s">
        <v>332</v>
      </c>
    </row>
  </sheetData>
  <mergeCells count="6">
    <mergeCell ref="H16:M16"/>
    <mergeCell ref="B2:E2"/>
    <mergeCell ref="C5:C7"/>
    <mergeCell ref="D5:D7"/>
    <mergeCell ref="F5:F7"/>
    <mergeCell ref="H10:M10"/>
  </mergeCells>
  <conditionalFormatting sqref="I2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7"/>
  <sheetViews>
    <sheetView workbookViewId="0">
      <selection activeCell="K9" sqref="K9"/>
    </sheetView>
  </sheetViews>
  <sheetFormatPr defaultRowHeight="15"/>
  <sheetData>
    <row r="5" spans="2:8">
      <c r="D5">
        <f>$B$7-D7</f>
        <v>1984.25</v>
      </c>
      <c r="E5">
        <f t="shared" ref="E5:G5" si="0">$B$7-E7</f>
        <v>-4034.75</v>
      </c>
      <c r="F5">
        <f t="shared" si="0"/>
        <v>6134.25</v>
      </c>
      <c r="G5">
        <f t="shared" si="0"/>
        <v>-4083.75</v>
      </c>
    </row>
    <row r="6" spans="2:8">
      <c r="D6" t="s">
        <v>96</v>
      </c>
      <c r="E6" t="s">
        <v>95</v>
      </c>
      <c r="F6" t="s">
        <v>100</v>
      </c>
      <c r="G6" t="s">
        <v>366</v>
      </c>
    </row>
    <row r="7" spans="2:8">
      <c r="B7">
        <f>H7/4</f>
        <v>7124.25</v>
      </c>
      <c r="D7">
        <f>4640+500</f>
        <v>5140</v>
      </c>
      <c r="E7">
        <v>11159</v>
      </c>
      <c r="F7">
        <v>990</v>
      </c>
      <c r="G7">
        <v>11208</v>
      </c>
      <c r="H7">
        <f>SUM(D7:G7)</f>
        <v>28497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12"/>
  <sheetViews>
    <sheetView workbookViewId="0">
      <selection activeCell="L9" sqref="L9"/>
    </sheetView>
  </sheetViews>
  <sheetFormatPr defaultRowHeight="15"/>
  <cols>
    <col min="1" max="1" width="7.5703125" bestFit="1" customWidth="1"/>
    <col min="2" max="2" width="11" bestFit="1" customWidth="1"/>
    <col min="3" max="3" width="6.7109375" bestFit="1" customWidth="1"/>
    <col min="4" max="4" width="14.5703125" customWidth="1"/>
    <col min="5" max="5" width="15.28515625" customWidth="1"/>
    <col min="6" max="6" width="14.28515625" customWidth="1"/>
  </cols>
  <sheetData>
    <row r="8" spans="1:6" s="440" customFormat="1" ht="37.5" customHeight="1">
      <c r="A8" s="438" t="s">
        <v>295</v>
      </c>
      <c r="B8" s="438" t="s">
        <v>296</v>
      </c>
      <c r="C8" s="438" t="s">
        <v>297</v>
      </c>
      <c r="D8" s="451" t="s">
        <v>305</v>
      </c>
      <c r="E8" s="451" t="s">
        <v>303</v>
      </c>
      <c r="F8" s="451" t="s">
        <v>304</v>
      </c>
    </row>
    <row r="9" spans="1:6">
      <c r="A9" s="439">
        <v>1</v>
      </c>
      <c r="B9" s="439" t="s">
        <v>89</v>
      </c>
      <c r="C9" s="439" t="s">
        <v>104</v>
      </c>
      <c r="D9" s="441">
        <v>134.79</v>
      </c>
      <c r="E9" s="441">
        <v>3220</v>
      </c>
      <c r="F9" s="441">
        <v>1450.8795599999999</v>
      </c>
    </row>
    <row r="10" spans="1:6">
      <c r="A10" s="439">
        <v>2</v>
      </c>
      <c r="B10" s="439" t="s">
        <v>132</v>
      </c>
      <c r="C10" s="439" t="s">
        <v>299</v>
      </c>
      <c r="D10" s="441">
        <v>455.36</v>
      </c>
      <c r="E10" s="441">
        <v>9804</v>
      </c>
      <c r="F10" s="441">
        <v>4901.4950399999998</v>
      </c>
    </row>
    <row r="11" spans="1:6">
      <c r="A11" s="439">
        <v>3</v>
      </c>
      <c r="B11" s="439" t="s">
        <v>237</v>
      </c>
      <c r="C11" s="439" t="s">
        <v>300</v>
      </c>
      <c r="D11" s="441">
        <v>2898.58</v>
      </c>
      <c r="E11" s="441">
        <v>52967</v>
      </c>
      <c r="F11" s="441">
        <v>31200.315119999996</v>
      </c>
    </row>
    <row r="12" spans="1:6" s="440" customFormat="1">
      <c r="A12" s="552" t="s">
        <v>2</v>
      </c>
      <c r="B12" s="552"/>
      <c r="C12" s="552"/>
      <c r="D12" s="442">
        <v>3488.73</v>
      </c>
      <c r="E12" s="442">
        <v>65991</v>
      </c>
      <c r="F12" s="442">
        <v>37552.689719999995</v>
      </c>
    </row>
  </sheetData>
  <mergeCells count="1">
    <mergeCell ref="A12:C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4"/>
  <sheetViews>
    <sheetView topLeftCell="A17" workbookViewId="0">
      <selection activeCell="E21" sqref="E21"/>
    </sheetView>
  </sheetViews>
  <sheetFormatPr defaultRowHeight="15"/>
  <cols>
    <col min="1" max="1" width="7.28515625" bestFit="1" customWidth="1"/>
    <col min="2" max="2" width="7.28515625" customWidth="1"/>
    <col min="3" max="3" width="38.28515625" bestFit="1" customWidth="1"/>
    <col min="4" max="4" width="15.7109375" customWidth="1"/>
    <col min="5" max="5" width="17.85546875" bestFit="1" customWidth="1"/>
    <col min="7" max="7" width="15.42578125" customWidth="1"/>
  </cols>
  <sheetData>
    <row r="6" spans="2:5">
      <c r="C6" s="498"/>
    </row>
    <row r="7" spans="2:5">
      <c r="C7" s="498"/>
    </row>
    <row r="8" spans="2:5">
      <c r="C8" s="498"/>
    </row>
    <row r="12" spans="2:5">
      <c r="C12" t="s">
        <v>349</v>
      </c>
      <c r="D12" s="497">
        <v>54152.607599999996</v>
      </c>
      <c r="E12" t="s">
        <v>350</v>
      </c>
    </row>
    <row r="13" spans="2:5" ht="45">
      <c r="B13" s="484" t="s">
        <v>333</v>
      </c>
      <c r="C13" s="484" t="s">
        <v>334</v>
      </c>
      <c r="D13" s="485" t="s">
        <v>335</v>
      </c>
      <c r="E13" s="485" t="s">
        <v>348</v>
      </c>
    </row>
    <row r="14" spans="2:5" ht="21" customHeight="1">
      <c r="B14" s="486" t="s">
        <v>336</v>
      </c>
      <c r="C14" s="487" t="s">
        <v>337</v>
      </c>
      <c r="D14" s="488">
        <v>1550</v>
      </c>
      <c r="E14" s="489">
        <f>$D$12*D14</f>
        <v>83936541.779999986</v>
      </c>
    </row>
    <row r="15" spans="2:5" ht="45">
      <c r="B15" s="486" t="s">
        <v>338</v>
      </c>
      <c r="C15" s="490" t="s">
        <v>339</v>
      </c>
      <c r="D15" s="488">
        <v>0</v>
      </c>
      <c r="E15" s="489">
        <f t="shared" ref="E15:E19" si="0">$D$12*D15</f>
        <v>0</v>
      </c>
    </row>
    <row r="16" spans="2:5" ht="30">
      <c r="B16" s="486" t="s">
        <v>340</v>
      </c>
      <c r="C16" s="491" t="s">
        <v>341</v>
      </c>
      <c r="D16" s="488">
        <v>500</v>
      </c>
      <c r="E16" s="489">
        <f t="shared" si="0"/>
        <v>27076303.799999997</v>
      </c>
    </row>
    <row r="17" spans="2:11" ht="30">
      <c r="B17" s="486" t="s">
        <v>342</v>
      </c>
      <c r="C17" s="491" t="s">
        <v>343</v>
      </c>
      <c r="D17" s="488">
        <v>300</v>
      </c>
      <c r="E17" s="489">
        <f t="shared" si="0"/>
        <v>16245782.279999999</v>
      </c>
    </row>
    <row r="18" spans="2:11" ht="30" customHeight="1">
      <c r="B18" s="486" t="s">
        <v>344</v>
      </c>
      <c r="C18" s="487" t="s">
        <v>345</v>
      </c>
      <c r="D18" s="492">
        <v>400</v>
      </c>
      <c r="E18" s="489">
        <f t="shared" si="0"/>
        <v>21661043.039999999</v>
      </c>
      <c r="G18" s="501" t="s">
        <v>351</v>
      </c>
      <c r="H18" s="502">
        <v>0.03</v>
      </c>
    </row>
    <row r="19" spans="2:11" ht="30">
      <c r="B19" s="486" t="s">
        <v>346</v>
      </c>
      <c r="C19" s="493" t="s">
        <v>367</v>
      </c>
      <c r="D19" s="499">
        <f>SUM(D14:D18)*5%</f>
        <v>137.5</v>
      </c>
      <c r="E19" s="489">
        <f t="shared" si="0"/>
        <v>7445983.544999999</v>
      </c>
    </row>
    <row r="20" spans="2:11" ht="45">
      <c r="B20" s="486" t="s">
        <v>347</v>
      </c>
      <c r="C20" s="494" t="s">
        <v>361</v>
      </c>
      <c r="D20" s="499">
        <v>0</v>
      </c>
      <c r="E20" s="489">
        <f>D20*D12</f>
        <v>0</v>
      </c>
    </row>
    <row r="21" spans="2:11" ht="15.75">
      <c r="B21" s="553" t="s">
        <v>15</v>
      </c>
      <c r="C21" s="554"/>
      <c r="D21" s="495">
        <f>SUM(D14:D20)</f>
        <v>2887.5</v>
      </c>
      <c r="E21" s="496">
        <f>SUM(E14:E20)</f>
        <v>156365654.44499996</v>
      </c>
      <c r="G21" s="500">
        <v>0.2</v>
      </c>
      <c r="H21" s="500">
        <v>0.4</v>
      </c>
      <c r="I21" s="500">
        <v>0.4</v>
      </c>
    </row>
    <row r="22" spans="2:11">
      <c r="E22" s="507">
        <f>E21/10^7</f>
        <v>15.636565444499997</v>
      </c>
      <c r="G22" s="468">
        <v>2023</v>
      </c>
      <c r="H22" s="469">
        <v>2024</v>
      </c>
      <c r="I22" s="468">
        <v>2025</v>
      </c>
      <c r="J22" s="468">
        <v>2026</v>
      </c>
      <c r="K22" s="468">
        <v>2027</v>
      </c>
    </row>
    <row r="23" spans="2:11">
      <c r="G23" s="18">
        <f>E22</f>
        <v>15.636565444499997</v>
      </c>
      <c r="H23" s="18">
        <f>G23*(1+$H$18)</f>
        <v>16.105662407834998</v>
      </c>
      <c r="I23" s="18">
        <f t="shared" ref="I23:K23" si="1">H23*(1+$H$18)</f>
        <v>16.588832280070047</v>
      </c>
      <c r="J23" s="18">
        <f t="shared" si="1"/>
        <v>17.086497248472149</v>
      </c>
      <c r="K23" s="18">
        <f t="shared" si="1"/>
        <v>17.599092165926315</v>
      </c>
    </row>
    <row r="24" spans="2:11">
      <c r="G24" s="503">
        <f>G21*G23</f>
        <v>3.1273130888999994</v>
      </c>
      <c r="H24" s="503">
        <f t="shared" ref="H24:K24" si="2">H21*H23</f>
        <v>6.4422649631339999</v>
      </c>
      <c r="I24" s="503">
        <f t="shared" si="2"/>
        <v>6.6355329120280189</v>
      </c>
      <c r="J24">
        <f t="shared" si="2"/>
        <v>0</v>
      </c>
      <c r="K24">
        <f t="shared" si="2"/>
        <v>0</v>
      </c>
    </row>
  </sheetData>
  <mergeCells count="1">
    <mergeCell ref="B21:C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workbookViewId="0">
      <selection activeCell="D26" sqref="D26:E26"/>
    </sheetView>
  </sheetViews>
  <sheetFormatPr defaultColWidth="9.85546875" defaultRowHeight="15"/>
  <cols>
    <col min="1" max="1" width="37.7109375" bestFit="1" customWidth="1"/>
    <col min="2" max="2" width="9.7109375" style="6" bestFit="1" customWidth="1"/>
    <col min="3" max="3" width="8.7109375" customWidth="1"/>
    <col min="4" max="20" width="8.42578125" customWidth="1"/>
    <col min="21" max="21" width="9.85546875" customWidth="1"/>
  </cols>
  <sheetData>
    <row r="1" spans="1:20">
      <c r="B1"/>
    </row>
    <row r="2" spans="1:20">
      <c r="A2" s="555" t="str">
        <f>'Project Brief'!B1</f>
        <v>Shreeji Angarika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O2" s="555"/>
      <c r="P2" s="555"/>
      <c r="Q2" s="555"/>
      <c r="R2" s="555"/>
      <c r="S2" s="555"/>
      <c r="T2" s="555"/>
    </row>
    <row r="3" spans="1:20" ht="30">
      <c r="A3" s="1" t="s">
        <v>11</v>
      </c>
      <c r="B3" s="2" t="s">
        <v>31</v>
      </c>
      <c r="C3" s="12" t="s">
        <v>3</v>
      </c>
      <c r="D3" s="13">
        <v>43891</v>
      </c>
      <c r="E3" s="13">
        <v>43983</v>
      </c>
      <c r="F3" s="13">
        <v>44075</v>
      </c>
      <c r="G3" s="13">
        <v>44166</v>
      </c>
      <c r="H3" s="13">
        <v>44256</v>
      </c>
      <c r="I3" s="13">
        <v>44348</v>
      </c>
      <c r="J3" s="13">
        <v>44440</v>
      </c>
      <c r="K3" s="13">
        <v>44531</v>
      </c>
      <c r="L3" s="13">
        <v>44621</v>
      </c>
      <c r="M3" s="13">
        <v>44713</v>
      </c>
      <c r="N3" s="13">
        <v>44805</v>
      </c>
      <c r="O3" s="13">
        <v>44896</v>
      </c>
      <c r="P3" s="13">
        <v>44986</v>
      </c>
      <c r="Q3" s="13">
        <v>45078</v>
      </c>
      <c r="R3" s="13">
        <v>45170</v>
      </c>
      <c r="S3" s="13">
        <v>45261</v>
      </c>
      <c r="T3" s="14" t="s">
        <v>2</v>
      </c>
    </row>
    <row r="4" spans="1:20">
      <c r="A4" s="24" t="s">
        <v>40</v>
      </c>
      <c r="B4" s="15"/>
      <c r="C4" s="15"/>
      <c r="D4" s="11">
        <v>1</v>
      </c>
      <c r="E4" s="11"/>
      <c r="F4" s="16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33"/>
      <c r="T4" s="25">
        <f t="shared" ref="T4:T24" si="0">SUM(D4:S4)</f>
        <v>1</v>
      </c>
    </row>
    <row r="5" spans="1:20">
      <c r="A5" s="24" t="s">
        <v>10</v>
      </c>
      <c r="B5" s="3">
        <v>0.25611650485436893</v>
      </c>
      <c r="C5" s="7" t="e">
        <f>+$C$26*B5</f>
        <v>#REF!</v>
      </c>
      <c r="D5" s="8" t="e">
        <f>+$C5*D4</f>
        <v>#REF!</v>
      </c>
      <c r="E5" s="7" t="e">
        <f t="shared" ref="E5:R5" si="1">+$C5*E4</f>
        <v>#REF!</v>
      </c>
      <c r="F5" s="7" t="e">
        <f t="shared" si="1"/>
        <v>#REF!</v>
      </c>
      <c r="G5" s="7" t="e">
        <f t="shared" si="1"/>
        <v>#REF!</v>
      </c>
      <c r="H5" s="7" t="e">
        <f t="shared" si="1"/>
        <v>#REF!</v>
      </c>
      <c r="I5" s="7" t="e">
        <f t="shared" si="1"/>
        <v>#REF!</v>
      </c>
      <c r="J5" s="7" t="e">
        <f t="shared" si="1"/>
        <v>#REF!</v>
      </c>
      <c r="K5" s="7" t="e">
        <f t="shared" si="1"/>
        <v>#REF!</v>
      </c>
      <c r="L5" s="7" t="e">
        <f t="shared" si="1"/>
        <v>#REF!</v>
      </c>
      <c r="M5" s="7" t="e">
        <f t="shared" si="1"/>
        <v>#REF!</v>
      </c>
      <c r="N5" s="7" t="e">
        <f t="shared" si="1"/>
        <v>#REF!</v>
      </c>
      <c r="O5" s="7" t="e">
        <f t="shared" si="1"/>
        <v>#REF!</v>
      </c>
      <c r="P5" s="7" t="e">
        <f t="shared" si="1"/>
        <v>#REF!</v>
      </c>
      <c r="Q5" s="7" t="e">
        <f t="shared" si="1"/>
        <v>#REF!</v>
      </c>
      <c r="R5" s="7" t="e">
        <f t="shared" si="1"/>
        <v>#REF!</v>
      </c>
      <c r="S5" s="34"/>
      <c r="T5" s="26" t="e">
        <f t="shared" si="0"/>
        <v>#REF!</v>
      </c>
    </row>
    <row r="6" spans="1:20">
      <c r="A6" s="27" t="s">
        <v>40</v>
      </c>
      <c r="B6" s="4"/>
      <c r="C6" s="19"/>
      <c r="D6" s="11">
        <v>0.16400000000000001</v>
      </c>
      <c r="E6" s="11">
        <v>4.8500000000000001E-2</v>
      </c>
      <c r="F6" s="11">
        <v>0.15</v>
      </c>
      <c r="G6" s="11">
        <v>0.15</v>
      </c>
      <c r="H6" s="11">
        <v>0.15</v>
      </c>
      <c r="I6" s="11">
        <v>0.15</v>
      </c>
      <c r="J6" s="11">
        <v>0.1</v>
      </c>
      <c r="K6" s="11">
        <v>0.05</v>
      </c>
      <c r="L6" s="11">
        <v>3.7499999999999999E-2</v>
      </c>
      <c r="M6" s="11"/>
      <c r="N6" s="11"/>
      <c r="O6" s="11"/>
      <c r="P6" s="11"/>
      <c r="Q6" s="11"/>
      <c r="R6" s="11"/>
      <c r="S6" s="33"/>
      <c r="T6" s="25">
        <f t="shared" si="0"/>
        <v>1.0000000000000002</v>
      </c>
    </row>
    <row r="7" spans="1:20">
      <c r="A7" s="27" t="s">
        <v>32</v>
      </c>
      <c r="B7" s="3">
        <v>0.25</v>
      </c>
      <c r="C7" s="7" t="e">
        <f>+$C$26*B7</f>
        <v>#REF!</v>
      </c>
      <c r="D7" s="8" t="e">
        <f t="shared" ref="D7:R7" si="2">+$C7*D6</f>
        <v>#REF!</v>
      </c>
      <c r="E7" s="8" t="e">
        <f t="shared" si="2"/>
        <v>#REF!</v>
      </c>
      <c r="F7" s="8" t="e">
        <f t="shared" si="2"/>
        <v>#REF!</v>
      </c>
      <c r="G7" s="8" t="e">
        <f t="shared" si="2"/>
        <v>#REF!</v>
      </c>
      <c r="H7" s="8" t="e">
        <f t="shared" si="2"/>
        <v>#REF!</v>
      </c>
      <c r="I7" s="8" t="e">
        <f t="shared" si="2"/>
        <v>#REF!</v>
      </c>
      <c r="J7" s="8" t="e">
        <f t="shared" si="2"/>
        <v>#REF!</v>
      </c>
      <c r="K7" s="8" t="e">
        <f t="shared" si="2"/>
        <v>#REF!</v>
      </c>
      <c r="L7" s="8" t="e">
        <f t="shared" si="2"/>
        <v>#REF!</v>
      </c>
      <c r="M7" s="8" t="e">
        <f t="shared" si="2"/>
        <v>#REF!</v>
      </c>
      <c r="N7" s="8" t="e">
        <f t="shared" si="2"/>
        <v>#REF!</v>
      </c>
      <c r="O7" s="8" t="e">
        <f t="shared" si="2"/>
        <v>#REF!</v>
      </c>
      <c r="P7" s="8" t="e">
        <f t="shared" si="2"/>
        <v>#REF!</v>
      </c>
      <c r="Q7" s="8" t="e">
        <f t="shared" si="2"/>
        <v>#REF!</v>
      </c>
      <c r="R7" s="8" t="e">
        <f t="shared" si="2"/>
        <v>#REF!</v>
      </c>
      <c r="S7" s="35"/>
      <c r="T7" s="26" t="e">
        <f t="shared" si="0"/>
        <v>#REF!</v>
      </c>
    </row>
    <row r="8" spans="1:20">
      <c r="A8" s="24" t="s">
        <v>40</v>
      </c>
      <c r="B8" s="5"/>
      <c r="C8" s="17"/>
      <c r="D8" s="11"/>
      <c r="E8" s="11">
        <v>0</v>
      </c>
      <c r="F8" s="11">
        <v>0.2</v>
      </c>
      <c r="G8" s="11">
        <v>0.15</v>
      </c>
      <c r="H8" s="11">
        <v>0.2</v>
      </c>
      <c r="I8" s="11">
        <v>0.15</v>
      </c>
      <c r="J8" s="11">
        <v>0.1</v>
      </c>
      <c r="K8" s="11">
        <v>0.1</v>
      </c>
      <c r="L8" s="11">
        <v>2.5000000000000001E-2</v>
      </c>
      <c r="M8" s="11">
        <v>0.05</v>
      </c>
      <c r="N8" s="11">
        <v>2.5000000000000001E-2</v>
      </c>
      <c r="O8" s="11"/>
      <c r="P8" s="11"/>
      <c r="Q8" s="11"/>
      <c r="R8" s="11"/>
      <c r="S8" s="33"/>
      <c r="T8" s="25">
        <f t="shared" si="0"/>
        <v>1</v>
      </c>
    </row>
    <row r="9" spans="1:20">
      <c r="A9" s="24" t="s">
        <v>43</v>
      </c>
      <c r="B9" s="3">
        <v>0.2</v>
      </c>
      <c r="C9" s="7" t="e">
        <f>+$C$26*B9</f>
        <v>#REF!</v>
      </c>
      <c r="D9" s="7" t="e">
        <f t="shared" ref="D9:R9" si="3">+$C9*D8</f>
        <v>#REF!</v>
      </c>
      <c r="E9" s="7" t="e">
        <f t="shared" si="3"/>
        <v>#REF!</v>
      </c>
      <c r="F9" s="7" t="e">
        <f t="shared" si="3"/>
        <v>#REF!</v>
      </c>
      <c r="G9" s="7" t="e">
        <f t="shared" si="3"/>
        <v>#REF!</v>
      </c>
      <c r="H9" s="7" t="e">
        <f t="shared" si="3"/>
        <v>#REF!</v>
      </c>
      <c r="I9" s="7" t="e">
        <f t="shared" si="3"/>
        <v>#REF!</v>
      </c>
      <c r="J9" s="7" t="e">
        <f t="shared" si="3"/>
        <v>#REF!</v>
      </c>
      <c r="K9" s="7" t="e">
        <f t="shared" si="3"/>
        <v>#REF!</v>
      </c>
      <c r="L9" s="7" t="e">
        <f t="shared" si="3"/>
        <v>#REF!</v>
      </c>
      <c r="M9" s="7" t="e">
        <f t="shared" si="3"/>
        <v>#REF!</v>
      </c>
      <c r="N9" s="7" t="e">
        <f t="shared" si="3"/>
        <v>#REF!</v>
      </c>
      <c r="O9" s="7" t="e">
        <f t="shared" si="3"/>
        <v>#REF!</v>
      </c>
      <c r="P9" s="7" t="e">
        <f t="shared" si="3"/>
        <v>#REF!</v>
      </c>
      <c r="Q9" s="7" t="e">
        <f t="shared" si="3"/>
        <v>#REF!</v>
      </c>
      <c r="R9" s="7" t="e">
        <f t="shared" si="3"/>
        <v>#REF!</v>
      </c>
      <c r="S9" s="34"/>
      <c r="T9" s="26" t="e">
        <f t="shared" si="0"/>
        <v>#REF!</v>
      </c>
    </row>
    <row r="10" spans="1:20">
      <c r="A10" s="27" t="s">
        <v>40</v>
      </c>
      <c r="B10" s="4"/>
      <c r="C10" s="19"/>
      <c r="D10" s="11"/>
      <c r="E10" s="11">
        <v>0</v>
      </c>
      <c r="F10" s="11">
        <v>0.15</v>
      </c>
      <c r="G10" s="11">
        <v>0.15</v>
      </c>
      <c r="H10" s="11">
        <v>0.1</v>
      </c>
      <c r="I10" s="11">
        <v>0.1</v>
      </c>
      <c r="J10" s="11">
        <v>0.1</v>
      </c>
      <c r="K10" s="11">
        <v>0.1</v>
      </c>
      <c r="L10" s="11">
        <v>0.1</v>
      </c>
      <c r="M10" s="11">
        <v>0.05</v>
      </c>
      <c r="N10" s="11">
        <v>0.05</v>
      </c>
      <c r="O10" s="11">
        <v>0.05</v>
      </c>
      <c r="P10" s="11">
        <v>0.05</v>
      </c>
      <c r="Q10" s="11"/>
      <c r="R10" s="11"/>
      <c r="S10" s="33"/>
      <c r="T10" s="25">
        <f t="shared" si="0"/>
        <v>1</v>
      </c>
    </row>
    <row r="11" spans="1:20">
      <c r="A11" s="27" t="s">
        <v>33</v>
      </c>
      <c r="B11" s="3">
        <v>0.05</v>
      </c>
      <c r="C11" s="7" t="e">
        <f>+$C$26*B11</f>
        <v>#REF!</v>
      </c>
      <c r="D11" s="8" t="e">
        <f t="shared" ref="D11:R11" si="4">+$C11*D10</f>
        <v>#REF!</v>
      </c>
      <c r="E11" s="8" t="e">
        <f t="shared" si="4"/>
        <v>#REF!</v>
      </c>
      <c r="F11" s="8" t="e">
        <f t="shared" si="4"/>
        <v>#REF!</v>
      </c>
      <c r="G11" s="8" t="e">
        <f t="shared" si="4"/>
        <v>#REF!</v>
      </c>
      <c r="H11" s="8" t="e">
        <f t="shared" si="4"/>
        <v>#REF!</v>
      </c>
      <c r="I11" s="8" t="e">
        <f t="shared" si="4"/>
        <v>#REF!</v>
      </c>
      <c r="J11" s="8" t="e">
        <f t="shared" si="4"/>
        <v>#REF!</v>
      </c>
      <c r="K11" s="8" t="e">
        <f t="shared" si="4"/>
        <v>#REF!</v>
      </c>
      <c r="L11" s="8" t="e">
        <f t="shared" si="4"/>
        <v>#REF!</v>
      </c>
      <c r="M11" s="8" t="e">
        <f t="shared" si="4"/>
        <v>#REF!</v>
      </c>
      <c r="N11" s="8" t="e">
        <f t="shared" si="4"/>
        <v>#REF!</v>
      </c>
      <c r="O11" s="8" t="e">
        <f t="shared" si="4"/>
        <v>#REF!</v>
      </c>
      <c r="P11" s="8" t="e">
        <f t="shared" si="4"/>
        <v>#REF!</v>
      </c>
      <c r="Q11" s="8" t="e">
        <f t="shared" si="4"/>
        <v>#REF!</v>
      </c>
      <c r="R11" s="8" t="e">
        <f t="shared" si="4"/>
        <v>#REF!</v>
      </c>
      <c r="S11" s="35"/>
      <c r="T11" s="26" t="e">
        <f t="shared" si="0"/>
        <v>#REF!</v>
      </c>
    </row>
    <row r="12" spans="1:20">
      <c r="A12" s="24" t="s">
        <v>40</v>
      </c>
      <c r="B12" s="5"/>
      <c r="C12" s="17"/>
      <c r="D12" s="11"/>
      <c r="E12" s="11">
        <v>0</v>
      </c>
      <c r="F12" s="11">
        <v>0.15</v>
      </c>
      <c r="G12" s="11">
        <v>0.15</v>
      </c>
      <c r="H12" s="11">
        <v>0.2</v>
      </c>
      <c r="I12" s="11">
        <v>0.15</v>
      </c>
      <c r="J12" s="11">
        <v>0.1</v>
      </c>
      <c r="K12" s="11">
        <v>0.05</v>
      </c>
      <c r="L12" s="11">
        <v>0.05</v>
      </c>
      <c r="M12" s="11">
        <v>0.05</v>
      </c>
      <c r="N12" s="11">
        <v>0.05</v>
      </c>
      <c r="O12" s="11">
        <v>0.05</v>
      </c>
      <c r="P12" s="11"/>
      <c r="Q12" s="11"/>
      <c r="R12" s="11"/>
      <c r="S12" s="33"/>
      <c r="T12" s="25">
        <f t="shared" si="0"/>
        <v>1.0000000000000002</v>
      </c>
    </row>
    <row r="13" spans="1:20">
      <c r="A13" s="24" t="s">
        <v>4</v>
      </c>
      <c r="B13" s="3">
        <v>5.2200000000000003E-2</v>
      </c>
      <c r="C13" s="7" t="e">
        <f>+$C$26*B13</f>
        <v>#REF!</v>
      </c>
      <c r="D13" s="7" t="e">
        <f t="shared" ref="D13:R13" si="5">+$C13*D12</f>
        <v>#REF!</v>
      </c>
      <c r="E13" s="7" t="e">
        <f t="shared" si="5"/>
        <v>#REF!</v>
      </c>
      <c r="F13" s="7" t="e">
        <f t="shared" si="5"/>
        <v>#REF!</v>
      </c>
      <c r="G13" s="7" t="e">
        <f t="shared" si="5"/>
        <v>#REF!</v>
      </c>
      <c r="H13" s="7" t="e">
        <f t="shared" si="5"/>
        <v>#REF!</v>
      </c>
      <c r="I13" s="7" t="e">
        <f t="shared" si="5"/>
        <v>#REF!</v>
      </c>
      <c r="J13" s="7" t="e">
        <f t="shared" si="5"/>
        <v>#REF!</v>
      </c>
      <c r="K13" s="7" t="e">
        <f t="shared" si="5"/>
        <v>#REF!</v>
      </c>
      <c r="L13" s="7" t="e">
        <f t="shared" si="5"/>
        <v>#REF!</v>
      </c>
      <c r="M13" s="7" t="e">
        <f t="shared" si="5"/>
        <v>#REF!</v>
      </c>
      <c r="N13" s="7" t="e">
        <f t="shared" si="5"/>
        <v>#REF!</v>
      </c>
      <c r="O13" s="7" t="e">
        <f t="shared" si="5"/>
        <v>#REF!</v>
      </c>
      <c r="P13" s="7" t="e">
        <f t="shared" si="5"/>
        <v>#REF!</v>
      </c>
      <c r="Q13" s="7" t="e">
        <f t="shared" si="5"/>
        <v>#REF!</v>
      </c>
      <c r="R13" s="7" t="e">
        <f t="shared" si="5"/>
        <v>#REF!</v>
      </c>
      <c r="S13" s="34"/>
      <c r="T13" s="26" t="e">
        <f t="shared" si="0"/>
        <v>#REF!</v>
      </c>
    </row>
    <row r="14" spans="1:20">
      <c r="A14" s="27" t="s">
        <v>40</v>
      </c>
      <c r="B14" s="4"/>
      <c r="C14" s="19"/>
      <c r="D14" s="11"/>
      <c r="E14" s="11">
        <v>0</v>
      </c>
      <c r="F14" s="11">
        <v>0.15</v>
      </c>
      <c r="G14" s="11">
        <v>0.15</v>
      </c>
      <c r="H14" s="11">
        <v>0.2</v>
      </c>
      <c r="I14" s="11">
        <v>0.15</v>
      </c>
      <c r="J14" s="11">
        <v>0.2</v>
      </c>
      <c r="K14" s="11">
        <v>0.05</v>
      </c>
      <c r="L14" s="11"/>
      <c r="M14" s="11">
        <v>0.05</v>
      </c>
      <c r="N14" s="11">
        <v>0.05</v>
      </c>
      <c r="O14" s="11"/>
      <c r="P14" s="11"/>
      <c r="Q14" s="11"/>
      <c r="R14" s="11"/>
      <c r="S14" s="33"/>
      <c r="T14" s="25">
        <f t="shared" si="0"/>
        <v>1.0000000000000002</v>
      </c>
    </row>
    <row r="15" spans="1:20">
      <c r="A15" s="27" t="s">
        <v>5</v>
      </c>
      <c r="B15" s="3">
        <v>0.05</v>
      </c>
      <c r="C15" s="7" t="e">
        <f>+$C$26*B15</f>
        <v>#REF!</v>
      </c>
      <c r="D15" s="8" t="e">
        <f t="shared" ref="D15:R15" si="6">+$C15*D14</f>
        <v>#REF!</v>
      </c>
      <c r="E15" s="8" t="e">
        <f t="shared" si="6"/>
        <v>#REF!</v>
      </c>
      <c r="F15" s="8" t="e">
        <f t="shared" si="6"/>
        <v>#REF!</v>
      </c>
      <c r="G15" s="8" t="e">
        <f t="shared" si="6"/>
        <v>#REF!</v>
      </c>
      <c r="H15" s="8" t="e">
        <f t="shared" si="6"/>
        <v>#REF!</v>
      </c>
      <c r="I15" s="8" t="e">
        <f t="shared" si="6"/>
        <v>#REF!</v>
      </c>
      <c r="J15" s="8" t="e">
        <f>+$C15*J14</f>
        <v>#REF!</v>
      </c>
      <c r="K15" s="8" t="e">
        <f t="shared" si="6"/>
        <v>#REF!</v>
      </c>
      <c r="L15" s="8" t="e">
        <f t="shared" si="6"/>
        <v>#REF!</v>
      </c>
      <c r="M15" s="8" t="e">
        <f t="shared" si="6"/>
        <v>#REF!</v>
      </c>
      <c r="N15" s="8" t="e">
        <f t="shared" si="6"/>
        <v>#REF!</v>
      </c>
      <c r="O15" s="8" t="e">
        <f t="shared" si="6"/>
        <v>#REF!</v>
      </c>
      <c r="P15" s="8" t="e">
        <f t="shared" si="6"/>
        <v>#REF!</v>
      </c>
      <c r="Q15" s="8"/>
      <c r="R15" s="8" t="e">
        <f t="shared" si="6"/>
        <v>#REF!</v>
      </c>
      <c r="S15" s="35"/>
      <c r="T15" s="26" t="e">
        <f t="shared" si="0"/>
        <v>#REF!</v>
      </c>
    </row>
    <row r="16" spans="1:20">
      <c r="A16" s="24" t="s">
        <v>40</v>
      </c>
      <c r="B16" s="5"/>
      <c r="C16" s="17"/>
      <c r="D16" s="11"/>
      <c r="E16" s="11">
        <v>0</v>
      </c>
      <c r="F16" s="11">
        <v>0.1</v>
      </c>
      <c r="G16" s="11">
        <v>0.1</v>
      </c>
      <c r="H16" s="11">
        <v>0.2</v>
      </c>
      <c r="I16" s="11">
        <v>0.2</v>
      </c>
      <c r="J16" s="11">
        <v>0.2</v>
      </c>
      <c r="K16" s="11">
        <v>0.15</v>
      </c>
      <c r="L16" s="11">
        <v>0.05</v>
      </c>
      <c r="M16" s="11"/>
      <c r="N16" s="11"/>
      <c r="O16" s="11"/>
      <c r="P16" s="11"/>
      <c r="Q16" s="11"/>
      <c r="R16" s="11"/>
      <c r="S16" s="33"/>
      <c r="T16" s="25">
        <f t="shared" si="0"/>
        <v>1</v>
      </c>
    </row>
    <row r="17" spans="1:21">
      <c r="A17" s="24" t="s">
        <v>34</v>
      </c>
      <c r="B17" s="3">
        <v>0.03</v>
      </c>
      <c r="C17" s="7" t="e">
        <f>+$C$26*B17</f>
        <v>#REF!</v>
      </c>
      <c r="D17" s="7" t="e">
        <f t="shared" ref="D17:R17" si="7">+$C17*D16</f>
        <v>#REF!</v>
      </c>
      <c r="E17" s="7" t="e">
        <f t="shared" si="7"/>
        <v>#REF!</v>
      </c>
      <c r="F17" s="7" t="e">
        <f t="shared" si="7"/>
        <v>#REF!</v>
      </c>
      <c r="G17" s="7" t="e">
        <f t="shared" si="7"/>
        <v>#REF!</v>
      </c>
      <c r="H17" s="7" t="e">
        <f t="shared" si="7"/>
        <v>#REF!</v>
      </c>
      <c r="I17" s="7" t="e">
        <f t="shared" si="7"/>
        <v>#REF!</v>
      </c>
      <c r="J17" s="7" t="e">
        <f t="shared" si="7"/>
        <v>#REF!</v>
      </c>
      <c r="K17" s="7" t="e">
        <f t="shared" si="7"/>
        <v>#REF!</v>
      </c>
      <c r="L17" s="7" t="e">
        <f t="shared" si="7"/>
        <v>#REF!</v>
      </c>
      <c r="M17" s="7" t="e">
        <f t="shared" si="7"/>
        <v>#REF!</v>
      </c>
      <c r="N17" s="7" t="e">
        <f t="shared" si="7"/>
        <v>#REF!</v>
      </c>
      <c r="O17" s="7" t="e">
        <f t="shared" si="7"/>
        <v>#REF!</v>
      </c>
      <c r="P17" s="7" t="e">
        <f t="shared" si="7"/>
        <v>#REF!</v>
      </c>
      <c r="Q17" s="7"/>
      <c r="R17" s="7" t="e">
        <f t="shared" si="7"/>
        <v>#REF!</v>
      </c>
      <c r="S17" s="34"/>
      <c r="T17" s="26" t="e">
        <f t="shared" si="0"/>
        <v>#REF!</v>
      </c>
    </row>
    <row r="18" spans="1:21">
      <c r="A18" s="27" t="s">
        <v>40</v>
      </c>
      <c r="B18" s="4"/>
      <c r="C18" s="19"/>
      <c r="D18" s="11"/>
      <c r="E18" s="11"/>
      <c r="F18" s="11"/>
      <c r="G18" s="11"/>
      <c r="H18" s="11"/>
      <c r="I18" s="11"/>
      <c r="J18" s="11">
        <v>0.25</v>
      </c>
      <c r="K18" s="11">
        <v>0.25</v>
      </c>
      <c r="L18" s="11">
        <v>0.1</v>
      </c>
      <c r="M18" s="11"/>
      <c r="N18" s="11"/>
      <c r="O18" s="11">
        <v>0.1</v>
      </c>
      <c r="P18" s="11">
        <v>0.15</v>
      </c>
      <c r="Q18" s="11">
        <v>0.15</v>
      </c>
      <c r="R18" s="11"/>
      <c r="S18" s="33"/>
      <c r="T18" s="25">
        <f t="shared" si="0"/>
        <v>1</v>
      </c>
    </row>
    <row r="19" spans="1:21">
      <c r="A19" s="27" t="s">
        <v>6</v>
      </c>
      <c r="B19" s="3">
        <v>0.05</v>
      </c>
      <c r="C19" s="7" t="e">
        <f>+$C$26*B19</f>
        <v>#REF!</v>
      </c>
      <c r="D19" s="8" t="e">
        <f t="shared" ref="D19:R19" si="8">+$C19*D18</f>
        <v>#REF!</v>
      </c>
      <c r="E19" s="8" t="e">
        <f t="shared" si="8"/>
        <v>#REF!</v>
      </c>
      <c r="F19" s="8" t="e">
        <f t="shared" si="8"/>
        <v>#REF!</v>
      </c>
      <c r="G19" s="8" t="e">
        <f t="shared" si="8"/>
        <v>#REF!</v>
      </c>
      <c r="H19" s="8" t="e">
        <f t="shared" si="8"/>
        <v>#REF!</v>
      </c>
      <c r="I19" s="8" t="e">
        <f t="shared" si="8"/>
        <v>#REF!</v>
      </c>
      <c r="J19" s="8" t="e">
        <f t="shared" si="8"/>
        <v>#REF!</v>
      </c>
      <c r="K19" s="8" t="e">
        <f t="shared" si="8"/>
        <v>#REF!</v>
      </c>
      <c r="L19" s="8" t="e">
        <f t="shared" si="8"/>
        <v>#REF!</v>
      </c>
      <c r="M19" s="8" t="e">
        <f t="shared" si="8"/>
        <v>#REF!</v>
      </c>
      <c r="N19" s="8" t="e">
        <f t="shared" si="8"/>
        <v>#REF!</v>
      </c>
      <c r="O19" s="8" t="e">
        <f t="shared" si="8"/>
        <v>#REF!</v>
      </c>
      <c r="P19" s="8" t="e">
        <f t="shared" si="8"/>
        <v>#REF!</v>
      </c>
      <c r="Q19" s="8" t="e">
        <f t="shared" si="8"/>
        <v>#REF!</v>
      </c>
      <c r="R19" s="8" t="e">
        <f t="shared" si="8"/>
        <v>#REF!</v>
      </c>
      <c r="S19" s="35"/>
      <c r="T19" s="26" t="e">
        <f t="shared" si="0"/>
        <v>#REF!</v>
      </c>
    </row>
    <row r="20" spans="1:21">
      <c r="A20" s="24" t="s">
        <v>40</v>
      </c>
      <c r="B20" s="5"/>
      <c r="C20" s="7"/>
      <c r="D20" s="11"/>
      <c r="E20" s="11"/>
      <c r="F20" s="11"/>
      <c r="G20" s="11"/>
      <c r="H20" s="11"/>
      <c r="I20" s="11"/>
      <c r="J20" s="11"/>
      <c r="K20" s="11">
        <v>0.25</v>
      </c>
      <c r="L20" s="11"/>
      <c r="M20" s="11"/>
      <c r="N20" s="11">
        <v>0</v>
      </c>
      <c r="O20" s="11">
        <v>0.15</v>
      </c>
      <c r="P20" s="11">
        <v>0.2</v>
      </c>
      <c r="Q20" s="11">
        <v>0.2</v>
      </c>
      <c r="R20" s="11">
        <v>0.1</v>
      </c>
      <c r="S20" s="33">
        <v>0.1</v>
      </c>
      <c r="T20" s="25">
        <f t="shared" si="0"/>
        <v>1</v>
      </c>
    </row>
    <row r="21" spans="1:21">
      <c r="A21" s="24" t="s">
        <v>35</v>
      </c>
      <c r="B21" s="3">
        <f>100%-B5-B7-B9-B11-B13-B15-B17-B19</f>
        <v>6.1683495145630998E-2</v>
      </c>
      <c r="C21" s="7" t="e">
        <f>+$C$26*B21</f>
        <v>#REF!</v>
      </c>
      <c r="D21" s="7" t="e">
        <f t="shared" ref="D21:S21" si="9">+$C21*D20</f>
        <v>#REF!</v>
      </c>
      <c r="E21" s="7" t="e">
        <f t="shared" si="9"/>
        <v>#REF!</v>
      </c>
      <c r="F21" s="7" t="e">
        <f t="shared" si="9"/>
        <v>#REF!</v>
      </c>
      <c r="G21" s="7" t="e">
        <f t="shared" si="9"/>
        <v>#REF!</v>
      </c>
      <c r="H21" s="7" t="e">
        <f t="shared" si="9"/>
        <v>#REF!</v>
      </c>
      <c r="I21" s="7" t="e">
        <f t="shared" si="9"/>
        <v>#REF!</v>
      </c>
      <c r="J21" s="7" t="e">
        <f t="shared" si="9"/>
        <v>#REF!</v>
      </c>
      <c r="K21" s="7" t="e">
        <f t="shared" si="9"/>
        <v>#REF!</v>
      </c>
      <c r="L21" s="7" t="e">
        <f t="shared" si="9"/>
        <v>#REF!</v>
      </c>
      <c r="M21" s="7" t="e">
        <f t="shared" si="9"/>
        <v>#REF!</v>
      </c>
      <c r="N21" s="7" t="e">
        <f t="shared" si="9"/>
        <v>#REF!</v>
      </c>
      <c r="O21" s="7" t="e">
        <f t="shared" si="9"/>
        <v>#REF!</v>
      </c>
      <c r="P21" s="7" t="e">
        <f t="shared" si="9"/>
        <v>#REF!</v>
      </c>
      <c r="Q21" s="7" t="e">
        <f t="shared" si="9"/>
        <v>#REF!</v>
      </c>
      <c r="R21" s="7" t="e">
        <f t="shared" si="9"/>
        <v>#REF!</v>
      </c>
      <c r="S21" s="7" t="e">
        <f t="shared" si="9"/>
        <v>#REF!</v>
      </c>
      <c r="T21" s="26" t="e">
        <f t="shared" si="0"/>
        <v>#REF!</v>
      </c>
    </row>
    <row r="22" spans="1:21">
      <c r="A22" s="27" t="s">
        <v>40</v>
      </c>
      <c r="B22" s="4"/>
      <c r="C22" s="2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>
        <v>0.4</v>
      </c>
      <c r="P22" s="11">
        <v>0.25</v>
      </c>
      <c r="Q22" s="11">
        <v>0.25</v>
      </c>
      <c r="R22" s="11">
        <v>0.05</v>
      </c>
      <c r="S22" s="33">
        <v>0.05</v>
      </c>
      <c r="T22" s="25">
        <f t="shared" si="0"/>
        <v>1</v>
      </c>
    </row>
    <row r="23" spans="1:21">
      <c r="A23" s="27" t="s">
        <v>7</v>
      </c>
      <c r="B23" s="3">
        <v>0</v>
      </c>
      <c r="C23" s="7" t="e">
        <f>+$C$26*B23</f>
        <v>#REF!</v>
      </c>
      <c r="D23" s="8" t="e">
        <f t="shared" ref="D23:R23" si="10">+$C23*D22</f>
        <v>#REF!</v>
      </c>
      <c r="E23" s="8" t="e">
        <f t="shared" si="10"/>
        <v>#REF!</v>
      </c>
      <c r="F23" s="8" t="e">
        <f t="shared" si="10"/>
        <v>#REF!</v>
      </c>
      <c r="G23" s="8" t="e">
        <f t="shared" si="10"/>
        <v>#REF!</v>
      </c>
      <c r="H23" s="8" t="e">
        <f t="shared" si="10"/>
        <v>#REF!</v>
      </c>
      <c r="I23" s="8" t="e">
        <f t="shared" si="10"/>
        <v>#REF!</v>
      </c>
      <c r="J23" s="8" t="e">
        <f t="shared" si="10"/>
        <v>#REF!</v>
      </c>
      <c r="K23" s="8" t="e">
        <f t="shared" si="10"/>
        <v>#REF!</v>
      </c>
      <c r="L23" s="8" t="e">
        <f t="shared" si="10"/>
        <v>#REF!</v>
      </c>
      <c r="M23" s="8" t="e">
        <f t="shared" si="10"/>
        <v>#REF!</v>
      </c>
      <c r="N23" s="8" t="e">
        <f t="shared" si="10"/>
        <v>#REF!</v>
      </c>
      <c r="O23" s="8" t="e">
        <f t="shared" si="10"/>
        <v>#REF!</v>
      </c>
      <c r="P23" s="8" t="e">
        <f t="shared" si="10"/>
        <v>#REF!</v>
      </c>
      <c r="Q23" s="8" t="e">
        <f t="shared" si="10"/>
        <v>#REF!</v>
      </c>
      <c r="R23" s="8" t="e">
        <f t="shared" si="10"/>
        <v>#REF!</v>
      </c>
      <c r="S23" s="35"/>
      <c r="T23" s="26" t="e">
        <f t="shared" si="0"/>
        <v>#REF!</v>
      </c>
    </row>
    <row r="24" spans="1:21">
      <c r="A24" s="24" t="s">
        <v>40</v>
      </c>
      <c r="B24" s="5"/>
      <c r="C24" s="15"/>
      <c r="D24" s="21"/>
      <c r="E24" s="21"/>
      <c r="F24" s="21"/>
      <c r="G24" s="21"/>
      <c r="H24" s="21"/>
      <c r="I24" s="21"/>
      <c r="J24" s="21"/>
      <c r="K24" s="22"/>
      <c r="L24" s="22"/>
      <c r="M24" s="22"/>
      <c r="N24" s="23"/>
      <c r="O24" s="23"/>
      <c r="P24" s="23">
        <v>0.5</v>
      </c>
      <c r="Q24" s="23">
        <v>0.5</v>
      </c>
      <c r="R24" s="23"/>
      <c r="S24" s="36"/>
      <c r="T24" s="25">
        <f t="shared" si="0"/>
        <v>1</v>
      </c>
    </row>
    <row r="25" spans="1:21">
      <c r="A25" s="28" t="s">
        <v>8</v>
      </c>
      <c r="B25" s="9">
        <v>0</v>
      </c>
      <c r="C25" s="7" t="e">
        <f>+$C$26*B25</f>
        <v>#REF!</v>
      </c>
      <c r="D25" s="10" t="e">
        <f t="shared" ref="D25:R25" si="11">+$C25*D24</f>
        <v>#REF!</v>
      </c>
      <c r="E25" s="10" t="e">
        <f t="shared" si="11"/>
        <v>#REF!</v>
      </c>
      <c r="F25" s="10" t="e">
        <f t="shared" si="11"/>
        <v>#REF!</v>
      </c>
      <c r="G25" s="10" t="e">
        <f t="shared" si="11"/>
        <v>#REF!</v>
      </c>
      <c r="H25" s="10" t="e">
        <f t="shared" si="11"/>
        <v>#REF!</v>
      </c>
      <c r="I25" s="10" t="e">
        <f t="shared" si="11"/>
        <v>#REF!</v>
      </c>
      <c r="J25" s="10" t="e">
        <f t="shared" si="11"/>
        <v>#REF!</v>
      </c>
      <c r="K25" s="10" t="e">
        <f t="shared" si="11"/>
        <v>#REF!</v>
      </c>
      <c r="L25" s="10" t="e">
        <f t="shared" si="11"/>
        <v>#REF!</v>
      </c>
      <c r="M25" s="10" t="e">
        <f t="shared" si="11"/>
        <v>#REF!</v>
      </c>
      <c r="N25" s="10" t="e">
        <f t="shared" si="11"/>
        <v>#REF!</v>
      </c>
      <c r="O25" s="10" t="e">
        <f t="shared" si="11"/>
        <v>#REF!</v>
      </c>
      <c r="P25" s="10" t="e">
        <f t="shared" si="11"/>
        <v>#REF!</v>
      </c>
      <c r="Q25" s="10" t="e">
        <f t="shared" si="11"/>
        <v>#REF!</v>
      </c>
      <c r="R25" s="10" t="e">
        <f t="shared" si="11"/>
        <v>#REF!</v>
      </c>
      <c r="S25" s="37"/>
      <c r="T25" s="26" t="e">
        <f>SUM(D25:R25)</f>
        <v>#REF!</v>
      </c>
    </row>
    <row r="26" spans="1:21">
      <c r="A26" s="29" t="s">
        <v>9</v>
      </c>
      <c r="B26" s="30">
        <f>+SUM(B5:B25)</f>
        <v>1.0000000000000002</v>
      </c>
      <c r="C26" s="31" t="e">
        <f>Cashflow!#REF!</f>
        <v>#REF!</v>
      </c>
      <c r="D26" s="31" t="e">
        <f t="shared" ref="D26:S26" si="12">+D5+D7+D9+D11+D13+D15+D17+D19+D21+D23+D25</f>
        <v>#REF!</v>
      </c>
      <c r="E26" s="31" t="e">
        <f t="shared" si="12"/>
        <v>#REF!</v>
      </c>
      <c r="F26" s="31" t="e">
        <f t="shared" si="12"/>
        <v>#REF!</v>
      </c>
      <c r="G26" s="31" t="e">
        <f t="shared" si="12"/>
        <v>#REF!</v>
      </c>
      <c r="H26" s="31" t="e">
        <f t="shared" si="12"/>
        <v>#REF!</v>
      </c>
      <c r="I26" s="31" t="e">
        <f t="shared" si="12"/>
        <v>#REF!</v>
      </c>
      <c r="J26" s="31" t="e">
        <f t="shared" si="12"/>
        <v>#REF!</v>
      </c>
      <c r="K26" s="31" t="e">
        <f t="shared" si="12"/>
        <v>#REF!</v>
      </c>
      <c r="L26" s="31" t="e">
        <f t="shared" si="12"/>
        <v>#REF!</v>
      </c>
      <c r="M26" s="31" t="e">
        <f t="shared" si="12"/>
        <v>#REF!</v>
      </c>
      <c r="N26" s="31" t="e">
        <f t="shared" si="12"/>
        <v>#REF!</v>
      </c>
      <c r="O26" s="31" t="e">
        <f t="shared" si="12"/>
        <v>#REF!</v>
      </c>
      <c r="P26" s="31" t="e">
        <f t="shared" si="12"/>
        <v>#REF!</v>
      </c>
      <c r="Q26" s="31" t="e">
        <f t="shared" si="12"/>
        <v>#REF!</v>
      </c>
      <c r="R26" s="31" t="e">
        <f t="shared" si="12"/>
        <v>#REF!</v>
      </c>
      <c r="S26" s="31" t="e">
        <f t="shared" si="12"/>
        <v>#REF!</v>
      </c>
      <c r="T26" s="32" t="e">
        <f>+T5+T7+T9+T11+T13+T15+T17+T19+T21+T23+T25</f>
        <v>#REF!</v>
      </c>
      <c r="U26" s="18"/>
    </row>
  </sheetData>
  <mergeCells count="1">
    <mergeCell ref="A2: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79"/>
  <sheetViews>
    <sheetView topLeftCell="A354" workbookViewId="0">
      <selection activeCell="I368" sqref="I368"/>
    </sheetView>
  </sheetViews>
  <sheetFormatPr defaultColWidth="8.85546875" defaultRowHeight="15"/>
  <cols>
    <col min="1" max="1" width="5.85546875" style="39" customWidth="1"/>
    <col min="2" max="2" width="9.85546875" style="39" customWidth="1"/>
    <col min="3" max="3" width="6.7109375" style="50" customWidth="1"/>
    <col min="4" max="4" width="8" style="50" customWidth="1"/>
    <col min="5" max="5" width="10.42578125" style="50" customWidth="1"/>
    <col min="6" max="6" width="16.85546875" style="50" bestFit="1" customWidth="1"/>
    <col min="7" max="7" width="9.140625" style="50" customWidth="1"/>
    <col min="8" max="8" width="10" style="50" customWidth="1"/>
    <col min="9" max="9" width="10.140625" style="50" customWidth="1"/>
    <col min="10" max="10" width="10" style="53" customWidth="1"/>
    <col min="11" max="11" width="8.28515625" style="53" hidden="1" customWidth="1"/>
    <col min="12" max="12" width="8.85546875" style="39" hidden="1" customWidth="1"/>
    <col min="13" max="13" width="12.140625" style="39" customWidth="1"/>
    <col min="14" max="14" width="9.42578125" style="39" customWidth="1"/>
    <col min="15" max="15" width="10.42578125" style="39" customWidth="1"/>
    <col min="16" max="16384" width="8.85546875" style="39"/>
  </cols>
  <sheetData>
    <row r="4" spans="1:14">
      <c r="A4" s="38"/>
      <c r="B4" s="520"/>
      <c r="C4" s="520"/>
      <c r="D4" s="520"/>
      <c r="E4" s="520"/>
      <c r="F4" s="520"/>
      <c r="G4" s="520"/>
      <c r="H4" s="520"/>
      <c r="I4" s="520"/>
      <c r="J4" s="520"/>
      <c r="K4" s="520"/>
    </row>
    <row r="5" spans="1:14" ht="75">
      <c r="A5" s="38" t="s">
        <v>64</v>
      </c>
      <c r="B5" s="40" t="s">
        <v>65</v>
      </c>
      <c r="C5" s="41" t="s">
        <v>66</v>
      </c>
      <c r="D5" s="41" t="s">
        <v>67</v>
      </c>
      <c r="E5" s="41" t="s">
        <v>68</v>
      </c>
      <c r="F5" s="41" t="s">
        <v>69</v>
      </c>
      <c r="G5" s="41" t="s">
        <v>70</v>
      </c>
      <c r="H5" s="41" t="s">
        <v>71</v>
      </c>
      <c r="I5" s="41" t="s">
        <v>72</v>
      </c>
      <c r="J5" s="42" t="s">
        <v>73</v>
      </c>
      <c r="K5" s="42"/>
      <c r="M5" s="56" t="s">
        <v>85</v>
      </c>
      <c r="N5" s="56" t="s">
        <v>86</v>
      </c>
    </row>
    <row r="6" spans="1:14">
      <c r="A6" s="38">
        <v>1</v>
      </c>
      <c r="B6" s="43" t="s">
        <v>74</v>
      </c>
      <c r="C6" s="43">
        <v>1</v>
      </c>
      <c r="D6" s="38">
        <v>164.85</v>
      </c>
      <c r="E6" s="38"/>
      <c r="F6" s="44">
        <f t="shared" ref="F6:F12" si="0">D6*10.764</f>
        <v>1774.4453999999998</v>
      </c>
      <c r="G6" s="44"/>
      <c r="H6" s="44"/>
      <c r="I6" s="44"/>
      <c r="J6" s="45">
        <f>F6*2</f>
        <v>3548.8907999999997</v>
      </c>
      <c r="K6" s="45"/>
    </row>
    <row r="7" spans="1:14">
      <c r="A7" s="38">
        <v>2</v>
      </c>
      <c r="B7" s="43" t="s">
        <v>74</v>
      </c>
      <c r="C7" s="43">
        <v>2</v>
      </c>
      <c r="D7" s="38">
        <v>146.31</v>
      </c>
      <c r="E7" s="38"/>
      <c r="F7" s="44">
        <f t="shared" si="0"/>
        <v>1574.88084</v>
      </c>
      <c r="G7" s="44"/>
      <c r="H7" s="44"/>
      <c r="I7" s="44"/>
      <c r="J7" s="45">
        <f t="shared" ref="J7:J12" si="1">F7*2</f>
        <v>3149.7616800000001</v>
      </c>
      <c r="K7" s="45"/>
    </row>
    <row r="8" spans="1:14">
      <c r="A8" s="38">
        <v>3</v>
      </c>
      <c r="B8" s="43" t="s">
        <v>74</v>
      </c>
      <c r="C8" s="43">
        <v>3</v>
      </c>
      <c r="D8" s="38">
        <v>146.31</v>
      </c>
      <c r="E8" s="38"/>
      <c r="F8" s="44">
        <f t="shared" si="0"/>
        <v>1574.88084</v>
      </c>
      <c r="G8" s="44"/>
      <c r="H8" s="44"/>
      <c r="I8" s="44"/>
      <c r="J8" s="45">
        <f t="shared" si="1"/>
        <v>3149.7616800000001</v>
      </c>
      <c r="K8" s="45"/>
    </row>
    <row r="9" spans="1:14">
      <c r="A9" s="38">
        <v>4</v>
      </c>
      <c r="B9" s="43" t="s">
        <v>74</v>
      </c>
      <c r="C9" s="43">
        <v>4</v>
      </c>
      <c r="D9" s="38">
        <v>164.85</v>
      </c>
      <c r="E9" s="38"/>
      <c r="F9" s="44">
        <f t="shared" si="0"/>
        <v>1774.4453999999998</v>
      </c>
      <c r="G9" s="44"/>
      <c r="H9" s="44"/>
      <c r="I9" s="44"/>
      <c r="J9" s="45">
        <f t="shared" si="1"/>
        <v>3548.8907999999997</v>
      </c>
      <c r="K9" s="45"/>
    </row>
    <row r="10" spans="1:14">
      <c r="A10" s="38">
        <v>5</v>
      </c>
      <c r="B10" s="43" t="s">
        <v>74</v>
      </c>
      <c r="C10" s="43">
        <v>5</v>
      </c>
      <c r="D10" s="46">
        <v>48.6</v>
      </c>
      <c r="E10" s="46"/>
      <c r="F10" s="44">
        <f t="shared" si="0"/>
        <v>523.13040000000001</v>
      </c>
      <c r="G10" s="44"/>
      <c r="H10" s="44"/>
      <c r="I10" s="44"/>
      <c r="J10" s="45">
        <f t="shared" si="1"/>
        <v>1046.2608</v>
      </c>
      <c r="K10" s="45"/>
    </row>
    <row r="11" spans="1:14">
      <c r="A11" s="38">
        <v>6</v>
      </c>
      <c r="B11" s="43" t="s">
        <v>74</v>
      </c>
      <c r="C11" s="43">
        <v>6</v>
      </c>
      <c r="D11" s="38">
        <v>29.68</v>
      </c>
      <c r="E11" s="38"/>
      <c r="F11" s="44">
        <f t="shared" si="0"/>
        <v>319.47551999999996</v>
      </c>
      <c r="G11" s="44"/>
      <c r="H11" s="44"/>
      <c r="I11" s="44"/>
      <c r="J11" s="45">
        <f t="shared" si="1"/>
        <v>638.95103999999992</v>
      </c>
      <c r="K11" s="45"/>
    </row>
    <row r="12" spans="1:14">
      <c r="A12" s="38">
        <v>7</v>
      </c>
      <c r="B12" s="43" t="s">
        <v>74</v>
      </c>
      <c r="C12" s="43">
        <v>7</v>
      </c>
      <c r="D12" s="38">
        <v>27.72</v>
      </c>
      <c r="E12" s="38"/>
      <c r="F12" s="44">
        <f t="shared" si="0"/>
        <v>298.37807999999995</v>
      </c>
      <c r="G12" s="44"/>
      <c r="H12" s="44"/>
      <c r="I12" s="44"/>
      <c r="J12" s="45">
        <f t="shared" si="1"/>
        <v>596.75615999999991</v>
      </c>
      <c r="K12" s="45"/>
    </row>
    <row r="13" spans="1:14">
      <c r="A13" s="38">
        <v>8</v>
      </c>
      <c r="B13" s="43" t="s">
        <v>75</v>
      </c>
      <c r="C13" s="43" t="s">
        <v>76</v>
      </c>
      <c r="D13" s="38">
        <v>164.85</v>
      </c>
      <c r="E13" s="38"/>
      <c r="F13" s="44">
        <f t="shared" ref="F13:F23" si="2">D13*10.764</f>
        <v>1774.4453999999998</v>
      </c>
      <c r="G13" s="44"/>
      <c r="H13" s="44"/>
      <c r="I13" s="44"/>
      <c r="J13" s="45">
        <f t="shared" ref="J13:J23" si="3">F13*1.75</f>
        <v>3105.2794499999995</v>
      </c>
      <c r="K13" s="45"/>
    </row>
    <row r="14" spans="1:14">
      <c r="A14" s="38">
        <v>9</v>
      </c>
      <c r="B14" s="43" t="s">
        <v>75</v>
      </c>
      <c r="C14" s="43" t="s">
        <v>77</v>
      </c>
      <c r="D14" s="38">
        <v>146.31</v>
      </c>
      <c r="E14" s="38"/>
      <c r="F14" s="44">
        <f t="shared" si="2"/>
        <v>1574.88084</v>
      </c>
      <c r="G14" s="44"/>
      <c r="H14" s="44"/>
      <c r="I14" s="44"/>
      <c r="J14" s="45">
        <f t="shared" si="3"/>
        <v>2756.0414700000001</v>
      </c>
      <c r="K14" s="45"/>
    </row>
    <row r="15" spans="1:14">
      <c r="A15" s="38">
        <v>10</v>
      </c>
      <c r="B15" s="43" t="s">
        <v>75</v>
      </c>
      <c r="C15" s="43" t="s">
        <v>78</v>
      </c>
      <c r="D15" s="38">
        <v>146.31</v>
      </c>
      <c r="E15" s="38"/>
      <c r="F15" s="44">
        <f t="shared" si="2"/>
        <v>1574.88084</v>
      </c>
      <c r="G15" s="44"/>
      <c r="H15" s="44"/>
      <c r="I15" s="44"/>
      <c r="J15" s="45">
        <f t="shared" si="3"/>
        <v>2756.0414700000001</v>
      </c>
      <c r="K15" s="45"/>
    </row>
    <row r="16" spans="1:14">
      <c r="A16" s="38">
        <v>11</v>
      </c>
      <c r="B16" s="43" t="s">
        <v>75</v>
      </c>
      <c r="C16" s="43" t="s">
        <v>79</v>
      </c>
      <c r="D16" s="38">
        <v>164.85</v>
      </c>
      <c r="E16" s="38"/>
      <c r="F16" s="44">
        <f t="shared" si="2"/>
        <v>1774.4453999999998</v>
      </c>
      <c r="G16" s="44"/>
      <c r="H16" s="44"/>
      <c r="I16" s="44"/>
      <c r="J16" s="45">
        <f t="shared" si="3"/>
        <v>3105.2794499999995</v>
      </c>
      <c r="K16" s="45"/>
    </row>
    <row r="17" spans="1:11">
      <c r="A17" s="38">
        <v>12</v>
      </c>
      <c r="B17" s="43" t="s">
        <v>75</v>
      </c>
      <c r="C17" s="43" t="s">
        <v>80</v>
      </c>
      <c r="D17" s="38">
        <v>373.21</v>
      </c>
      <c r="E17" s="38"/>
      <c r="F17" s="44">
        <f t="shared" si="2"/>
        <v>4017.2324399999993</v>
      </c>
      <c r="G17" s="44"/>
      <c r="H17" s="44"/>
      <c r="I17" s="44"/>
      <c r="J17" s="45">
        <f t="shared" si="3"/>
        <v>7030.1567699999987</v>
      </c>
      <c r="K17" s="45"/>
    </row>
    <row r="18" spans="1:11">
      <c r="A18" s="38">
        <v>13</v>
      </c>
      <c r="B18" s="43" t="s">
        <v>81</v>
      </c>
      <c r="C18" s="43" t="s">
        <v>76</v>
      </c>
      <c r="D18" s="38">
        <v>278.16000000000003</v>
      </c>
      <c r="E18" s="38"/>
      <c r="F18" s="54">
        <f t="shared" si="2"/>
        <v>2994.1142399999999</v>
      </c>
      <c r="G18" s="47"/>
      <c r="H18" s="47"/>
      <c r="I18" s="47"/>
      <c r="J18" s="55">
        <f t="shared" si="3"/>
        <v>5239.69992</v>
      </c>
      <c r="K18" s="48"/>
    </row>
    <row r="19" spans="1:11">
      <c r="A19" s="38">
        <v>14</v>
      </c>
      <c r="B19" s="43" t="s">
        <v>82</v>
      </c>
      <c r="C19" s="43" t="s">
        <v>76</v>
      </c>
      <c r="D19" s="38">
        <v>95.02</v>
      </c>
      <c r="E19" s="38"/>
      <c r="F19" s="44">
        <f t="shared" si="2"/>
        <v>1022.7952799999999</v>
      </c>
      <c r="G19" s="44"/>
      <c r="H19" s="44"/>
      <c r="I19" s="44"/>
      <c r="J19" s="45">
        <f t="shared" si="3"/>
        <v>1789.8917399999998</v>
      </c>
      <c r="K19" s="45"/>
    </row>
    <row r="20" spans="1:11">
      <c r="A20" s="38">
        <v>15</v>
      </c>
      <c r="B20" s="43" t="s">
        <v>82</v>
      </c>
      <c r="C20" s="43" t="s">
        <v>77</v>
      </c>
      <c r="D20" s="38">
        <v>70.41</v>
      </c>
      <c r="E20" s="38"/>
      <c r="F20" s="44">
        <f t="shared" si="2"/>
        <v>757.89323999999988</v>
      </c>
      <c r="G20" s="44"/>
      <c r="H20" s="44"/>
      <c r="I20" s="44"/>
      <c r="J20" s="45">
        <f t="shared" si="3"/>
        <v>1326.3131699999999</v>
      </c>
      <c r="K20" s="45"/>
    </row>
    <row r="21" spans="1:11">
      <c r="A21" s="38">
        <v>16</v>
      </c>
      <c r="B21" s="43" t="s">
        <v>82</v>
      </c>
      <c r="C21" s="43" t="s">
        <v>78</v>
      </c>
      <c r="D21" s="38">
        <v>73.239999999999995</v>
      </c>
      <c r="E21" s="38"/>
      <c r="F21" s="44">
        <f t="shared" si="2"/>
        <v>788.35535999999991</v>
      </c>
      <c r="G21" s="44"/>
      <c r="H21" s="44"/>
      <c r="I21" s="44"/>
      <c r="J21" s="45">
        <f t="shared" si="3"/>
        <v>1379.6218799999999</v>
      </c>
      <c r="K21" s="45"/>
    </row>
    <row r="22" spans="1:11">
      <c r="A22" s="38">
        <v>17</v>
      </c>
      <c r="B22" s="43" t="s">
        <v>82</v>
      </c>
      <c r="C22" s="43" t="s">
        <v>79</v>
      </c>
      <c r="D22" s="38">
        <v>95.02</v>
      </c>
      <c r="E22" s="38"/>
      <c r="F22" s="44">
        <f t="shared" si="2"/>
        <v>1022.7952799999999</v>
      </c>
      <c r="G22" s="44"/>
      <c r="H22" s="44"/>
      <c r="I22" s="44"/>
      <c r="J22" s="45">
        <f t="shared" si="3"/>
        <v>1789.8917399999998</v>
      </c>
      <c r="K22" s="45"/>
    </row>
    <row r="23" spans="1:11">
      <c r="A23" s="38">
        <v>18</v>
      </c>
      <c r="B23" s="43" t="s">
        <v>82</v>
      </c>
      <c r="C23" s="43" t="s">
        <v>80</v>
      </c>
      <c r="D23" s="38">
        <v>278.16000000000003</v>
      </c>
      <c r="E23" s="38"/>
      <c r="F23" s="44">
        <f t="shared" si="2"/>
        <v>2994.1142399999999</v>
      </c>
      <c r="G23" s="44"/>
      <c r="H23" s="44"/>
      <c r="I23" s="44"/>
      <c r="J23" s="45">
        <f t="shared" si="3"/>
        <v>5239.69992</v>
      </c>
      <c r="K23" s="45"/>
    </row>
    <row r="24" spans="1:11">
      <c r="A24" s="38">
        <v>19</v>
      </c>
      <c r="B24" s="43" t="s">
        <v>83</v>
      </c>
      <c r="C24" s="43">
        <v>101</v>
      </c>
      <c r="D24" s="43">
        <v>67.02</v>
      </c>
      <c r="E24" s="43">
        <v>3.94</v>
      </c>
      <c r="F24" s="44">
        <f t="shared" ref="F24:G48" si="4">D24*10.764</f>
        <v>721.40327999999988</v>
      </c>
      <c r="G24" s="44">
        <f>E24*10.764</f>
        <v>42.410159999999998</v>
      </c>
      <c r="H24" s="44">
        <f>D24+E24</f>
        <v>70.959999999999994</v>
      </c>
      <c r="I24" s="44">
        <f>F24+G24</f>
        <v>763.8134399999999</v>
      </c>
      <c r="J24" s="45">
        <v>1210</v>
      </c>
      <c r="K24" s="45">
        <f>F24*65%</f>
        <v>468.91213199999993</v>
      </c>
    </row>
    <row r="25" spans="1:11">
      <c r="A25" s="38">
        <v>20</v>
      </c>
      <c r="B25" s="43" t="s">
        <v>84</v>
      </c>
      <c r="C25" s="43">
        <v>102</v>
      </c>
      <c r="D25" s="44">
        <v>87.9</v>
      </c>
      <c r="E25" s="43">
        <v>3.81</v>
      </c>
      <c r="F25" s="44">
        <f t="shared" si="4"/>
        <v>946.15560000000005</v>
      </c>
      <c r="G25" s="44">
        <f t="shared" si="4"/>
        <v>41.010839999999995</v>
      </c>
      <c r="H25" s="44">
        <f t="shared" ref="H25:H88" si="5">D25+E25</f>
        <v>91.710000000000008</v>
      </c>
      <c r="I25" s="44">
        <f t="shared" ref="I25:I88" si="6">F25+G25</f>
        <v>987.16644000000008</v>
      </c>
      <c r="J25" s="45">
        <v>1555</v>
      </c>
      <c r="K25" s="45">
        <f t="shared" ref="K25:K88" si="7">F25*65%</f>
        <v>615.00114000000008</v>
      </c>
    </row>
    <row r="26" spans="1:11">
      <c r="A26" s="38">
        <v>21</v>
      </c>
      <c r="B26" s="43" t="s">
        <v>84</v>
      </c>
      <c r="C26" s="43">
        <v>103</v>
      </c>
      <c r="D26" s="43">
        <v>44.09</v>
      </c>
      <c r="E26" s="43">
        <v>3.96</v>
      </c>
      <c r="F26" s="44">
        <f t="shared" si="4"/>
        <v>474.58476000000002</v>
      </c>
      <c r="G26" s="44">
        <f t="shared" si="4"/>
        <v>42.625439999999998</v>
      </c>
      <c r="H26" s="44">
        <f t="shared" si="5"/>
        <v>48.050000000000004</v>
      </c>
      <c r="I26" s="44">
        <f t="shared" si="6"/>
        <v>517.21019999999999</v>
      </c>
      <c r="J26" s="45">
        <v>795</v>
      </c>
      <c r="K26" s="45">
        <f t="shared" si="7"/>
        <v>308.48009400000001</v>
      </c>
    </row>
    <row r="27" spans="1:11">
      <c r="A27" s="38">
        <v>22</v>
      </c>
      <c r="B27" s="43" t="s">
        <v>84</v>
      </c>
      <c r="C27" s="43">
        <v>104</v>
      </c>
      <c r="D27" s="43">
        <v>44.35</v>
      </c>
      <c r="E27" s="43">
        <v>3.78</v>
      </c>
      <c r="F27" s="44">
        <f t="shared" si="4"/>
        <v>477.38339999999999</v>
      </c>
      <c r="G27" s="44">
        <f t="shared" si="4"/>
        <v>40.687919999999998</v>
      </c>
      <c r="H27" s="44">
        <f t="shared" si="5"/>
        <v>48.13</v>
      </c>
      <c r="I27" s="44">
        <f t="shared" si="6"/>
        <v>518.07132000000001</v>
      </c>
      <c r="J27" s="45">
        <v>795</v>
      </c>
      <c r="K27" s="45">
        <f t="shared" si="7"/>
        <v>310.29921000000002</v>
      </c>
    </row>
    <row r="28" spans="1:11">
      <c r="A28" s="38">
        <v>23</v>
      </c>
      <c r="B28" s="43" t="s">
        <v>84</v>
      </c>
      <c r="C28" s="43">
        <v>105</v>
      </c>
      <c r="D28" s="43">
        <v>44.35</v>
      </c>
      <c r="E28" s="43">
        <v>3.78</v>
      </c>
      <c r="F28" s="44">
        <f t="shared" si="4"/>
        <v>477.38339999999999</v>
      </c>
      <c r="G28" s="44">
        <f t="shared" si="4"/>
        <v>40.687919999999998</v>
      </c>
      <c r="H28" s="44">
        <f t="shared" si="5"/>
        <v>48.13</v>
      </c>
      <c r="I28" s="44">
        <f t="shared" si="6"/>
        <v>518.07132000000001</v>
      </c>
      <c r="J28" s="45">
        <v>795</v>
      </c>
      <c r="K28" s="45">
        <f t="shared" si="7"/>
        <v>310.29921000000002</v>
      </c>
    </row>
    <row r="29" spans="1:11">
      <c r="A29" s="38">
        <v>24</v>
      </c>
      <c r="B29" s="43" t="s">
        <v>84</v>
      </c>
      <c r="C29" s="43">
        <v>106</v>
      </c>
      <c r="D29" s="43">
        <v>44.09</v>
      </c>
      <c r="E29" s="43">
        <v>3.96</v>
      </c>
      <c r="F29" s="44">
        <f t="shared" si="4"/>
        <v>474.58476000000002</v>
      </c>
      <c r="G29" s="44">
        <f t="shared" si="4"/>
        <v>42.625439999999998</v>
      </c>
      <c r="H29" s="44">
        <f t="shared" si="5"/>
        <v>48.050000000000004</v>
      </c>
      <c r="I29" s="44">
        <f t="shared" si="6"/>
        <v>517.21019999999999</v>
      </c>
      <c r="J29" s="45">
        <v>795</v>
      </c>
      <c r="K29" s="45">
        <f t="shared" si="7"/>
        <v>308.48009400000001</v>
      </c>
    </row>
    <row r="30" spans="1:11">
      <c r="A30" s="38">
        <v>25</v>
      </c>
      <c r="B30" s="43" t="s">
        <v>84</v>
      </c>
      <c r="C30" s="43">
        <v>107</v>
      </c>
      <c r="D30" s="44">
        <v>95.39</v>
      </c>
      <c r="E30" s="44">
        <v>3.81</v>
      </c>
      <c r="F30" s="44">
        <f t="shared" si="4"/>
        <v>1026.7779599999999</v>
      </c>
      <c r="G30" s="44">
        <f t="shared" si="4"/>
        <v>41.010839999999995</v>
      </c>
      <c r="H30" s="44">
        <f t="shared" si="5"/>
        <v>99.2</v>
      </c>
      <c r="I30" s="44">
        <f t="shared" si="6"/>
        <v>1067.7887999999998</v>
      </c>
      <c r="J30" s="45">
        <v>1690</v>
      </c>
      <c r="K30" s="45">
        <f t="shared" si="7"/>
        <v>667.40567399999998</v>
      </c>
    </row>
    <row r="31" spans="1:11">
      <c r="A31" s="38">
        <v>26</v>
      </c>
      <c r="B31" s="43" t="s">
        <v>84</v>
      </c>
      <c r="C31" s="43">
        <v>108</v>
      </c>
      <c r="D31" s="43">
        <v>67.02</v>
      </c>
      <c r="E31" s="43">
        <v>3.94</v>
      </c>
      <c r="F31" s="44">
        <f t="shared" si="4"/>
        <v>721.40327999999988</v>
      </c>
      <c r="G31" s="44">
        <f t="shared" si="4"/>
        <v>42.410159999999998</v>
      </c>
      <c r="H31" s="44">
        <f t="shared" si="5"/>
        <v>70.959999999999994</v>
      </c>
      <c r="I31" s="44">
        <f t="shared" si="6"/>
        <v>763.8134399999999</v>
      </c>
      <c r="J31" s="45">
        <v>1210</v>
      </c>
      <c r="K31" s="45">
        <f t="shared" si="7"/>
        <v>468.91213199999993</v>
      </c>
    </row>
    <row r="32" spans="1:11">
      <c r="A32" s="38">
        <v>27</v>
      </c>
      <c r="B32" s="43" t="s">
        <v>84</v>
      </c>
      <c r="C32" s="43">
        <v>109</v>
      </c>
      <c r="D32" s="44">
        <v>41.9</v>
      </c>
      <c r="E32" s="43">
        <v>3.57</v>
      </c>
      <c r="F32" s="44">
        <f t="shared" si="4"/>
        <v>451.01159999999993</v>
      </c>
      <c r="G32" s="44">
        <f t="shared" si="4"/>
        <v>38.427479999999996</v>
      </c>
      <c r="H32" s="44">
        <f t="shared" si="5"/>
        <v>45.47</v>
      </c>
      <c r="I32" s="44">
        <f t="shared" si="6"/>
        <v>489.43907999999993</v>
      </c>
      <c r="J32" s="45">
        <v>760</v>
      </c>
      <c r="K32" s="45">
        <f t="shared" si="7"/>
        <v>293.15753999999998</v>
      </c>
    </row>
    <row r="33" spans="1:11">
      <c r="A33" s="38">
        <v>28</v>
      </c>
      <c r="B33" s="43" t="s">
        <v>84</v>
      </c>
      <c r="C33" s="43">
        <v>110</v>
      </c>
      <c r="D33" s="44">
        <v>41.3</v>
      </c>
      <c r="E33" s="44">
        <v>3.39</v>
      </c>
      <c r="F33" s="44">
        <f t="shared" si="4"/>
        <v>444.55319999999995</v>
      </c>
      <c r="G33" s="44">
        <f t="shared" si="4"/>
        <v>36.489959999999996</v>
      </c>
      <c r="H33" s="44">
        <f t="shared" si="5"/>
        <v>44.69</v>
      </c>
      <c r="I33" s="44">
        <f t="shared" si="6"/>
        <v>481.04315999999994</v>
      </c>
      <c r="J33" s="45">
        <v>750</v>
      </c>
      <c r="K33" s="45">
        <f t="shared" si="7"/>
        <v>288.95957999999996</v>
      </c>
    </row>
    <row r="34" spans="1:11">
      <c r="A34" s="38">
        <v>29</v>
      </c>
      <c r="B34" s="43" t="s">
        <v>84</v>
      </c>
      <c r="C34" s="43">
        <v>111</v>
      </c>
      <c r="D34" s="44">
        <v>41.3</v>
      </c>
      <c r="E34" s="44">
        <v>3.39</v>
      </c>
      <c r="F34" s="44">
        <f t="shared" si="4"/>
        <v>444.55319999999995</v>
      </c>
      <c r="G34" s="44">
        <f t="shared" si="4"/>
        <v>36.489959999999996</v>
      </c>
      <c r="H34" s="44">
        <f t="shared" si="5"/>
        <v>44.69</v>
      </c>
      <c r="I34" s="44">
        <f t="shared" si="6"/>
        <v>481.04315999999994</v>
      </c>
      <c r="J34" s="45">
        <v>750</v>
      </c>
      <c r="K34" s="45">
        <f t="shared" si="7"/>
        <v>288.95957999999996</v>
      </c>
    </row>
    <row r="35" spans="1:11">
      <c r="A35" s="38">
        <v>30</v>
      </c>
      <c r="B35" s="43" t="s">
        <v>84</v>
      </c>
      <c r="C35" s="43">
        <v>112</v>
      </c>
      <c r="D35" s="44">
        <v>41.9</v>
      </c>
      <c r="E35" s="43">
        <v>3.57</v>
      </c>
      <c r="F35" s="44">
        <f t="shared" si="4"/>
        <v>451.01159999999993</v>
      </c>
      <c r="G35" s="44">
        <f t="shared" si="4"/>
        <v>38.427479999999996</v>
      </c>
      <c r="H35" s="44">
        <f t="shared" si="5"/>
        <v>45.47</v>
      </c>
      <c r="I35" s="44">
        <f t="shared" si="6"/>
        <v>489.43907999999993</v>
      </c>
      <c r="J35" s="45">
        <v>760</v>
      </c>
      <c r="K35" s="45">
        <f t="shared" si="7"/>
        <v>293.15753999999998</v>
      </c>
    </row>
    <row r="36" spans="1:11">
      <c r="A36" s="38">
        <v>31</v>
      </c>
      <c r="B36" s="43" t="s">
        <v>84</v>
      </c>
      <c r="C36" s="43">
        <v>201</v>
      </c>
      <c r="D36" s="43">
        <v>67.02</v>
      </c>
      <c r="E36" s="43">
        <v>3.94</v>
      </c>
      <c r="F36" s="44">
        <f t="shared" si="4"/>
        <v>721.40327999999988</v>
      </c>
      <c r="G36" s="44">
        <f t="shared" si="4"/>
        <v>42.410159999999998</v>
      </c>
      <c r="H36" s="44">
        <f t="shared" si="5"/>
        <v>70.959999999999994</v>
      </c>
      <c r="I36" s="44">
        <f t="shared" si="6"/>
        <v>763.8134399999999</v>
      </c>
      <c r="J36" s="45">
        <v>1210</v>
      </c>
      <c r="K36" s="45">
        <f t="shared" si="7"/>
        <v>468.91213199999993</v>
      </c>
    </row>
    <row r="37" spans="1:11">
      <c r="A37" s="38">
        <v>32</v>
      </c>
      <c r="B37" s="43" t="s">
        <v>84</v>
      </c>
      <c r="C37" s="43">
        <v>202</v>
      </c>
      <c r="D37" s="43">
        <v>95.39</v>
      </c>
      <c r="E37" s="43">
        <v>3.81</v>
      </c>
      <c r="F37" s="44">
        <f t="shared" si="4"/>
        <v>1026.7779599999999</v>
      </c>
      <c r="G37" s="44">
        <f t="shared" si="4"/>
        <v>41.010839999999995</v>
      </c>
      <c r="H37" s="44">
        <f t="shared" si="5"/>
        <v>99.2</v>
      </c>
      <c r="I37" s="44">
        <f t="shared" si="6"/>
        <v>1067.7887999999998</v>
      </c>
      <c r="J37" s="45">
        <v>1690</v>
      </c>
      <c r="K37" s="45">
        <f t="shared" si="7"/>
        <v>667.40567399999998</v>
      </c>
    </row>
    <row r="38" spans="1:11">
      <c r="A38" s="38">
        <v>33</v>
      </c>
      <c r="B38" s="43" t="s">
        <v>84</v>
      </c>
      <c r="C38" s="43">
        <v>203</v>
      </c>
      <c r="D38" s="43">
        <v>44.09</v>
      </c>
      <c r="E38" s="43">
        <v>3.96</v>
      </c>
      <c r="F38" s="44">
        <f t="shared" si="4"/>
        <v>474.58476000000002</v>
      </c>
      <c r="G38" s="44">
        <f t="shared" si="4"/>
        <v>42.625439999999998</v>
      </c>
      <c r="H38" s="44">
        <f t="shared" si="5"/>
        <v>48.050000000000004</v>
      </c>
      <c r="I38" s="44">
        <f t="shared" si="6"/>
        <v>517.21019999999999</v>
      </c>
      <c r="J38" s="45">
        <v>795</v>
      </c>
      <c r="K38" s="45">
        <f t="shared" si="7"/>
        <v>308.48009400000001</v>
      </c>
    </row>
    <row r="39" spans="1:11">
      <c r="A39" s="38">
        <v>34</v>
      </c>
      <c r="B39" s="43" t="s">
        <v>84</v>
      </c>
      <c r="C39" s="43">
        <v>206</v>
      </c>
      <c r="D39" s="43">
        <v>44.09</v>
      </c>
      <c r="E39" s="43">
        <v>3.96</v>
      </c>
      <c r="F39" s="44">
        <f t="shared" si="4"/>
        <v>474.58476000000002</v>
      </c>
      <c r="G39" s="44">
        <f t="shared" si="4"/>
        <v>42.625439999999998</v>
      </c>
      <c r="H39" s="44">
        <f t="shared" si="5"/>
        <v>48.050000000000004</v>
      </c>
      <c r="I39" s="44">
        <f t="shared" si="6"/>
        <v>517.21019999999999</v>
      </c>
      <c r="J39" s="45">
        <v>795</v>
      </c>
      <c r="K39" s="45">
        <f t="shared" si="7"/>
        <v>308.48009400000001</v>
      </c>
    </row>
    <row r="40" spans="1:11">
      <c r="A40" s="38">
        <v>35</v>
      </c>
      <c r="B40" s="43" t="s">
        <v>84</v>
      </c>
      <c r="C40" s="43">
        <v>207</v>
      </c>
      <c r="D40" s="44">
        <v>95.39</v>
      </c>
      <c r="E40" s="44">
        <v>3.81</v>
      </c>
      <c r="F40" s="44">
        <f t="shared" si="4"/>
        <v>1026.7779599999999</v>
      </c>
      <c r="G40" s="44">
        <f t="shared" si="4"/>
        <v>41.010839999999995</v>
      </c>
      <c r="H40" s="44">
        <f t="shared" si="5"/>
        <v>99.2</v>
      </c>
      <c r="I40" s="44">
        <f t="shared" si="6"/>
        <v>1067.7887999999998</v>
      </c>
      <c r="J40" s="45">
        <v>1690</v>
      </c>
      <c r="K40" s="45">
        <f t="shared" si="7"/>
        <v>667.40567399999998</v>
      </c>
    </row>
    <row r="41" spans="1:11">
      <c r="A41" s="38">
        <v>36</v>
      </c>
      <c r="B41" s="43" t="s">
        <v>84</v>
      </c>
      <c r="C41" s="43">
        <v>208</v>
      </c>
      <c r="D41" s="43">
        <v>67.02</v>
      </c>
      <c r="E41" s="43">
        <v>3.94</v>
      </c>
      <c r="F41" s="44">
        <f t="shared" si="4"/>
        <v>721.40327999999988</v>
      </c>
      <c r="G41" s="44">
        <f t="shared" si="4"/>
        <v>42.410159999999998</v>
      </c>
      <c r="H41" s="44">
        <f t="shared" si="5"/>
        <v>70.959999999999994</v>
      </c>
      <c r="I41" s="44">
        <f t="shared" si="6"/>
        <v>763.8134399999999</v>
      </c>
      <c r="J41" s="45">
        <v>1210</v>
      </c>
      <c r="K41" s="45">
        <f t="shared" si="7"/>
        <v>468.91213199999993</v>
      </c>
    </row>
    <row r="42" spans="1:11">
      <c r="A42" s="38">
        <v>37</v>
      </c>
      <c r="B42" s="43" t="s">
        <v>84</v>
      </c>
      <c r="C42" s="43">
        <v>209</v>
      </c>
      <c r="D42" s="44">
        <v>41.9</v>
      </c>
      <c r="E42" s="43">
        <v>3.57</v>
      </c>
      <c r="F42" s="44">
        <f t="shared" si="4"/>
        <v>451.01159999999993</v>
      </c>
      <c r="G42" s="44">
        <f t="shared" si="4"/>
        <v>38.427479999999996</v>
      </c>
      <c r="H42" s="44">
        <f t="shared" si="5"/>
        <v>45.47</v>
      </c>
      <c r="I42" s="44">
        <f t="shared" si="6"/>
        <v>489.43907999999993</v>
      </c>
      <c r="J42" s="45">
        <v>760</v>
      </c>
      <c r="K42" s="45">
        <f t="shared" si="7"/>
        <v>293.15753999999998</v>
      </c>
    </row>
    <row r="43" spans="1:11">
      <c r="A43" s="38">
        <v>38</v>
      </c>
      <c r="B43" s="43" t="s">
        <v>84</v>
      </c>
      <c r="C43" s="43">
        <v>210</v>
      </c>
      <c r="D43" s="44">
        <v>41.3</v>
      </c>
      <c r="E43" s="44">
        <v>3.39</v>
      </c>
      <c r="F43" s="44">
        <f t="shared" si="4"/>
        <v>444.55319999999995</v>
      </c>
      <c r="G43" s="44">
        <f t="shared" si="4"/>
        <v>36.489959999999996</v>
      </c>
      <c r="H43" s="44">
        <f t="shared" si="5"/>
        <v>44.69</v>
      </c>
      <c r="I43" s="44">
        <f t="shared" si="6"/>
        <v>481.04315999999994</v>
      </c>
      <c r="J43" s="45">
        <v>750</v>
      </c>
      <c r="K43" s="45">
        <f t="shared" si="7"/>
        <v>288.95957999999996</v>
      </c>
    </row>
    <row r="44" spans="1:11">
      <c r="A44" s="38">
        <v>39</v>
      </c>
      <c r="B44" s="43" t="s">
        <v>84</v>
      </c>
      <c r="C44" s="43">
        <v>211</v>
      </c>
      <c r="D44" s="44">
        <v>41.3</v>
      </c>
      <c r="E44" s="44">
        <v>3.39</v>
      </c>
      <c r="F44" s="44">
        <f t="shared" si="4"/>
        <v>444.55319999999995</v>
      </c>
      <c r="G44" s="44">
        <f t="shared" si="4"/>
        <v>36.489959999999996</v>
      </c>
      <c r="H44" s="44">
        <f t="shared" si="5"/>
        <v>44.69</v>
      </c>
      <c r="I44" s="44">
        <f t="shared" si="6"/>
        <v>481.04315999999994</v>
      </c>
      <c r="J44" s="45">
        <v>750</v>
      </c>
      <c r="K44" s="45">
        <f t="shared" si="7"/>
        <v>288.95957999999996</v>
      </c>
    </row>
    <row r="45" spans="1:11">
      <c r="A45" s="38">
        <v>40</v>
      </c>
      <c r="B45" s="43" t="s">
        <v>84</v>
      </c>
      <c r="C45" s="43">
        <v>212</v>
      </c>
      <c r="D45" s="44">
        <v>41.9</v>
      </c>
      <c r="E45" s="43">
        <v>3.57</v>
      </c>
      <c r="F45" s="44">
        <f t="shared" si="4"/>
        <v>451.01159999999993</v>
      </c>
      <c r="G45" s="44">
        <f t="shared" si="4"/>
        <v>38.427479999999996</v>
      </c>
      <c r="H45" s="44">
        <f t="shared" si="5"/>
        <v>45.47</v>
      </c>
      <c r="I45" s="44">
        <f t="shared" si="6"/>
        <v>489.43907999999993</v>
      </c>
      <c r="J45" s="45">
        <v>760</v>
      </c>
      <c r="K45" s="45">
        <f t="shared" si="7"/>
        <v>293.15753999999998</v>
      </c>
    </row>
    <row r="46" spans="1:11">
      <c r="A46" s="38">
        <v>41</v>
      </c>
      <c r="B46" s="43" t="s">
        <v>84</v>
      </c>
      <c r="C46" s="43">
        <v>301</v>
      </c>
      <c r="D46" s="43">
        <v>67.02</v>
      </c>
      <c r="E46" s="43">
        <v>3.94</v>
      </c>
      <c r="F46" s="44">
        <f t="shared" si="4"/>
        <v>721.40327999999988</v>
      </c>
      <c r="G46" s="44">
        <f t="shared" si="4"/>
        <v>42.410159999999998</v>
      </c>
      <c r="H46" s="44">
        <f t="shared" si="5"/>
        <v>70.959999999999994</v>
      </c>
      <c r="I46" s="44">
        <f t="shared" si="6"/>
        <v>763.8134399999999</v>
      </c>
      <c r="J46" s="45">
        <v>1210</v>
      </c>
      <c r="K46" s="45">
        <f t="shared" si="7"/>
        <v>468.91213199999993</v>
      </c>
    </row>
    <row r="47" spans="1:11">
      <c r="A47" s="38">
        <v>42</v>
      </c>
      <c r="B47" s="43" t="s">
        <v>84</v>
      </c>
      <c r="C47" s="43">
        <v>302</v>
      </c>
      <c r="D47" s="43">
        <v>95.39</v>
      </c>
      <c r="E47" s="43">
        <v>3.81</v>
      </c>
      <c r="F47" s="44">
        <f t="shared" si="4"/>
        <v>1026.7779599999999</v>
      </c>
      <c r="G47" s="44">
        <f t="shared" si="4"/>
        <v>41.010839999999995</v>
      </c>
      <c r="H47" s="44">
        <f t="shared" si="5"/>
        <v>99.2</v>
      </c>
      <c r="I47" s="44">
        <f t="shared" si="6"/>
        <v>1067.7887999999998</v>
      </c>
      <c r="J47" s="45">
        <v>1690</v>
      </c>
      <c r="K47" s="45">
        <f t="shared" si="7"/>
        <v>667.40567399999998</v>
      </c>
    </row>
    <row r="48" spans="1:11">
      <c r="A48" s="38">
        <v>43</v>
      </c>
      <c r="B48" s="43" t="s">
        <v>84</v>
      </c>
      <c r="C48" s="43">
        <v>303</v>
      </c>
      <c r="D48" s="43">
        <v>44.09</v>
      </c>
      <c r="E48" s="43">
        <v>3.96</v>
      </c>
      <c r="F48" s="44">
        <f t="shared" si="4"/>
        <v>474.58476000000002</v>
      </c>
      <c r="G48" s="44">
        <f t="shared" si="4"/>
        <v>42.625439999999998</v>
      </c>
      <c r="H48" s="44">
        <f t="shared" si="5"/>
        <v>48.050000000000004</v>
      </c>
      <c r="I48" s="44">
        <f t="shared" si="6"/>
        <v>517.21019999999999</v>
      </c>
      <c r="J48" s="45">
        <v>795</v>
      </c>
      <c r="K48" s="45">
        <f t="shared" si="7"/>
        <v>308.48009400000001</v>
      </c>
    </row>
    <row r="49" spans="1:11">
      <c r="A49" s="38">
        <v>44</v>
      </c>
      <c r="B49" s="43" t="s">
        <v>84</v>
      </c>
      <c r="C49" s="43">
        <v>304</v>
      </c>
      <c r="D49" s="43">
        <v>44.35</v>
      </c>
      <c r="E49" s="43">
        <v>3.78</v>
      </c>
      <c r="F49" s="44">
        <f t="shared" ref="F49:G96" si="8">D49*10.764</f>
        <v>477.38339999999999</v>
      </c>
      <c r="G49" s="44">
        <f t="shared" si="8"/>
        <v>40.687919999999998</v>
      </c>
      <c r="H49" s="44">
        <f t="shared" si="5"/>
        <v>48.13</v>
      </c>
      <c r="I49" s="44">
        <f t="shared" si="6"/>
        <v>518.07132000000001</v>
      </c>
      <c r="J49" s="45">
        <v>795</v>
      </c>
      <c r="K49" s="45">
        <f t="shared" si="7"/>
        <v>310.29921000000002</v>
      </c>
    </row>
    <row r="50" spans="1:11">
      <c r="A50" s="38">
        <v>45</v>
      </c>
      <c r="B50" s="43" t="s">
        <v>84</v>
      </c>
      <c r="C50" s="43">
        <v>305</v>
      </c>
      <c r="D50" s="43">
        <v>44.35</v>
      </c>
      <c r="E50" s="43">
        <v>3.78</v>
      </c>
      <c r="F50" s="44">
        <f t="shared" si="8"/>
        <v>477.38339999999999</v>
      </c>
      <c r="G50" s="44">
        <f t="shared" si="8"/>
        <v>40.687919999999998</v>
      </c>
      <c r="H50" s="44">
        <f t="shared" si="5"/>
        <v>48.13</v>
      </c>
      <c r="I50" s="44">
        <f t="shared" si="6"/>
        <v>518.07132000000001</v>
      </c>
      <c r="J50" s="45">
        <v>795</v>
      </c>
      <c r="K50" s="45">
        <f t="shared" si="7"/>
        <v>310.29921000000002</v>
      </c>
    </row>
    <row r="51" spans="1:11">
      <c r="A51" s="38">
        <v>46</v>
      </c>
      <c r="B51" s="43" t="s">
        <v>84</v>
      </c>
      <c r="C51" s="43">
        <v>306</v>
      </c>
      <c r="D51" s="43">
        <v>44.09</v>
      </c>
      <c r="E51" s="43">
        <v>3.96</v>
      </c>
      <c r="F51" s="44">
        <f t="shared" si="8"/>
        <v>474.58476000000002</v>
      </c>
      <c r="G51" s="44">
        <f t="shared" si="8"/>
        <v>42.625439999999998</v>
      </c>
      <c r="H51" s="44">
        <f t="shared" si="5"/>
        <v>48.050000000000004</v>
      </c>
      <c r="I51" s="44">
        <f t="shared" si="6"/>
        <v>517.21019999999999</v>
      </c>
      <c r="J51" s="45">
        <v>795</v>
      </c>
      <c r="K51" s="45">
        <f t="shared" si="7"/>
        <v>308.48009400000001</v>
      </c>
    </row>
    <row r="52" spans="1:11">
      <c r="A52" s="38">
        <v>47</v>
      </c>
      <c r="B52" s="43" t="s">
        <v>84</v>
      </c>
      <c r="C52" s="43">
        <v>307</v>
      </c>
      <c r="D52" s="44">
        <v>95.39</v>
      </c>
      <c r="E52" s="44">
        <v>3.81</v>
      </c>
      <c r="F52" s="44">
        <f t="shared" si="8"/>
        <v>1026.7779599999999</v>
      </c>
      <c r="G52" s="44">
        <f t="shared" si="8"/>
        <v>41.010839999999995</v>
      </c>
      <c r="H52" s="44">
        <f t="shared" si="5"/>
        <v>99.2</v>
      </c>
      <c r="I52" s="44">
        <f t="shared" si="6"/>
        <v>1067.7887999999998</v>
      </c>
      <c r="J52" s="45">
        <v>1690</v>
      </c>
      <c r="K52" s="45">
        <f t="shared" si="7"/>
        <v>667.40567399999998</v>
      </c>
    </row>
    <row r="53" spans="1:11">
      <c r="A53" s="38">
        <v>48</v>
      </c>
      <c r="B53" s="43" t="s">
        <v>84</v>
      </c>
      <c r="C53" s="43">
        <v>308</v>
      </c>
      <c r="D53" s="43">
        <v>67.02</v>
      </c>
      <c r="E53" s="43">
        <v>3.94</v>
      </c>
      <c r="F53" s="44">
        <f t="shared" si="8"/>
        <v>721.40327999999988</v>
      </c>
      <c r="G53" s="44">
        <f t="shared" si="8"/>
        <v>42.410159999999998</v>
      </c>
      <c r="H53" s="44">
        <f t="shared" si="5"/>
        <v>70.959999999999994</v>
      </c>
      <c r="I53" s="44">
        <f t="shared" si="6"/>
        <v>763.8134399999999</v>
      </c>
      <c r="J53" s="45">
        <v>1210</v>
      </c>
      <c r="K53" s="45">
        <f t="shared" si="7"/>
        <v>468.91213199999993</v>
      </c>
    </row>
    <row r="54" spans="1:11">
      <c r="A54" s="38">
        <v>49</v>
      </c>
      <c r="B54" s="43" t="s">
        <v>84</v>
      </c>
      <c r="C54" s="43">
        <v>309</v>
      </c>
      <c r="D54" s="44">
        <v>41.9</v>
      </c>
      <c r="E54" s="43">
        <v>3.57</v>
      </c>
      <c r="F54" s="44">
        <f t="shared" si="8"/>
        <v>451.01159999999993</v>
      </c>
      <c r="G54" s="44">
        <f t="shared" si="8"/>
        <v>38.427479999999996</v>
      </c>
      <c r="H54" s="44">
        <f t="shared" si="5"/>
        <v>45.47</v>
      </c>
      <c r="I54" s="44">
        <f t="shared" si="6"/>
        <v>489.43907999999993</v>
      </c>
      <c r="J54" s="45">
        <v>760</v>
      </c>
      <c r="K54" s="45">
        <f t="shared" si="7"/>
        <v>293.15753999999998</v>
      </c>
    </row>
    <row r="55" spans="1:11">
      <c r="A55" s="38">
        <v>50</v>
      </c>
      <c r="B55" s="43" t="s">
        <v>84</v>
      </c>
      <c r="C55" s="43">
        <v>310</v>
      </c>
      <c r="D55" s="44">
        <v>41.3</v>
      </c>
      <c r="E55" s="44">
        <v>3.39</v>
      </c>
      <c r="F55" s="44">
        <f t="shared" si="8"/>
        <v>444.55319999999995</v>
      </c>
      <c r="G55" s="44">
        <f t="shared" si="8"/>
        <v>36.489959999999996</v>
      </c>
      <c r="H55" s="44">
        <f t="shared" si="5"/>
        <v>44.69</v>
      </c>
      <c r="I55" s="44">
        <f t="shared" si="6"/>
        <v>481.04315999999994</v>
      </c>
      <c r="J55" s="45">
        <v>750</v>
      </c>
      <c r="K55" s="45">
        <f t="shared" si="7"/>
        <v>288.95957999999996</v>
      </c>
    </row>
    <row r="56" spans="1:11">
      <c r="A56" s="38">
        <v>51</v>
      </c>
      <c r="B56" s="43" t="s">
        <v>84</v>
      </c>
      <c r="C56" s="43">
        <v>311</v>
      </c>
      <c r="D56" s="44">
        <v>41.3</v>
      </c>
      <c r="E56" s="44">
        <v>3.39</v>
      </c>
      <c r="F56" s="44">
        <f t="shared" si="8"/>
        <v>444.55319999999995</v>
      </c>
      <c r="G56" s="44">
        <f t="shared" si="8"/>
        <v>36.489959999999996</v>
      </c>
      <c r="H56" s="44">
        <f t="shared" si="5"/>
        <v>44.69</v>
      </c>
      <c r="I56" s="44">
        <f t="shared" si="6"/>
        <v>481.04315999999994</v>
      </c>
      <c r="J56" s="45">
        <v>750</v>
      </c>
      <c r="K56" s="45">
        <f t="shared" si="7"/>
        <v>288.95957999999996</v>
      </c>
    </row>
    <row r="57" spans="1:11">
      <c r="A57" s="38">
        <v>52</v>
      </c>
      <c r="B57" s="43" t="s">
        <v>84</v>
      </c>
      <c r="C57" s="43">
        <v>312</v>
      </c>
      <c r="D57" s="44">
        <v>41.9</v>
      </c>
      <c r="E57" s="43">
        <v>3.57</v>
      </c>
      <c r="F57" s="44">
        <f t="shared" si="8"/>
        <v>451.01159999999993</v>
      </c>
      <c r="G57" s="44">
        <f t="shared" si="8"/>
        <v>38.427479999999996</v>
      </c>
      <c r="H57" s="44">
        <f t="shared" si="5"/>
        <v>45.47</v>
      </c>
      <c r="I57" s="44">
        <f t="shared" si="6"/>
        <v>489.43907999999993</v>
      </c>
      <c r="J57" s="45">
        <v>760</v>
      </c>
      <c r="K57" s="45">
        <f t="shared" si="7"/>
        <v>293.15753999999998</v>
      </c>
    </row>
    <row r="58" spans="1:11">
      <c r="A58" s="38">
        <v>53</v>
      </c>
      <c r="B58" s="43" t="s">
        <v>84</v>
      </c>
      <c r="C58" s="43">
        <v>401</v>
      </c>
      <c r="D58" s="43">
        <v>67.02</v>
      </c>
      <c r="E58" s="43">
        <v>3.94</v>
      </c>
      <c r="F58" s="44">
        <f t="shared" si="8"/>
        <v>721.40327999999988</v>
      </c>
      <c r="G58" s="44">
        <f t="shared" si="8"/>
        <v>42.410159999999998</v>
      </c>
      <c r="H58" s="44">
        <f t="shared" si="5"/>
        <v>70.959999999999994</v>
      </c>
      <c r="I58" s="44">
        <f t="shared" si="6"/>
        <v>763.8134399999999</v>
      </c>
      <c r="J58" s="45">
        <v>1210</v>
      </c>
      <c r="K58" s="45">
        <f t="shared" si="7"/>
        <v>468.91213199999993</v>
      </c>
    </row>
    <row r="59" spans="1:11">
      <c r="A59" s="38">
        <v>54</v>
      </c>
      <c r="B59" s="43" t="s">
        <v>84</v>
      </c>
      <c r="C59" s="43">
        <v>402</v>
      </c>
      <c r="D59" s="43">
        <v>95.39</v>
      </c>
      <c r="E59" s="43">
        <v>3.81</v>
      </c>
      <c r="F59" s="44">
        <f t="shared" si="8"/>
        <v>1026.7779599999999</v>
      </c>
      <c r="G59" s="44">
        <f t="shared" si="8"/>
        <v>41.010839999999995</v>
      </c>
      <c r="H59" s="44">
        <f t="shared" si="5"/>
        <v>99.2</v>
      </c>
      <c r="I59" s="44">
        <f t="shared" si="6"/>
        <v>1067.7887999999998</v>
      </c>
      <c r="J59" s="45">
        <v>1690</v>
      </c>
      <c r="K59" s="45">
        <f t="shared" si="7"/>
        <v>667.40567399999998</v>
      </c>
    </row>
    <row r="60" spans="1:11">
      <c r="A60" s="38">
        <v>55</v>
      </c>
      <c r="B60" s="43" t="s">
        <v>84</v>
      </c>
      <c r="C60" s="43">
        <v>403</v>
      </c>
      <c r="D60" s="43">
        <v>44.09</v>
      </c>
      <c r="E60" s="43">
        <v>3.96</v>
      </c>
      <c r="F60" s="44">
        <f t="shared" si="8"/>
        <v>474.58476000000002</v>
      </c>
      <c r="G60" s="44">
        <f t="shared" si="8"/>
        <v>42.625439999999998</v>
      </c>
      <c r="H60" s="44">
        <f t="shared" si="5"/>
        <v>48.050000000000004</v>
      </c>
      <c r="I60" s="44">
        <f t="shared" si="6"/>
        <v>517.21019999999999</v>
      </c>
      <c r="J60" s="45">
        <v>795</v>
      </c>
      <c r="K60" s="45">
        <f t="shared" si="7"/>
        <v>308.48009400000001</v>
      </c>
    </row>
    <row r="61" spans="1:11">
      <c r="A61" s="38">
        <v>56</v>
      </c>
      <c r="B61" s="43" t="s">
        <v>84</v>
      </c>
      <c r="C61" s="43">
        <v>404</v>
      </c>
      <c r="D61" s="43">
        <v>44.35</v>
      </c>
      <c r="E61" s="43">
        <v>3.78</v>
      </c>
      <c r="F61" s="44">
        <f t="shared" si="8"/>
        <v>477.38339999999999</v>
      </c>
      <c r="G61" s="44">
        <f t="shared" si="8"/>
        <v>40.687919999999998</v>
      </c>
      <c r="H61" s="44">
        <f t="shared" si="5"/>
        <v>48.13</v>
      </c>
      <c r="I61" s="44">
        <f t="shared" si="6"/>
        <v>518.07132000000001</v>
      </c>
      <c r="J61" s="45">
        <v>795</v>
      </c>
      <c r="K61" s="45">
        <f t="shared" si="7"/>
        <v>310.29921000000002</v>
      </c>
    </row>
    <row r="62" spans="1:11">
      <c r="A62" s="38">
        <v>57</v>
      </c>
      <c r="B62" s="43" t="s">
        <v>84</v>
      </c>
      <c r="C62" s="43">
        <v>405</v>
      </c>
      <c r="D62" s="43">
        <v>44.35</v>
      </c>
      <c r="E62" s="43">
        <v>3.78</v>
      </c>
      <c r="F62" s="44">
        <f t="shared" si="8"/>
        <v>477.38339999999999</v>
      </c>
      <c r="G62" s="44">
        <f t="shared" si="8"/>
        <v>40.687919999999998</v>
      </c>
      <c r="H62" s="44">
        <f t="shared" si="5"/>
        <v>48.13</v>
      </c>
      <c r="I62" s="44">
        <f t="shared" si="6"/>
        <v>518.07132000000001</v>
      </c>
      <c r="J62" s="45">
        <v>795</v>
      </c>
      <c r="K62" s="45">
        <f t="shared" si="7"/>
        <v>310.29921000000002</v>
      </c>
    </row>
    <row r="63" spans="1:11">
      <c r="A63" s="38">
        <v>58</v>
      </c>
      <c r="B63" s="43" t="s">
        <v>84</v>
      </c>
      <c r="C63" s="43">
        <v>406</v>
      </c>
      <c r="D63" s="43">
        <v>44.09</v>
      </c>
      <c r="E63" s="43">
        <v>3.96</v>
      </c>
      <c r="F63" s="44">
        <f t="shared" si="8"/>
        <v>474.58476000000002</v>
      </c>
      <c r="G63" s="44">
        <f t="shared" si="8"/>
        <v>42.625439999999998</v>
      </c>
      <c r="H63" s="44">
        <f t="shared" si="5"/>
        <v>48.050000000000004</v>
      </c>
      <c r="I63" s="44">
        <f t="shared" si="6"/>
        <v>517.21019999999999</v>
      </c>
      <c r="J63" s="45">
        <v>795</v>
      </c>
      <c r="K63" s="45">
        <f t="shared" si="7"/>
        <v>308.48009400000001</v>
      </c>
    </row>
    <row r="64" spans="1:11">
      <c r="A64" s="38">
        <v>59</v>
      </c>
      <c r="B64" s="43" t="s">
        <v>84</v>
      </c>
      <c r="C64" s="43">
        <v>407</v>
      </c>
      <c r="D64" s="44">
        <v>95.39</v>
      </c>
      <c r="E64" s="44">
        <v>3.81</v>
      </c>
      <c r="F64" s="44">
        <f t="shared" si="8"/>
        <v>1026.7779599999999</v>
      </c>
      <c r="G64" s="44">
        <f t="shared" si="8"/>
        <v>41.010839999999995</v>
      </c>
      <c r="H64" s="44">
        <f t="shared" si="5"/>
        <v>99.2</v>
      </c>
      <c r="I64" s="44">
        <f t="shared" si="6"/>
        <v>1067.7887999999998</v>
      </c>
      <c r="J64" s="45">
        <v>1690</v>
      </c>
      <c r="K64" s="45">
        <f t="shared" si="7"/>
        <v>667.40567399999998</v>
      </c>
    </row>
    <row r="65" spans="1:11">
      <c r="A65" s="38">
        <v>60</v>
      </c>
      <c r="B65" s="43" t="s">
        <v>84</v>
      </c>
      <c r="C65" s="43">
        <v>408</v>
      </c>
      <c r="D65" s="43">
        <v>67.02</v>
      </c>
      <c r="E65" s="43">
        <v>3.94</v>
      </c>
      <c r="F65" s="44">
        <f t="shared" si="8"/>
        <v>721.40327999999988</v>
      </c>
      <c r="G65" s="44">
        <f t="shared" si="8"/>
        <v>42.410159999999998</v>
      </c>
      <c r="H65" s="44">
        <f t="shared" si="5"/>
        <v>70.959999999999994</v>
      </c>
      <c r="I65" s="44">
        <f t="shared" si="6"/>
        <v>763.8134399999999</v>
      </c>
      <c r="J65" s="45">
        <v>1210</v>
      </c>
      <c r="K65" s="45">
        <f t="shared" si="7"/>
        <v>468.91213199999993</v>
      </c>
    </row>
    <row r="66" spans="1:11">
      <c r="A66" s="38">
        <v>61</v>
      </c>
      <c r="B66" s="43" t="s">
        <v>84</v>
      </c>
      <c r="C66" s="43">
        <v>409</v>
      </c>
      <c r="D66" s="44">
        <v>41.9</v>
      </c>
      <c r="E66" s="43">
        <v>3.57</v>
      </c>
      <c r="F66" s="44">
        <f t="shared" si="8"/>
        <v>451.01159999999993</v>
      </c>
      <c r="G66" s="44">
        <f t="shared" si="8"/>
        <v>38.427479999999996</v>
      </c>
      <c r="H66" s="44">
        <f t="shared" si="5"/>
        <v>45.47</v>
      </c>
      <c r="I66" s="44">
        <f t="shared" si="6"/>
        <v>489.43907999999993</v>
      </c>
      <c r="J66" s="45">
        <v>760</v>
      </c>
      <c r="K66" s="45">
        <f t="shared" si="7"/>
        <v>293.15753999999998</v>
      </c>
    </row>
    <row r="67" spans="1:11">
      <c r="A67" s="38">
        <v>62</v>
      </c>
      <c r="B67" s="43" t="s">
        <v>84</v>
      </c>
      <c r="C67" s="43">
        <v>410</v>
      </c>
      <c r="D67" s="44">
        <v>41.3</v>
      </c>
      <c r="E67" s="44">
        <v>3.39</v>
      </c>
      <c r="F67" s="44">
        <f t="shared" si="8"/>
        <v>444.55319999999995</v>
      </c>
      <c r="G67" s="44">
        <f t="shared" si="8"/>
        <v>36.489959999999996</v>
      </c>
      <c r="H67" s="44">
        <f t="shared" si="5"/>
        <v>44.69</v>
      </c>
      <c r="I67" s="44">
        <f t="shared" si="6"/>
        <v>481.04315999999994</v>
      </c>
      <c r="J67" s="45">
        <v>750</v>
      </c>
      <c r="K67" s="45">
        <f t="shared" si="7"/>
        <v>288.95957999999996</v>
      </c>
    </row>
    <row r="68" spans="1:11">
      <c r="A68" s="38">
        <v>63</v>
      </c>
      <c r="B68" s="43" t="s">
        <v>84</v>
      </c>
      <c r="C68" s="43">
        <v>411</v>
      </c>
      <c r="D68" s="44">
        <v>41.3</v>
      </c>
      <c r="E68" s="44">
        <v>3.39</v>
      </c>
      <c r="F68" s="44">
        <f t="shared" si="8"/>
        <v>444.55319999999995</v>
      </c>
      <c r="G68" s="44">
        <f t="shared" si="8"/>
        <v>36.489959999999996</v>
      </c>
      <c r="H68" s="44">
        <f t="shared" si="5"/>
        <v>44.69</v>
      </c>
      <c r="I68" s="44">
        <f t="shared" si="6"/>
        <v>481.04315999999994</v>
      </c>
      <c r="J68" s="45">
        <v>750</v>
      </c>
      <c r="K68" s="45">
        <f t="shared" si="7"/>
        <v>288.95957999999996</v>
      </c>
    </row>
    <row r="69" spans="1:11">
      <c r="A69" s="38">
        <v>64</v>
      </c>
      <c r="B69" s="43" t="s">
        <v>84</v>
      </c>
      <c r="C69" s="43">
        <v>412</v>
      </c>
      <c r="D69" s="44">
        <v>41.9</v>
      </c>
      <c r="E69" s="43">
        <v>3.57</v>
      </c>
      <c r="F69" s="44">
        <f t="shared" si="8"/>
        <v>451.01159999999993</v>
      </c>
      <c r="G69" s="44">
        <f t="shared" si="8"/>
        <v>38.427479999999996</v>
      </c>
      <c r="H69" s="44">
        <f t="shared" si="5"/>
        <v>45.47</v>
      </c>
      <c r="I69" s="44">
        <f t="shared" si="6"/>
        <v>489.43907999999993</v>
      </c>
      <c r="J69" s="45">
        <v>760</v>
      </c>
      <c r="K69" s="45">
        <f t="shared" si="7"/>
        <v>293.15753999999998</v>
      </c>
    </row>
    <row r="70" spans="1:11">
      <c r="A70" s="38">
        <v>65</v>
      </c>
      <c r="B70" s="43" t="s">
        <v>84</v>
      </c>
      <c r="C70" s="43">
        <v>501</v>
      </c>
      <c r="D70" s="43">
        <v>67.02</v>
      </c>
      <c r="E70" s="43">
        <v>3.94</v>
      </c>
      <c r="F70" s="44">
        <f t="shared" si="8"/>
        <v>721.40327999999988</v>
      </c>
      <c r="G70" s="44">
        <f t="shared" si="8"/>
        <v>42.410159999999998</v>
      </c>
      <c r="H70" s="44">
        <f t="shared" si="5"/>
        <v>70.959999999999994</v>
      </c>
      <c r="I70" s="44">
        <f t="shared" si="6"/>
        <v>763.8134399999999</v>
      </c>
      <c r="J70" s="45">
        <v>1210</v>
      </c>
      <c r="K70" s="45">
        <f t="shared" si="7"/>
        <v>468.91213199999993</v>
      </c>
    </row>
    <row r="71" spans="1:11">
      <c r="A71" s="38">
        <v>66</v>
      </c>
      <c r="B71" s="43" t="s">
        <v>84</v>
      </c>
      <c r="C71" s="43">
        <v>502</v>
      </c>
      <c r="D71" s="43">
        <v>95.39</v>
      </c>
      <c r="E71" s="43">
        <v>3.81</v>
      </c>
      <c r="F71" s="44">
        <f t="shared" si="8"/>
        <v>1026.7779599999999</v>
      </c>
      <c r="G71" s="44">
        <f t="shared" si="8"/>
        <v>41.010839999999995</v>
      </c>
      <c r="H71" s="44">
        <f t="shared" si="5"/>
        <v>99.2</v>
      </c>
      <c r="I71" s="44">
        <f t="shared" si="6"/>
        <v>1067.7887999999998</v>
      </c>
      <c r="J71" s="45">
        <v>1690</v>
      </c>
      <c r="K71" s="45">
        <f t="shared" si="7"/>
        <v>667.40567399999998</v>
      </c>
    </row>
    <row r="72" spans="1:11">
      <c r="A72" s="38">
        <v>67</v>
      </c>
      <c r="B72" s="43" t="s">
        <v>84</v>
      </c>
      <c r="C72" s="43">
        <v>503</v>
      </c>
      <c r="D72" s="43">
        <v>44.09</v>
      </c>
      <c r="E72" s="43">
        <v>3.96</v>
      </c>
      <c r="F72" s="44">
        <f t="shared" si="8"/>
        <v>474.58476000000002</v>
      </c>
      <c r="G72" s="44">
        <f t="shared" si="8"/>
        <v>42.625439999999998</v>
      </c>
      <c r="H72" s="44">
        <f t="shared" si="5"/>
        <v>48.050000000000004</v>
      </c>
      <c r="I72" s="44">
        <f t="shared" si="6"/>
        <v>517.21019999999999</v>
      </c>
      <c r="J72" s="45">
        <v>795</v>
      </c>
      <c r="K72" s="45">
        <f t="shared" si="7"/>
        <v>308.48009400000001</v>
      </c>
    </row>
    <row r="73" spans="1:11">
      <c r="A73" s="38">
        <v>68</v>
      </c>
      <c r="B73" s="43" t="s">
        <v>84</v>
      </c>
      <c r="C73" s="43">
        <v>504</v>
      </c>
      <c r="D73" s="43">
        <v>44.35</v>
      </c>
      <c r="E73" s="43">
        <v>3.78</v>
      </c>
      <c r="F73" s="44">
        <f t="shared" si="8"/>
        <v>477.38339999999999</v>
      </c>
      <c r="G73" s="44">
        <f t="shared" si="8"/>
        <v>40.687919999999998</v>
      </c>
      <c r="H73" s="44">
        <f t="shared" si="5"/>
        <v>48.13</v>
      </c>
      <c r="I73" s="44">
        <f t="shared" si="6"/>
        <v>518.07132000000001</v>
      </c>
      <c r="J73" s="45">
        <v>795</v>
      </c>
      <c r="K73" s="45">
        <f t="shared" si="7"/>
        <v>310.29921000000002</v>
      </c>
    </row>
    <row r="74" spans="1:11">
      <c r="A74" s="38">
        <v>69</v>
      </c>
      <c r="B74" s="43" t="s">
        <v>84</v>
      </c>
      <c r="C74" s="43">
        <v>505</v>
      </c>
      <c r="D74" s="43">
        <v>44.35</v>
      </c>
      <c r="E74" s="43">
        <v>3.78</v>
      </c>
      <c r="F74" s="44">
        <f t="shared" si="8"/>
        <v>477.38339999999999</v>
      </c>
      <c r="G74" s="44">
        <f t="shared" si="8"/>
        <v>40.687919999999998</v>
      </c>
      <c r="H74" s="44">
        <f t="shared" si="5"/>
        <v>48.13</v>
      </c>
      <c r="I74" s="44">
        <f t="shared" si="6"/>
        <v>518.07132000000001</v>
      </c>
      <c r="J74" s="45">
        <v>795</v>
      </c>
      <c r="K74" s="45">
        <f t="shared" si="7"/>
        <v>310.29921000000002</v>
      </c>
    </row>
    <row r="75" spans="1:11">
      <c r="A75" s="38">
        <v>70</v>
      </c>
      <c r="B75" s="43" t="s">
        <v>84</v>
      </c>
      <c r="C75" s="43">
        <v>506</v>
      </c>
      <c r="D75" s="43">
        <v>44.09</v>
      </c>
      <c r="E75" s="43">
        <v>3.96</v>
      </c>
      <c r="F75" s="44">
        <f t="shared" si="8"/>
        <v>474.58476000000002</v>
      </c>
      <c r="G75" s="44">
        <f t="shared" si="8"/>
        <v>42.625439999999998</v>
      </c>
      <c r="H75" s="44">
        <f t="shared" si="5"/>
        <v>48.050000000000004</v>
      </c>
      <c r="I75" s="44">
        <f t="shared" si="6"/>
        <v>517.21019999999999</v>
      </c>
      <c r="J75" s="45">
        <v>795</v>
      </c>
      <c r="K75" s="45">
        <f t="shared" si="7"/>
        <v>308.48009400000001</v>
      </c>
    </row>
    <row r="76" spans="1:11">
      <c r="A76" s="38">
        <v>71</v>
      </c>
      <c r="B76" s="43" t="s">
        <v>84</v>
      </c>
      <c r="C76" s="43">
        <v>507</v>
      </c>
      <c r="D76" s="44">
        <v>95.39</v>
      </c>
      <c r="E76" s="44">
        <v>3.81</v>
      </c>
      <c r="F76" s="44">
        <f t="shared" si="8"/>
        <v>1026.7779599999999</v>
      </c>
      <c r="G76" s="44">
        <f t="shared" si="8"/>
        <v>41.010839999999995</v>
      </c>
      <c r="H76" s="44">
        <f t="shared" si="5"/>
        <v>99.2</v>
      </c>
      <c r="I76" s="44">
        <f t="shared" si="6"/>
        <v>1067.7887999999998</v>
      </c>
      <c r="J76" s="45">
        <v>1690</v>
      </c>
      <c r="K76" s="45">
        <f t="shared" si="7"/>
        <v>667.40567399999998</v>
      </c>
    </row>
    <row r="77" spans="1:11">
      <c r="A77" s="38">
        <v>72</v>
      </c>
      <c r="B77" s="43" t="s">
        <v>84</v>
      </c>
      <c r="C77" s="43">
        <v>508</v>
      </c>
      <c r="D77" s="43">
        <v>67.02</v>
      </c>
      <c r="E77" s="43">
        <v>3.94</v>
      </c>
      <c r="F77" s="44">
        <f t="shared" si="8"/>
        <v>721.40327999999988</v>
      </c>
      <c r="G77" s="44">
        <f t="shared" si="8"/>
        <v>42.410159999999998</v>
      </c>
      <c r="H77" s="44">
        <f t="shared" si="5"/>
        <v>70.959999999999994</v>
      </c>
      <c r="I77" s="44">
        <f t="shared" si="6"/>
        <v>763.8134399999999</v>
      </c>
      <c r="J77" s="45">
        <v>1210</v>
      </c>
      <c r="K77" s="45">
        <f t="shared" si="7"/>
        <v>468.91213199999993</v>
      </c>
    </row>
    <row r="78" spans="1:11">
      <c r="A78" s="38">
        <v>73</v>
      </c>
      <c r="B78" s="43" t="s">
        <v>84</v>
      </c>
      <c r="C78" s="43">
        <v>509</v>
      </c>
      <c r="D78" s="44">
        <v>41.9</v>
      </c>
      <c r="E78" s="43">
        <v>3.57</v>
      </c>
      <c r="F78" s="44">
        <f t="shared" si="8"/>
        <v>451.01159999999993</v>
      </c>
      <c r="G78" s="44">
        <f t="shared" si="8"/>
        <v>38.427479999999996</v>
      </c>
      <c r="H78" s="44">
        <f t="shared" si="5"/>
        <v>45.47</v>
      </c>
      <c r="I78" s="44">
        <f t="shared" si="6"/>
        <v>489.43907999999993</v>
      </c>
      <c r="J78" s="45">
        <v>760</v>
      </c>
      <c r="K78" s="45">
        <f t="shared" si="7"/>
        <v>293.15753999999998</v>
      </c>
    </row>
    <row r="79" spans="1:11">
      <c r="A79" s="38">
        <v>74</v>
      </c>
      <c r="B79" s="43" t="s">
        <v>84</v>
      </c>
      <c r="C79" s="43">
        <v>510</v>
      </c>
      <c r="D79" s="44">
        <v>41.3</v>
      </c>
      <c r="E79" s="44">
        <v>3.39</v>
      </c>
      <c r="F79" s="44">
        <f t="shared" si="8"/>
        <v>444.55319999999995</v>
      </c>
      <c r="G79" s="44">
        <f t="shared" si="8"/>
        <v>36.489959999999996</v>
      </c>
      <c r="H79" s="44">
        <f t="shared" si="5"/>
        <v>44.69</v>
      </c>
      <c r="I79" s="44">
        <f t="shared" si="6"/>
        <v>481.04315999999994</v>
      </c>
      <c r="J79" s="45">
        <v>750</v>
      </c>
      <c r="K79" s="45">
        <f t="shared" si="7"/>
        <v>288.95957999999996</v>
      </c>
    </row>
    <row r="80" spans="1:11">
      <c r="A80" s="38">
        <v>75</v>
      </c>
      <c r="B80" s="43" t="s">
        <v>84</v>
      </c>
      <c r="C80" s="43">
        <v>511</v>
      </c>
      <c r="D80" s="44">
        <v>41.3</v>
      </c>
      <c r="E80" s="44">
        <v>3.39</v>
      </c>
      <c r="F80" s="44">
        <f t="shared" si="8"/>
        <v>444.55319999999995</v>
      </c>
      <c r="G80" s="44">
        <f t="shared" si="8"/>
        <v>36.489959999999996</v>
      </c>
      <c r="H80" s="44">
        <f t="shared" si="5"/>
        <v>44.69</v>
      </c>
      <c r="I80" s="44">
        <f t="shared" si="6"/>
        <v>481.04315999999994</v>
      </c>
      <c r="J80" s="45">
        <v>750</v>
      </c>
      <c r="K80" s="45">
        <f t="shared" si="7"/>
        <v>288.95957999999996</v>
      </c>
    </row>
    <row r="81" spans="1:11">
      <c r="A81" s="38">
        <v>76</v>
      </c>
      <c r="B81" s="43" t="s">
        <v>84</v>
      </c>
      <c r="C81" s="43">
        <v>512</v>
      </c>
      <c r="D81" s="44">
        <v>41.9</v>
      </c>
      <c r="E81" s="43">
        <v>3.57</v>
      </c>
      <c r="F81" s="44">
        <f t="shared" si="8"/>
        <v>451.01159999999993</v>
      </c>
      <c r="G81" s="44">
        <f t="shared" si="8"/>
        <v>38.427479999999996</v>
      </c>
      <c r="H81" s="44">
        <f t="shared" si="5"/>
        <v>45.47</v>
      </c>
      <c r="I81" s="44">
        <f t="shared" si="6"/>
        <v>489.43907999999993</v>
      </c>
      <c r="J81" s="45">
        <v>760</v>
      </c>
      <c r="K81" s="45">
        <f t="shared" si="7"/>
        <v>293.15753999999998</v>
      </c>
    </row>
    <row r="82" spans="1:11">
      <c r="A82" s="38">
        <v>77</v>
      </c>
      <c r="B82" s="43" t="s">
        <v>84</v>
      </c>
      <c r="C82" s="43">
        <v>601</v>
      </c>
      <c r="D82" s="43">
        <v>67.02</v>
      </c>
      <c r="E82" s="43">
        <v>3.94</v>
      </c>
      <c r="F82" s="44">
        <f t="shared" si="8"/>
        <v>721.40327999999988</v>
      </c>
      <c r="G82" s="44">
        <f t="shared" si="8"/>
        <v>42.410159999999998</v>
      </c>
      <c r="H82" s="44">
        <f t="shared" si="5"/>
        <v>70.959999999999994</v>
      </c>
      <c r="I82" s="44">
        <f t="shared" si="6"/>
        <v>763.8134399999999</v>
      </c>
      <c r="J82" s="45">
        <v>1210</v>
      </c>
      <c r="K82" s="45">
        <f t="shared" si="7"/>
        <v>468.91213199999993</v>
      </c>
    </row>
    <row r="83" spans="1:11">
      <c r="A83" s="38">
        <v>78</v>
      </c>
      <c r="B83" s="43" t="s">
        <v>84</v>
      </c>
      <c r="C83" s="43">
        <v>602</v>
      </c>
      <c r="D83" s="43">
        <v>95.39</v>
      </c>
      <c r="E83" s="43">
        <v>3.81</v>
      </c>
      <c r="F83" s="44">
        <f t="shared" si="8"/>
        <v>1026.7779599999999</v>
      </c>
      <c r="G83" s="44">
        <f t="shared" si="8"/>
        <v>41.010839999999995</v>
      </c>
      <c r="H83" s="44">
        <f t="shared" si="5"/>
        <v>99.2</v>
      </c>
      <c r="I83" s="44">
        <f t="shared" si="6"/>
        <v>1067.7887999999998</v>
      </c>
      <c r="J83" s="45">
        <v>1690</v>
      </c>
      <c r="K83" s="45">
        <f t="shared" si="7"/>
        <v>667.40567399999998</v>
      </c>
    </row>
    <row r="84" spans="1:11">
      <c r="A84" s="38">
        <v>79</v>
      </c>
      <c r="B84" s="43" t="s">
        <v>84</v>
      </c>
      <c r="C84" s="43">
        <v>603</v>
      </c>
      <c r="D84" s="43">
        <v>44.09</v>
      </c>
      <c r="E84" s="43">
        <v>3.96</v>
      </c>
      <c r="F84" s="44">
        <f t="shared" si="8"/>
        <v>474.58476000000002</v>
      </c>
      <c r="G84" s="44">
        <f t="shared" si="8"/>
        <v>42.625439999999998</v>
      </c>
      <c r="H84" s="44">
        <f t="shared" si="5"/>
        <v>48.050000000000004</v>
      </c>
      <c r="I84" s="44">
        <f t="shared" si="6"/>
        <v>517.21019999999999</v>
      </c>
      <c r="J84" s="45">
        <v>795</v>
      </c>
      <c r="K84" s="45">
        <f t="shared" si="7"/>
        <v>308.48009400000001</v>
      </c>
    </row>
    <row r="85" spans="1:11">
      <c r="A85" s="38">
        <v>80</v>
      </c>
      <c r="B85" s="43" t="s">
        <v>84</v>
      </c>
      <c r="C85" s="43">
        <v>604</v>
      </c>
      <c r="D85" s="43">
        <v>44.35</v>
      </c>
      <c r="E85" s="43">
        <v>3.78</v>
      </c>
      <c r="F85" s="44">
        <f t="shared" si="8"/>
        <v>477.38339999999999</v>
      </c>
      <c r="G85" s="44">
        <f t="shared" si="8"/>
        <v>40.687919999999998</v>
      </c>
      <c r="H85" s="44">
        <f t="shared" si="5"/>
        <v>48.13</v>
      </c>
      <c r="I85" s="44">
        <f t="shared" si="6"/>
        <v>518.07132000000001</v>
      </c>
      <c r="J85" s="45">
        <v>795</v>
      </c>
      <c r="K85" s="45">
        <f t="shared" si="7"/>
        <v>310.29921000000002</v>
      </c>
    </row>
    <row r="86" spans="1:11">
      <c r="A86" s="38">
        <v>81</v>
      </c>
      <c r="B86" s="43" t="s">
        <v>84</v>
      </c>
      <c r="C86" s="43">
        <v>605</v>
      </c>
      <c r="D86" s="43">
        <v>44.35</v>
      </c>
      <c r="E86" s="43">
        <v>3.78</v>
      </c>
      <c r="F86" s="44">
        <f t="shared" si="8"/>
        <v>477.38339999999999</v>
      </c>
      <c r="G86" s="44">
        <f t="shared" si="8"/>
        <v>40.687919999999998</v>
      </c>
      <c r="H86" s="44">
        <f t="shared" si="5"/>
        <v>48.13</v>
      </c>
      <c r="I86" s="44">
        <f t="shared" si="6"/>
        <v>518.07132000000001</v>
      </c>
      <c r="J86" s="45">
        <v>795</v>
      </c>
      <c r="K86" s="45">
        <f t="shared" si="7"/>
        <v>310.29921000000002</v>
      </c>
    </row>
    <row r="87" spans="1:11">
      <c r="A87" s="38">
        <v>82</v>
      </c>
      <c r="B87" s="43" t="s">
        <v>84</v>
      </c>
      <c r="C87" s="43">
        <v>606</v>
      </c>
      <c r="D87" s="43">
        <v>44.09</v>
      </c>
      <c r="E87" s="43">
        <v>3.96</v>
      </c>
      <c r="F87" s="44">
        <f t="shared" si="8"/>
        <v>474.58476000000002</v>
      </c>
      <c r="G87" s="44">
        <f t="shared" si="8"/>
        <v>42.625439999999998</v>
      </c>
      <c r="H87" s="44">
        <f t="shared" si="5"/>
        <v>48.050000000000004</v>
      </c>
      <c r="I87" s="44">
        <f t="shared" si="6"/>
        <v>517.21019999999999</v>
      </c>
      <c r="J87" s="45">
        <v>795</v>
      </c>
      <c r="K87" s="45">
        <f t="shared" si="7"/>
        <v>308.48009400000001</v>
      </c>
    </row>
    <row r="88" spans="1:11">
      <c r="A88" s="38">
        <v>83</v>
      </c>
      <c r="B88" s="43" t="s">
        <v>84</v>
      </c>
      <c r="C88" s="43">
        <v>607</v>
      </c>
      <c r="D88" s="44">
        <v>95.39</v>
      </c>
      <c r="E88" s="44">
        <v>3.81</v>
      </c>
      <c r="F88" s="44">
        <f t="shared" si="8"/>
        <v>1026.7779599999999</v>
      </c>
      <c r="G88" s="44">
        <f t="shared" si="8"/>
        <v>41.010839999999995</v>
      </c>
      <c r="H88" s="44">
        <f t="shared" si="5"/>
        <v>99.2</v>
      </c>
      <c r="I88" s="44">
        <f t="shared" si="6"/>
        <v>1067.7887999999998</v>
      </c>
      <c r="J88" s="45">
        <v>1690</v>
      </c>
      <c r="K88" s="45">
        <f t="shared" si="7"/>
        <v>667.40567399999998</v>
      </c>
    </row>
    <row r="89" spans="1:11">
      <c r="A89" s="38">
        <v>84</v>
      </c>
      <c r="B89" s="43" t="s">
        <v>84</v>
      </c>
      <c r="C89" s="43">
        <v>608</v>
      </c>
      <c r="D89" s="43">
        <v>67.02</v>
      </c>
      <c r="E89" s="43">
        <v>3.94</v>
      </c>
      <c r="F89" s="44">
        <f t="shared" si="8"/>
        <v>721.40327999999988</v>
      </c>
      <c r="G89" s="44">
        <f t="shared" si="8"/>
        <v>42.410159999999998</v>
      </c>
      <c r="H89" s="44">
        <f t="shared" ref="H89:H152" si="9">D89+E89</f>
        <v>70.959999999999994</v>
      </c>
      <c r="I89" s="44">
        <f t="shared" ref="I89:I152" si="10">F89+G89</f>
        <v>763.8134399999999</v>
      </c>
      <c r="J89" s="45">
        <v>1210</v>
      </c>
      <c r="K89" s="45">
        <f t="shared" ref="K89:K152" si="11">F89*65%</f>
        <v>468.91213199999993</v>
      </c>
    </row>
    <row r="90" spans="1:11">
      <c r="A90" s="38">
        <v>85</v>
      </c>
      <c r="B90" s="43" t="s">
        <v>84</v>
      </c>
      <c r="C90" s="43">
        <v>609</v>
      </c>
      <c r="D90" s="44">
        <v>41.9</v>
      </c>
      <c r="E90" s="43">
        <v>3.57</v>
      </c>
      <c r="F90" s="44">
        <f t="shared" si="8"/>
        <v>451.01159999999993</v>
      </c>
      <c r="G90" s="44">
        <f t="shared" si="8"/>
        <v>38.427479999999996</v>
      </c>
      <c r="H90" s="44">
        <f t="shared" si="9"/>
        <v>45.47</v>
      </c>
      <c r="I90" s="44">
        <f t="shared" si="10"/>
        <v>489.43907999999993</v>
      </c>
      <c r="J90" s="45">
        <v>760</v>
      </c>
      <c r="K90" s="45">
        <f t="shared" si="11"/>
        <v>293.15753999999998</v>
      </c>
    </row>
    <row r="91" spans="1:11">
      <c r="A91" s="38">
        <v>86</v>
      </c>
      <c r="B91" s="43" t="s">
        <v>84</v>
      </c>
      <c r="C91" s="43">
        <v>610</v>
      </c>
      <c r="D91" s="44">
        <v>41.3</v>
      </c>
      <c r="E91" s="44">
        <v>3.39</v>
      </c>
      <c r="F91" s="44">
        <f t="shared" si="8"/>
        <v>444.55319999999995</v>
      </c>
      <c r="G91" s="44">
        <f t="shared" si="8"/>
        <v>36.489959999999996</v>
      </c>
      <c r="H91" s="44">
        <f t="shared" si="9"/>
        <v>44.69</v>
      </c>
      <c r="I91" s="44">
        <f t="shared" si="10"/>
        <v>481.04315999999994</v>
      </c>
      <c r="J91" s="45">
        <v>750</v>
      </c>
      <c r="K91" s="45">
        <f t="shared" si="11"/>
        <v>288.95957999999996</v>
      </c>
    </row>
    <row r="92" spans="1:11">
      <c r="A92" s="38">
        <v>87</v>
      </c>
      <c r="B92" s="43" t="s">
        <v>84</v>
      </c>
      <c r="C92" s="43">
        <v>611</v>
      </c>
      <c r="D92" s="44">
        <v>41.3</v>
      </c>
      <c r="E92" s="44">
        <v>3.39</v>
      </c>
      <c r="F92" s="44">
        <f t="shared" si="8"/>
        <v>444.55319999999995</v>
      </c>
      <c r="G92" s="44">
        <f t="shared" si="8"/>
        <v>36.489959999999996</v>
      </c>
      <c r="H92" s="44">
        <f t="shared" si="9"/>
        <v>44.69</v>
      </c>
      <c r="I92" s="44">
        <f t="shared" si="10"/>
        <v>481.04315999999994</v>
      </c>
      <c r="J92" s="45">
        <v>750</v>
      </c>
      <c r="K92" s="45">
        <f t="shared" si="11"/>
        <v>288.95957999999996</v>
      </c>
    </row>
    <row r="93" spans="1:11">
      <c r="A93" s="38">
        <v>88</v>
      </c>
      <c r="B93" s="43" t="s">
        <v>84</v>
      </c>
      <c r="C93" s="43">
        <v>612</v>
      </c>
      <c r="D93" s="44">
        <v>41.9</v>
      </c>
      <c r="E93" s="43">
        <v>3.57</v>
      </c>
      <c r="F93" s="44">
        <f t="shared" si="8"/>
        <v>451.01159999999993</v>
      </c>
      <c r="G93" s="44">
        <f t="shared" si="8"/>
        <v>38.427479999999996</v>
      </c>
      <c r="H93" s="44">
        <f t="shared" si="9"/>
        <v>45.47</v>
      </c>
      <c r="I93" s="44">
        <f t="shared" si="10"/>
        <v>489.43907999999993</v>
      </c>
      <c r="J93" s="45">
        <v>760</v>
      </c>
      <c r="K93" s="45">
        <f t="shared" si="11"/>
        <v>293.15753999999998</v>
      </c>
    </row>
    <row r="94" spans="1:11">
      <c r="A94" s="38">
        <v>89</v>
      </c>
      <c r="B94" s="43" t="s">
        <v>84</v>
      </c>
      <c r="C94" s="49">
        <v>701</v>
      </c>
      <c r="D94" s="43">
        <v>67.02</v>
      </c>
      <c r="E94" s="43">
        <v>3.94</v>
      </c>
      <c r="F94" s="44">
        <f t="shared" si="8"/>
        <v>721.40327999999988</v>
      </c>
      <c r="G94" s="44">
        <f t="shared" si="8"/>
        <v>42.410159999999998</v>
      </c>
      <c r="H94" s="44">
        <f t="shared" si="9"/>
        <v>70.959999999999994</v>
      </c>
      <c r="I94" s="44">
        <f t="shared" si="10"/>
        <v>763.8134399999999</v>
      </c>
      <c r="J94" s="45">
        <v>1210</v>
      </c>
      <c r="K94" s="45">
        <f t="shared" si="11"/>
        <v>468.91213199999993</v>
      </c>
    </row>
    <row r="95" spans="1:11">
      <c r="A95" s="38">
        <v>90</v>
      </c>
      <c r="B95" s="43" t="s">
        <v>84</v>
      </c>
      <c r="C95" s="49">
        <v>702</v>
      </c>
      <c r="D95" s="43">
        <v>95.39</v>
      </c>
      <c r="E95" s="43">
        <v>3.81</v>
      </c>
      <c r="F95" s="44">
        <f t="shared" si="8"/>
        <v>1026.7779599999999</v>
      </c>
      <c r="G95" s="44">
        <f t="shared" si="8"/>
        <v>41.010839999999995</v>
      </c>
      <c r="H95" s="44">
        <f t="shared" si="9"/>
        <v>99.2</v>
      </c>
      <c r="I95" s="44">
        <f t="shared" si="10"/>
        <v>1067.7887999999998</v>
      </c>
      <c r="J95" s="45">
        <v>1690</v>
      </c>
      <c r="K95" s="45">
        <f t="shared" si="11"/>
        <v>667.40567399999998</v>
      </c>
    </row>
    <row r="96" spans="1:11">
      <c r="A96" s="38">
        <v>91</v>
      </c>
      <c r="B96" s="43" t="s">
        <v>84</v>
      </c>
      <c r="C96" s="49">
        <v>703</v>
      </c>
      <c r="D96" s="43">
        <v>44.09</v>
      </c>
      <c r="E96" s="43">
        <v>3.96</v>
      </c>
      <c r="F96" s="44">
        <f t="shared" si="8"/>
        <v>474.58476000000002</v>
      </c>
      <c r="G96" s="44">
        <f t="shared" si="8"/>
        <v>42.625439999999998</v>
      </c>
      <c r="H96" s="44">
        <f t="shared" si="9"/>
        <v>48.050000000000004</v>
      </c>
      <c r="I96" s="44">
        <f t="shared" si="10"/>
        <v>517.21019999999999</v>
      </c>
      <c r="J96" s="45">
        <v>795</v>
      </c>
      <c r="K96" s="45">
        <f t="shared" si="11"/>
        <v>308.48009400000001</v>
      </c>
    </row>
    <row r="97" spans="1:11">
      <c r="A97" s="38">
        <v>92</v>
      </c>
      <c r="B97" s="43" t="s">
        <v>84</v>
      </c>
      <c r="C97" s="49">
        <v>706</v>
      </c>
      <c r="D97" s="43">
        <v>44.09</v>
      </c>
      <c r="E97" s="43">
        <v>3.96</v>
      </c>
      <c r="F97" s="44">
        <f t="shared" ref="F97:G134" si="12">D97*10.764</f>
        <v>474.58476000000002</v>
      </c>
      <c r="G97" s="44">
        <f t="shared" si="12"/>
        <v>42.625439999999998</v>
      </c>
      <c r="H97" s="44">
        <f t="shared" si="9"/>
        <v>48.050000000000004</v>
      </c>
      <c r="I97" s="44">
        <f t="shared" si="10"/>
        <v>517.21019999999999</v>
      </c>
      <c r="J97" s="45">
        <v>795</v>
      </c>
      <c r="K97" s="45">
        <f t="shared" si="11"/>
        <v>308.48009400000001</v>
      </c>
    </row>
    <row r="98" spans="1:11">
      <c r="A98" s="38">
        <v>93</v>
      </c>
      <c r="B98" s="43" t="s">
        <v>84</v>
      </c>
      <c r="C98" s="49">
        <v>707</v>
      </c>
      <c r="D98" s="44">
        <v>95.39</v>
      </c>
      <c r="E98" s="44">
        <v>3.81</v>
      </c>
      <c r="F98" s="44">
        <f t="shared" si="12"/>
        <v>1026.7779599999999</v>
      </c>
      <c r="G98" s="44">
        <f t="shared" si="12"/>
        <v>41.010839999999995</v>
      </c>
      <c r="H98" s="44">
        <f t="shared" si="9"/>
        <v>99.2</v>
      </c>
      <c r="I98" s="44">
        <f t="shared" si="10"/>
        <v>1067.7887999999998</v>
      </c>
      <c r="J98" s="45">
        <v>1690</v>
      </c>
      <c r="K98" s="45">
        <f t="shared" si="11"/>
        <v>667.40567399999998</v>
      </c>
    </row>
    <row r="99" spans="1:11">
      <c r="A99" s="38">
        <v>94</v>
      </c>
      <c r="B99" s="43" t="s">
        <v>84</v>
      </c>
      <c r="C99" s="49">
        <v>708</v>
      </c>
      <c r="D99" s="43">
        <v>67.02</v>
      </c>
      <c r="E99" s="43">
        <v>3.94</v>
      </c>
      <c r="F99" s="44">
        <f t="shared" si="12"/>
        <v>721.40327999999988</v>
      </c>
      <c r="G99" s="44">
        <f t="shared" si="12"/>
        <v>42.410159999999998</v>
      </c>
      <c r="H99" s="44">
        <f t="shared" si="9"/>
        <v>70.959999999999994</v>
      </c>
      <c r="I99" s="44">
        <f t="shared" si="10"/>
        <v>763.8134399999999</v>
      </c>
      <c r="J99" s="45">
        <v>1210</v>
      </c>
      <c r="K99" s="45">
        <f t="shared" si="11"/>
        <v>468.91213199999993</v>
      </c>
    </row>
    <row r="100" spans="1:11">
      <c r="A100" s="38">
        <v>95</v>
      </c>
      <c r="B100" s="43" t="s">
        <v>84</v>
      </c>
      <c r="C100" s="49">
        <v>709</v>
      </c>
      <c r="D100" s="44">
        <v>41.9</v>
      </c>
      <c r="E100" s="43">
        <v>3.57</v>
      </c>
      <c r="F100" s="44">
        <f t="shared" si="12"/>
        <v>451.01159999999993</v>
      </c>
      <c r="G100" s="44">
        <f t="shared" si="12"/>
        <v>38.427479999999996</v>
      </c>
      <c r="H100" s="44">
        <f t="shared" si="9"/>
        <v>45.47</v>
      </c>
      <c r="I100" s="44">
        <f t="shared" si="10"/>
        <v>489.43907999999993</v>
      </c>
      <c r="J100" s="45">
        <v>760</v>
      </c>
      <c r="K100" s="45">
        <f t="shared" si="11"/>
        <v>293.15753999999998</v>
      </c>
    </row>
    <row r="101" spans="1:11">
      <c r="A101" s="38">
        <v>96</v>
      </c>
      <c r="B101" s="43" t="s">
        <v>84</v>
      </c>
      <c r="C101" s="49">
        <v>710</v>
      </c>
      <c r="D101" s="44">
        <v>41.3</v>
      </c>
      <c r="E101" s="44">
        <v>3.39</v>
      </c>
      <c r="F101" s="44">
        <f t="shared" si="12"/>
        <v>444.55319999999995</v>
      </c>
      <c r="G101" s="44">
        <f t="shared" si="12"/>
        <v>36.489959999999996</v>
      </c>
      <c r="H101" s="44">
        <f t="shared" si="9"/>
        <v>44.69</v>
      </c>
      <c r="I101" s="44">
        <f t="shared" si="10"/>
        <v>481.04315999999994</v>
      </c>
      <c r="J101" s="45">
        <v>750</v>
      </c>
      <c r="K101" s="45">
        <f t="shared" si="11"/>
        <v>288.95957999999996</v>
      </c>
    </row>
    <row r="102" spans="1:11">
      <c r="A102" s="38">
        <v>97</v>
      </c>
      <c r="B102" s="43" t="s">
        <v>84</v>
      </c>
      <c r="C102" s="49">
        <v>711</v>
      </c>
      <c r="D102" s="44">
        <v>41.3</v>
      </c>
      <c r="E102" s="44">
        <v>3.39</v>
      </c>
      <c r="F102" s="44">
        <f t="shared" si="12"/>
        <v>444.55319999999995</v>
      </c>
      <c r="G102" s="44">
        <f t="shared" si="12"/>
        <v>36.489959999999996</v>
      </c>
      <c r="H102" s="44">
        <f t="shared" si="9"/>
        <v>44.69</v>
      </c>
      <c r="I102" s="44">
        <f t="shared" si="10"/>
        <v>481.04315999999994</v>
      </c>
      <c r="J102" s="45">
        <v>750</v>
      </c>
      <c r="K102" s="45">
        <f t="shared" si="11"/>
        <v>288.95957999999996</v>
      </c>
    </row>
    <row r="103" spans="1:11">
      <c r="A103" s="38">
        <v>98</v>
      </c>
      <c r="B103" s="43" t="s">
        <v>84</v>
      </c>
      <c r="C103" s="49">
        <v>712</v>
      </c>
      <c r="D103" s="44">
        <v>41.9</v>
      </c>
      <c r="E103" s="43">
        <v>3.57</v>
      </c>
      <c r="F103" s="44">
        <f t="shared" si="12"/>
        <v>451.01159999999993</v>
      </c>
      <c r="G103" s="44">
        <f t="shared" si="12"/>
        <v>38.427479999999996</v>
      </c>
      <c r="H103" s="44">
        <f t="shared" si="9"/>
        <v>45.47</v>
      </c>
      <c r="I103" s="44">
        <f t="shared" si="10"/>
        <v>489.43907999999993</v>
      </c>
      <c r="J103" s="45">
        <v>760</v>
      </c>
      <c r="K103" s="45">
        <f t="shared" si="11"/>
        <v>293.15753999999998</v>
      </c>
    </row>
    <row r="104" spans="1:11">
      <c r="A104" s="38">
        <v>99</v>
      </c>
      <c r="B104" s="43" t="s">
        <v>84</v>
      </c>
      <c r="C104" s="43">
        <v>801</v>
      </c>
      <c r="D104" s="43">
        <v>67.02</v>
      </c>
      <c r="E104" s="43">
        <v>3.94</v>
      </c>
      <c r="F104" s="44">
        <f t="shared" si="12"/>
        <v>721.40327999999988</v>
      </c>
      <c r="G104" s="44">
        <f t="shared" si="12"/>
        <v>42.410159999999998</v>
      </c>
      <c r="H104" s="44">
        <f t="shared" si="9"/>
        <v>70.959999999999994</v>
      </c>
      <c r="I104" s="44">
        <f t="shared" si="10"/>
        <v>763.8134399999999</v>
      </c>
      <c r="J104" s="45">
        <v>1210</v>
      </c>
      <c r="K104" s="45">
        <f t="shared" si="11"/>
        <v>468.91213199999993</v>
      </c>
    </row>
    <row r="105" spans="1:11">
      <c r="A105" s="38">
        <v>100</v>
      </c>
      <c r="B105" s="43" t="s">
        <v>84</v>
      </c>
      <c r="C105" s="43">
        <v>802</v>
      </c>
      <c r="D105" s="43">
        <v>95.39</v>
      </c>
      <c r="E105" s="43">
        <v>3.81</v>
      </c>
      <c r="F105" s="44">
        <f t="shared" si="12"/>
        <v>1026.7779599999999</v>
      </c>
      <c r="G105" s="44">
        <f t="shared" si="12"/>
        <v>41.010839999999995</v>
      </c>
      <c r="H105" s="44">
        <f t="shared" si="9"/>
        <v>99.2</v>
      </c>
      <c r="I105" s="44">
        <f t="shared" si="10"/>
        <v>1067.7887999999998</v>
      </c>
      <c r="J105" s="45">
        <v>1690</v>
      </c>
      <c r="K105" s="45">
        <f t="shared" si="11"/>
        <v>667.40567399999998</v>
      </c>
    </row>
    <row r="106" spans="1:11">
      <c r="A106" s="38">
        <v>101</v>
      </c>
      <c r="B106" s="43" t="s">
        <v>84</v>
      </c>
      <c r="C106" s="43">
        <v>803</v>
      </c>
      <c r="D106" s="43">
        <v>44.09</v>
      </c>
      <c r="E106" s="43">
        <v>3.96</v>
      </c>
      <c r="F106" s="44">
        <f t="shared" si="12"/>
        <v>474.58476000000002</v>
      </c>
      <c r="G106" s="44">
        <f t="shared" si="12"/>
        <v>42.625439999999998</v>
      </c>
      <c r="H106" s="44">
        <f t="shared" si="9"/>
        <v>48.050000000000004</v>
      </c>
      <c r="I106" s="44">
        <f t="shared" si="10"/>
        <v>517.21019999999999</v>
      </c>
      <c r="J106" s="45">
        <v>795</v>
      </c>
      <c r="K106" s="45">
        <f t="shared" si="11"/>
        <v>308.48009400000001</v>
      </c>
    </row>
    <row r="107" spans="1:11">
      <c r="A107" s="38">
        <v>102</v>
      </c>
      <c r="B107" s="43" t="s">
        <v>84</v>
      </c>
      <c r="C107" s="43">
        <v>804</v>
      </c>
      <c r="D107" s="43">
        <v>44.35</v>
      </c>
      <c r="E107" s="43">
        <v>3.78</v>
      </c>
      <c r="F107" s="44">
        <f t="shared" si="12"/>
        <v>477.38339999999999</v>
      </c>
      <c r="G107" s="44">
        <f t="shared" si="12"/>
        <v>40.687919999999998</v>
      </c>
      <c r="H107" s="44">
        <f t="shared" si="9"/>
        <v>48.13</v>
      </c>
      <c r="I107" s="44">
        <f t="shared" si="10"/>
        <v>518.07132000000001</v>
      </c>
      <c r="J107" s="45">
        <v>795</v>
      </c>
      <c r="K107" s="45">
        <f t="shared" si="11"/>
        <v>310.29921000000002</v>
      </c>
    </row>
    <row r="108" spans="1:11">
      <c r="A108" s="38">
        <v>103</v>
      </c>
      <c r="B108" s="43" t="s">
        <v>84</v>
      </c>
      <c r="C108" s="50">
        <v>805</v>
      </c>
      <c r="D108" s="43">
        <v>44.35</v>
      </c>
      <c r="E108" s="43">
        <v>3.78</v>
      </c>
      <c r="F108" s="44">
        <f t="shared" si="12"/>
        <v>477.38339999999999</v>
      </c>
      <c r="G108" s="44">
        <f t="shared" si="12"/>
        <v>40.687919999999998</v>
      </c>
      <c r="H108" s="44">
        <f t="shared" si="9"/>
        <v>48.13</v>
      </c>
      <c r="I108" s="44">
        <f t="shared" si="10"/>
        <v>518.07132000000001</v>
      </c>
      <c r="J108" s="45">
        <v>795</v>
      </c>
      <c r="K108" s="45">
        <f t="shared" si="11"/>
        <v>310.29921000000002</v>
      </c>
    </row>
    <row r="109" spans="1:11">
      <c r="A109" s="38">
        <v>104</v>
      </c>
      <c r="B109" s="43" t="s">
        <v>84</v>
      </c>
      <c r="C109" s="43">
        <v>806</v>
      </c>
      <c r="D109" s="43">
        <v>44.09</v>
      </c>
      <c r="E109" s="43">
        <v>3.96</v>
      </c>
      <c r="F109" s="44">
        <f t="shared" si="12"/>
        <v>474.58476000000002</v>
      </c>
      <c r="G109" s="44">
        <f t="shared" si="12"/>
        <v>42.625439999999998</v>
      </c>
      <c r="H109" s="44">
        <f t="shared" si="9"/>
        <v>48.050000000000004</v>
      </c>
      <c r="I109" s="44">
        <f t="shared" si="10"/>
        <v>517.21019999999999</v>
      </c>
      <c r="J109" s="45">
        <v>795</v>
      </c>
      <c r="K109" s="45">
        <f t="shared" si="11"/>
        <v>308.48009400000001</v>
      </c>
    </row>
    <row r="110" spans="1:11">
      <c r="A110" s="38">
        <v>105</v>
      </c>
      <c r="B110" s="43" t="s">
        <v>84</v>
      </c>
      <c r="C110" s="43">
        <v>807</v>
      </c>
      <c r="D110" s="44">
        <v>95.39</v>
      </c>
      <c r="E110" s="44">
        <v>3.81</v>
      </c>
      <c r="F110" s="44">
        <f t="shared" si="12"/>
        <v>1026.7779599999999</v>
      </c>
      <c r="G110" s="44">
        <f t="shared" si="12"/>
        <v>41.010839999999995</v>
      </c>
      <c r="H110" s="44">
        <f t="shared" si="9"/>
        <v>99.2</v>
      </c>
      <c r="I110" s="44">
        <f t="shared" si="10"/>
        <v>1067.7887999999998</v>
      </c>
      <c r="J110" s="45">
        <v>1690</v>
      </c>
      <c r="K110" s="45">
        <f t="shared" si="11"/>
        <v>667.40567399999998</v>
      </c>
    </row>
    <row r="111" spans="1:11">
      <c r="A111" s="38">
        <v>106</v>
      </c>
      <c r="B111" s="43" t="s">
        <v>84</v>
      </c>
      <c r="C111" s="43">
        <v>808</v>
      </c>
      <c r="D111" s="43">
        <v>67.02</v>
      </c>
      <c r="E111" s="43">
        <v>3.94</v>
      </c>
      <c r="F111" s="44">
        <f t="shared" si="12"/>
        <v>721.40327999999988</v>
      </c>
      <c r="G111" s="44">
        <f t="shared" si="12"/>
        <v>42.410159999999998</v>
      </c>
      <c r="H111" s="44">
        <f t="shared" si="9"/>
        <v>70.959999999999994</v>
      </c>
      <c r="I111" s="44">
        <f t="shared" si="10"/>
        <v>763.8134399999999</v>
      </c>
      <c r="J111" s="45">
        <v>1210</v>
      </c>
      <c r="K111" s="45">
        <f t="shared" si="11"/>
        <v>468.91213199999993</v>
      </c>
    </row>
    <row r="112" spans="1:11">
      <c r="A112" s="38">
        <v>107</v>
      </c>
      <c r="B112" s="43" t="s">
        <v>84</v>
      </c>
      <c r="C112" s="43">
        <v>809</v>
      </c>
      <c r="D112" s="44">
        <v>41.9</v>
      </c>
      <c r="E112" s="43">
        <v>3.57</v>
      </c>
      <c r="F112" s="44">
        <f t="shared" si="12"/>
        <v>451.01159999999993</v>
      </c>
      <c r="G112" s="44">
        <f t="shared" si="12"/>
        <v>38.427479999999996</v>
      </c>
      <c r="H112" s="44">
        <f t="shared" si="9"/>
        <v>45.47</v>
      </c>
      <c r="I112" s="44">
        <f t="shared" si="10"/>
        <v>489.43907999999993</v>
      </c>
      <c r="J112" s="45">
        <v>760</v>
      </c>
      <c r="K112" s="45">
        <f t="shared" si="11"/>
        <v>293.15753999999998</v>
      </c>
    </row>
    <row r="113" spans="1:11">
      <c r="A113" s="38">
        <v>108</v>
      </c>
      <c r="B113" s="43" t="s">
        <v>84</v>
      </c>
      <c r="C113" s="43">
        <v>810</v>
      </c>
      <c r="D113" s="44">
        <v>41.3</v>
      </c>
      <c r="E113" s="44">
        <v>3.39</v>
      </c>
      <c r="F113" s="44">
        <f t="shared" si="12"/>
        <v>444.55319999999995</v>
      </c>
      <c r="G113" s="44">
        <f t="shared" si="12"/>
        <v>36.489959999999996</v>
      </c>
      <c r="H113" s="44">
        <f t="shared" si="9"/>
        <v>44.69</v>
      </c>
      <c r="I113" s="44">
        <f t="shared" si="10"/>
        <v>481.04315999999994</v>
      </c>
      <c r="J113" s="45">
        <v>750</v>
      </c>
      <c r="K113" s="45">
        <f t="shared" si="11"/>
        <v>288.95957999999996</v>
      </c>
    </row>
    <row r="114" spans="1:11">
      <c r="A114" s="38">
        <v>109</v>
      </c>
      <c r="B114" s="43" t="s">
        <v>84</v>
      </c>
      <c r="C114" s="43">
        <v>811</v>
      </c>
      <c r="D114" s="44">
        <v>41.3</v>
      </c>
      <c r="E114" s="44">
        <v>3.39</v>
      </c>
      <c r="F114" s="44">
        <f t="shared" si="12"/>
        <v>444.55319999999995</v>
      </c>
      <c r="G114" s="44">
        <f t="shared" si="12"/>
        <v>36.489959999999996</v>
      </c>
      <c r="H114" s="44">
        <f t="shared" si="9"/>
        <v>44.69</v>
      </c>
      <c r="I114" s="44">
        <f t="shared" si="10"/>
        <v>481.04315999999994</v>
      </c>
      <c r="J114" s="45">
        <v>750</v>
      </c>
      <c r="K114" s="45">
        <f t="shared" si="11"/>
        <v>288.95957999999996</v>
      </c>
    </row>
    <row r="115" spans="1:11">
      <c r="A115" s="38">
        <v>110</v>
      </c>
      <c r="B115" s="43" t="s">
        <v>84</v>
      </c>
      <c r="C115" s="43">
        <v>812</v>
      </c>
      <c r="D115" s="44">
        <v>41.9</v>
      </c>
      <c r="E115" s="43">
        <v>3.57</v>
      </c>
      <c r="F115" s="44">
        <f t="shared" si="12"/>
        <v>451.01159999999993</v>
      </c>
      <c r="G115" s="44">
        <f t="shared" si="12"/>
        <v>38.427479999999996</v>
      </c>
      <c r="H115" s="44">
        <f t="shared" si="9"/>
        <v>45.47</v>
      </c>
      <c r="I115" s="44">
        <f t="shared" si="10"/>
        <v>489.43907999999993</v>
      </c>
      <c r="J115" s="45">
        <v>760</v>
      </c>
      <c r="K115" s="45">
        <f t="shared" si="11"/>
        <v>293.15753999999998</v>
      </c>
    </row>
    <row r="116" spans="1:11">
      <c r="A116" s="38">
        <v>111</v>
      </c>
      <c r="B116" s="43" t="s">
        <v>84</v>
      </c>
      <c r="C116" s="43">
        <v>901</v>
      </c>
      <c r="D116" s="43">
        <v>67.02</v>
      </c>
      <c r="E116" s="43">
        <v>3.94</v>
      </c>
      <c r="F116" s="44">
        <f t="shared" si="12"/>
        <v>721.40327999999988</v>
      </c>
      <c r="G116" s="44">
        <f t="shared" si="12"/>
        <v>42.410159999999998</v>
      </c>
      <c r="H116" s="44">
        <f t="shared" si="9"/>
        <v>70.959999999999994</v>
      </c>
      <c r="I116" s="44">
        <f t="shared" si="10"/>
        <v>763.8134399999999</v>
      </c>
      <c r="J116" s="45">
        <v>1210</v>
      </c>
      <c r="K116" s="45">
        <f t="shared" si="11"/>
        <v>468.91213199999993</v>
      </c>
    </row>
    <row r="117" spans="1:11">
      <c r="A117" s="38">
        <v>112</v>
      </c>
      <c r="B117" s="43" t="s">
        <v>84</v>
      </c>
      <c r="C117" s="43">
        <v>902</v>
      </c>
      <c r="D117" s="43">
        <v>95.39</v>
      </c>
      <c r="E117" s="43">
        <v>3.81</v>
      </c>
      <c r="F117" s="44">
        <f t="shared" si="12"/>
        <v>1026.7779599999999</v>
      </c>
      <c r="G117" s="44">
        <f t="shared" si="12"/>
        <v>41.010839999999995</v>
      </c>
      <c r="H117" s="44">
        <f t="shared" si="9"/>
        <v>99.2</v>
      </c>
      <c r="I117" s="44">
        <f t="shared" si="10"/>
        <v>1067.7887999999998</v>
      </c>
      <c r="J117" s="45">
        <v>1690</v>
      </c>
      <c r="K117" s="45">
        <f t="shared" si="11"/>
        <v>667.40567399999998</v>
      </c>
    </row>
    <row r="118" spans="1:11">
      <c r="A118" s="38">
        <v>113</v>
      </c>
      <c r="B118" s="43" t="s">
        <v>84</v>
      </c>
      <c r="C118" s="43">
        <v>903</v>
      </c>
      <c r="D118" s="43">
        <v>44.09</v>
      </c>
      <c r="E118" s="43">
        <v>3.96</v>
      </c>
      <c r="F118" s="44">
        <f t="shared" si="12"/>
        <v>474.58476000000002</v>
      </c>
      <c r="G118" s="44">
        <f t="shared" si="12"/>
        <v>42.625439999999998</v>
      </c>
      <c r="H118" s="44">
        <f t="shared" si="9"/>
        <v>48.050000000000004</v>
      </c>
      <c r="I118" s="44">
        <f t="shared" si="10"/>
        <v>517.21019999999999</v>
      </c>
      <c r="J118" s="45">
        <v>795</v>
      </c>
      <c r="K118" s="45">
        <f t="shared" si="11"/>
        <v>308.48009400000001</v>
      </c>
    </row>
    <row r="119" spans="1:11">
      <c r="A119" s="38">
        <v>114</v>
      </c>
      <c r="B119" s="43" t="s">
        <v>84</v>
      </c>
      <c r="C119" s="43">
        <v>904</v>
      </c>
      <c r="D119" s="43">
        <v>44.35</v>
      </c>
      <c r="E119" s="43">
        <v>3.78</v>
      </c>
      <c r="F119" s="44">
        <f t="shared" si="12"/>
        <v>477.38339999999999</v>
      </c>
      <c r="G119" s="44">
        <f t="shared" si="12"/>
        <v>40.687919999999998</v>
      </c>
      <c r="H119" s="44">
        <f t="shared" si="9"/>
        <v>48.13</v>
      </c>
      <c r="I119" s="44">
        <f t="shared" si="10"/>
        <v>518.07132000000001</v>
      </c>
      <c r="J119" s="45">
        <v>795</v>
      </c>
      <c r="K119" s="45">
        <f t="shared" si="11"/>
        <v>310.29921000000002</v>
      </c>
    </row>
    <row r="120" spans="1:11">
      <c r="A120" s="38">
        <v>115</v>
      </c>
      <c r="B120" s="43" t="s">
        <v>84</v>
      </c>
      <c r="C120" s="43">
        <v>905</v>
      </c>
      <c r="D120" s="43">
        <v>44.35</v>
      </c>
      <c r="E120" s="43">
        <v>3.78</v>
      </c>
      <c r="F120" s="44">
        <f t="shared" si="12"/>
        <v>477.38339999999999</v>
      </c>
      <c r="G120" s="44">
        <f t="shared" si="12"/>
        <v>40.687919999999998</v>
      </c>
      <c r="H120" s="44">
        <f t="shared" si="9"/>
        <v>48.13</v>
      </c>
      <c r="I120" s="44">
        <f t="shared" si="10"/>
        <v>518.07132000000001</v>
      </c>
      <c r="J120" s="45">
        <v>795</v>
      </c>
      <c r="K120" s="45">
        <f t="shared" si="11"/>
        <v>310.29921000000002</v>
      </c>
    </row>
    <row r="121" spans="1:11">
      <c r="A121" s="38">
        <v>116</v>
      </c>
      <c r="B121" s="43" t="s">
        <v>84</v>
      </c>
      <c r="C121" s="43">
        <v>906</v>
      </c>
      <c r="D121" s="43">
        <v>44.09</v>
      </c>
      <c r="E121" s="43">
        <v>3.96</v>
      </c>
      <c r="F121" s="44">
        <f t="shared" si="12"/>
        <v>474.58476000000002</v>
      </c>
      <c r="G121" s="44">
        <f t="shared" si="12"/>
        <v>42.625439999999998</v>
      </c>
      <c r="H121" s="44">
        <f t="shared" si="9"/>
        <v>48.050000000000004</v>
      </c>
      <c r="I121" s="44">
        <f t="shared" si="10"/>
        <v>517.21019999999999</v>
      </c>
      <c r="J121" s="45">
        <v>795</v>
      </c>
      <c r="K121" s="45">
        <f t="shared" si="11"/>
        <v>308.48009400000001</v>
      </c>
    </row>
    <row r="122" spans="1:11">
      <c r="A122" s="38">
        <v>117</v>
      </c>
      <c r="B122" s="43" t="s">
        <v>84</v>
      </c>
      <c r="C122" s="43">
        <v>907</v>
      </c>
      <c r="D122" s="44">
        <v>95.39</v>
      </c>
      <c r="E122" s="44">
        <v>3.81</v>
      </c>
      <c r="F122" s="44">
        <f t="shared" si="12"/>
        <v>1026.7779599999999</v>
      </c>
      <c r="G122" s="44">
        <f t="shared" si="12"/>
        <v>41.010839999999995</v>
      </c>
      <c r="H122" s="44">
        <f t="shared" si="9"/>
        <v>99.2</v>
      </c>
      <c r="I122" s="44">
        <f t="shared" si="10"/>
        <v>1067.7887999999998</v>
      </c>
      <c r="J122" s="45">
        <v>1690</v>
      </c>
      <c r="K122" s="45">
        <f t="shared" si="11"/>
        <v>667.40567399999998</v>
      </c>
    </row>
    <row r="123" spans="1:11">
      <c r="A123" s="38">
        <v>118</v>
      </c>
      <c r="B123" s="43" t="s">
        <v>84</v>
      </c>
      <c r="C123" s="43">
        <v>908</v>
      </c>
      <c r="D123" s="43">
        <v>67.02</v>
      </c>
      <c r="E123" s="43">
        <v>3.94</v>
      </c>
      <c r="F123" s="44">
        <f t="shared" si="12"/>
        <v>721.40327999999988</v>
      </c>
      <c r="G123" s="44">
        <f t="shared" si="12"/>
        <v>42.410159999999998</v>
      </c>
      <c r="H123" s="44">
        <f t="shared" si="9"/>
        <v>70.959999999999994</v>
      </c>
      <c r="I123" s="44">
        <f t="shared" si="10"/>
        <v>763.8134399999999</v>
      </c>
      <c r="J123" s="45">
        <v>1210</v>
      </c>
      <c r="K123" s="45">
        <f t="shared" si="11"/>
        <v>468.91213199999993</v>
      </c>
    </row>
    <row r="124" spans="1:11">
      <c r="A124" s="38">
        <v>119</v>
      </c>
      <c r="B124" s="43" t="s">
        <v>84</v>
      </c>
      <c r="C124" s="43">
        <v>909</v>
      </c>
      <c r="D124" s="44">
        <v>41.9</v>
      </c>
      <c r="E124" s="43">
        <v>3.57</v>
      </c>
      <c r="F124" s="44">
        <f t="shared" si="12"/>
        <v>451.01159999999993</v>
      </c>
      <c r="G124" s="44">
        <f t="shared" si="12"/>
        <v>38.427479999999996</v>
      </c>
      <c r="H124" s="44">
        <f t="shared" si="9"/>
        <v>45.47</v>
      </c>
      <c r="I124" s="44">
        <f t="shared" si="10"/>
        <v>489.43907999999993</v>
      </c>
      <c r="J124" s="45">
        <v>760</v>
      </c>
      <c r="K124" s="45">
        <f t="shared" si="11"/>
        <v>293.15753999999998</v>
      </c>
    </row>
    <row r="125" spans="1:11">
      <c r="A125" s="38">
        <v>120</v>
      </c>
      <c r="B125" s="43" t="s">
        <v>84</v>
      </c>
      <c r="C125" s="43">
        <v>910</v>
      </c>
      <c r="D125" s="44">
        <v>41.3</v>
      </c>
      <c r="E125" s="44">
        <v>3.39</v>
      </c>
      <c r="F125" s="44">
        <f t="shared" si="12"/>
        <v>444.55319999999995</v>
      </c>
      <c r="G125" s="44">
        <f t="shared" si="12"/>
        <v>36.489959999999996</v>
      </c>
      <c r="H125" s="44">
        <f t="shared" si="9"/>
        <v>44.69</v>
      </c>
      <c r="I125" s="44">
        <f t="shared" si="10"/>
        <v>481.04315999999994</v>
      </c>
      <c r="J125" s="45">
        <v>750</v>
      </c>
      <c r="K125" s="45">
        <f t="shared" si="11"/>
        <v>288.95957999999996</v>
      </c>
    </row>
    <row r="126" spans="1:11">
      <c r="A126" s="38">
        <v>121</v>
      </c>
      <c r="B126" s="43" t="s">
        <v>84</v>
      </c>
      <c r="C126" s="43">
        <v>911</v>
      </c>
      <c r="D126" s="44">
        <v>41.3</v>
      </c>
      <c r="E126" s="44">
        <v>3.39</v>
      </c>
      <c r="F126" s="44">
        <f t="shared" si="12"/>
        <v>444.55319999999995</v>
      </c>
      <c r="G126" s="44">
        <f t="shared" si="12"/>
        <v>36.489959999999996</v>
      </c>
      <c r="H126" s="44">
        <f t="shared" si="9"/>
        <v>44.69</v>
      </c>
      <c r="I126" s="44">
        <f t="shared" si="10"/>
        <v>481.04315999999994</v>
      </c>
      <c r="J126" s="45">
        <v>750</v>
      </c>
      <c r="K126" s="45">
        <f t="shared" si="11"/>
        <v>288.95957999999996</v>
      </c>
    </row>
    <row r="127" spans="1:11">
      <c r="A127" s="38">
        <v>122</v>
      </c>
      <c r="B127" s="43" t="s">
        <v>84</v>
      </c>
      <c r="C127" s="43">
        <v>912</v>
      </c>
      <c r="D127" s="44">
        <v>41.9</v>
      </c>
      <c r="E127" s="43">
        <v>3.57</v>
      </c>
      <c r="F127" s="44">
        <f t="shared" si="12"/>
        <v>451.01159999999993</v>
      </c>
      <c r="G127" s="44">
        <f t="shared" si="12"/>
        <v>38.427479999999996</v>
      </c>
      <c r="H127" s="44">
        <f t="shared" si="9"/>
        <v>45.47</v>
      </c>
      <c r="I127" s="44">
        <f t="shared" si="10"/>
        <v>489.43907999999993</v>
      </c>
      <c r="J127" s="45">
        <v>760</v>
      </c>
      <c r="K127" s="45">
        <f t="shared" si="11"/>
        <v>293.15753999999998</v>
      </c>
    </row>
    <row r="128" spans="1:11">
      <c r="A128" s="38">
        <v>123</v>
      </c>
      <c r="B128" s="43" t="s">
        <v>84</v>
      </c>
      <c r="C128" s="43">
        <v>1001</v>
      </c>
      <c r="D128" s="43">
        <v>67.02</v>
      </c>
      <c r="E128" s="43">
        <v>3.94</v>
      </c>
      <c r="F128" s="44">
        <f t="shared" si="12"/>
        <v>721.40327999999988</v>
      </c>
      <c r="G128" s="44">
        <f t="shared" si="12"/>
        <v>42.410159999999998</v>
      </c>
      <c r="H128" s="44">
        <f t="shared" si="9"/>
        <v>70.959999999999994</v>
      </c>
      <c r="I128" s="44">
        <f t="shared" si="10"/>
        <v>763.8134399999999</v>
      </c>
      <c r="J128" s="45">
        <v>1210</v>
      </c>
      <c r="K128" s="45">
        <f t="shared" si="11"/>
        <v>468.91213199999993</v>
      </c>
    </row>
    <row r="129" spans="1:11">
      <c r="A129" s="38">
        <v>124</v>
      </c>
      <c r="B129" s="43" t="s">
        <v>84</v>
      </c>
      <c r="C129" s="43">
        <v>1002</v>
      </c>
      <c r="D129" s="43">
        <v>95.39</v>
      </c>
      <c r="E129" s="43">
        <v>3.81</v>
      </c>
      <c r="F129" s="44">
        <f t="shared" si="12"/>
        <v>1026.7779599999999</v>
      </c>
      <c r="G129" s="44">
        <f t="shared" si="12"/>
        <v>41.010839999999995</v>
      </c>
      <c r="H129" s="44">
        <f t="shared" si="9"/>
        <v>99.2</v>
      </c>
      <c r="I129" s="44">
        <f t="shared" si="10"/>
        <v>1067.7887999999998</v>
      </c>
      <c r="J129" s="45">
        <v>1690</v>
      </c>
      <c r="K129" s="45">
        <f t="shared" si="11"/>
        <v>667.40567399999998</v>
      </c>
    </row>
    <row r="130" spans="1:11">
      <c r="A130" s="38">
        <v>125</v>
      </c>
      <c r="B130" s="43" t="s">
        <v>84</v>
      </c>
      <c r="C130" s="43">
        <v>1003</v>
      </c>
      <c r="D130" s="43">
        <v>44.09</v>
      </c>
      <c r="E130" s="43">
        <v>3.96</v>
      </c>
      <c r="F130" s="44">
        <f t="shared" si="12"/>
        <v>474.58476000000002</v>
      </c>
      <c r="G130" s="44">
        <f t="shared" si="12"/>
        <v>42.625439999999998</v>
      </c>
      <c r="H130" s="44">
        <f t="shared" si="9"/>
        <v>48.050000000000004</v>
      </c>
      <c r="I130" s="44">
        <f t="shared" si="10"/>
        <v>517.21019999999999</v>
      </c>
      <c r="J130" s="45">
        <v>795</v>
      </c>
      <c r="K130" s="45">
        <f t="shared" si="11"/>
        <v>308.48009400000001</v>
      </c>
    </row>
    <row r="131" spans="1:11">
      <c r="A131" s="38">
        <v>126</v>
      </c>
      <c r="B131" s="43" t="s">
        <v>84</v>
      </c>
      <c r="C131" s="43">
        <v>1004</v>
      </c>
      <c r="D131" s="43">
        <v>44.35</v>
      </c>
      <c r="E131" s="43">
        <v>3.78</v>
      </c>
      <c r="F131" s="44">
        <f t="shared" si="12"/>
        <v>477.38339999999999</v>
      </c>
      <c r="G131" s="44">
        <f t="shared" si="12"/>
        <v>40.687919999999998</v>
      </c>
      <c r="H131" s="44">
        <f t="shared" si="9"/>
        <v>48.13</v>
      </c>
      <c r="I131" s="44">
        <f t="shared" si="10"/>
        <v>518.07132000000001</v>
      </c>
      <c r="J131" s="45">
        <v>795</v>
      </c>
      <c r="K131" s="45">
        <f t="shared" si="11"/>
        <v>310.29921000000002</v>
      </c>
    </row>
    <row r="132" spans="1:11">
      <c r="A132" s="38">
        <v>127</v>
      </c>
      <c r="B132" s="43" t="s">
        <v>84</v>
      </c>
      <c r="C132" s="43">
        <v>1005</v>
      </c>
      <c r="D132" s="43">
        <v>44.35</v>
      </c>
      <c r="E132" s="43">
        <v>3.78</v>
      </c>
      <c r="F132" s="44">
        <f t="shared" si="12"/>
        <v>477.38339999999999</v>
      </c>
      <c r="G132" s="44">
        <f t="shared" si="12"/>
        <v>40.687919999999998</v>
      </c>
      <c r="H132" s="44">
        <f t="shared" si="9"/>
        <v>48.13</v>
      </c>
      <c r="I132" s="44">
        <f t="shared" si="10"/>
        <v>518.07132000000001</v>
      </c>
      <c r="J132" s="45">
        <v>795</v>
      </c>
      <c r="K132" s="45">
        <f t="shared" si="11"/>
        <v>310.29921000000002</v>
      </c>
    </row>
    <row r="133" spans="1:11">
      <c r="A133" s="38">
        <v>128</v>
      </c>
      <c r="B133" s="43" t="s">
        <v>84</v>
      </c>
      <c r="C133" s="43">
        <v>1006</v>
      </c>
      <c r="D133" s="43">
        <v>44.09</v>
      </c>
      <c r="E133" s="43">
        <v>3.96</v>
      </c>
      <c r="F133" s="44">
        <f t="shared" si="12"/>
        <v>474.58476000000002</v>
      </c>
      <c r="G133" s="44">
        <f t="shared" si="12"/>
        <v>42.625439999999998</v>
      </c>
      <c r="H133" s="44">
        <f t="shared" si="9"/>
        <v>48.050000000000004</v>
      </c>
      <c r="I133" s="44">
        <f t="shared" si="10"/>
        <v>517.21019999999999</v>
      </c>
      <c r="J133" s="45">
        <v>795</v>
      </c>
      <c r="K133" s="45">
        <f t="shared" si="11"/>
        <v>308.48009400000001</v>
      </c>
    </row>
    <row r="134" spans="1:11">
      <c r="A134" s="38">
        <v>129</v>
      </c>
      <c r="B134" s="43" t="s">
        <v>84</v>
      </c>
      <c r="C134" s="43">
        <v>1007</v>
      </c>
      <c r="D134" s="44">
        <v>95.39</v>
      </c>
      <c r="E134" s="44">
        <v>3.81</v>
      </c>
      <c r="F134" s="44">
        <f t="shared" si="12"/>
        <v>1026.7779599999999</v>
      </c>
      <c r="G134" s="44">
        <f t="shared" si="12"/>
        <v>41.010839999999995</v>
      </c>
      <c r="H134" s="44">
        <f t="shared" si="9"/>
        <v>99.2</v>
      </c>
      <c r="I134" s="44">
        <f t="shared" si="10"/>
        <v>1067.7887999999998</v>
      </c>
      <c r="J134" s="45">
        <v>1690</v>
      </c>
      <c r="K134" s="45">
        <f t="shared" si="11"/>
        <v>667.40567399999998</v>
      </c>
    </row>
    <row r="135" spans="1:11">
      <c r="A135" s="38">
        <v>130</v>
      </c>
      <c r="B135" s="43" t="s">
        <v>84</v>
      </c>
      <c r="C135" s="43">
        <v>1008</v>
      </c>
      <c r="D135" s="43">
        <v>67.02</v>
      </c>
      <c r="E135" s="43">
        <v>3.94</v>
      </c>
      <c r="F135" s="44">
        <f t="shared" ref="F135:G161" si="13">D135*10.764</f>
        <v>721.40327999999988</v>
      </c>
      <c r="G135" s="44">
        <f t="shared" si="13"/>
        <v>42.410159999999998</v>
      </c>
      <c r="H135" s="44">
        <f t="shared" si="9"/>
        <v>70.959999999999994</v>
      </c>
      <c r="I135" s="44">
        <f t="shared" si="10"/>
        <v>763.8134399999999</v>
      </c>
      <c r="J135" s="45">
        <v>1210</v>
      </c>
      <c r="K135" s="45">
        <f t="shared" si="11"/>
        <v>468.91213199999993</v>
      </c>
    </row>
    <row r="136" spans="1:11">
      <c r="A136" s="38">
        <v>131</v>
      </c>
      <c r="B136" s="43" t="s">
        <v>84</v>
      </c>
      <c r="C136" s="43">
        <v>1009</v>
      </c>
      <c r="D136" s="44">
        <v>41.9</v>
      </c>
      <c r="E136" s="43">
        <v>3.57</v>
      </c>
      <c r="F136" s="44">
        <f t="shared" si="13"/>
        <v>451.01159999999993</v>
      </c>
      <c r="G136" s="44">
        <f t="shared" si="13"/>
        <v>38.427479999999996</v>
      </c>
      <c r="H136" s="44">
        <f t="shared" si="9"/>
        <v>45.47</v>
      </c>
      <c r="I136" s="44">
        <f t="shared" si="10"/>
        <v>489.43907999999993</v>
      </c>
      <c r="J136" s="45">
        <v>760</v>
      </c>
      <c r="K136" s="45">
        <f t="shared" si="11"/>
        <v>293.15753999999998</v>
      </c>
    </row>
    <row r="137" spans="1:11">
      <c r="A137" s="38">
        <v>132</v>
      </c>
      <c r="B137" s="43" t="s">
        <v>84</v>
      </c>
      <c r="C137" s="43">
        <v>1010</v>
      </c>
      <c r="D137" s="44">
        <v>41.3</v>
      </c>
      <c r="E137" s="44">
        <v>3.39</v>
      </c>
      <c r="F137" s="44">
        <f t="shared" si="13"/>
        <v>444.55319999999995</v>
      </c>
      <c r="G137" s="44">
        <f t="shared" si="13"/>
        <v>36.489959999999996</v>
      </c>
      <c r="H137" s="44">
        <f t="shared" si="9"/>
        <v>44.69</v>
      </c>
      <c r="I137" s="44">
        <f t="shared" si="10"/>
        <v>481.04315999999994</v>
      </c>
      <c r="J137" s="45">
        <v>750</v>
      </c>
      <c r="K137" s="45">
        <f t="shared" si="11"/>
        <v>288.95957999999996</v>
      </c>
    </row>
    <row r="138" spans="1:11">
      <c r="A138" s="38">
        <v>133</v>
      </c>
      <c r="B138" s="43" t="s">
        <v>84</v>
      </c>
      <c r="C138" s="43">
        <v>1011</v>
      </c>
      <c r="D138" s="44">
        <v>41.3</v>
      </c>
      <c r="E138" s="44">
        <v>3.39</v>
      </c>
      <c r="F138" s="44">
        <f t="shared" si="13"/>
        <v>444.55319999999995</v>
      </c>
      <c r="G138" s="44">
        <f t="shared" si="13"/>
        <v>36.489959999999996</v>
      </c>
      <c r="H138" s="44">
        <f t="shared" si="9"/>
        <v>44.69</v>
      </c>
      <c r="I138" s="44">
        <f t="shared" si="10"/>
        <v>481.04315999999994</v>
      </c>
      <c r="J138" s="45">
        <v>750</v>
      </c>
      <c r="K138" s="45">
        <f t="shared" si="11"/>
        <v>288.95957999999996</v>
      </c>
    </row>
    <row r="139" spans="1:11">
      <c r="A139" s="38">
        <v>134</v>
      </c>
      <c r="B139" s="43" t="s">
        <v>84</v>
      </c>
      <c r="C139" s="43">
        <v>1012</v>
      </c>
      <c r="D139" s="44">
        <v>41.9</v>
      </c>
      <c r="E139" s="43">
        <v>3.57</v>
      </c>
      <c r="F139" s="44">
        <f t="shared" si="13"/>
        <v>451.01159999999993</v>
      </c>
      <c r="G139" s="44">
        <f t="shared" si="13"/>
        <v>38.427479999999996</v>
      </c>
      <c r="H139" s="44">
        <f t="shared" si="9"/>
        <v>45.47</v>
      </c>
      <c r="I139" s="44">
        <f t="shared" si="10"/>
        <v>489.43907999999993</v>
      </c>
      <c r="J139" s="45">
        <v>760</v>
      </c>
      <c r="K139" s="45">
        <f t="shared" si="11"/>
        <v>293.15753999999998</v>
      </c>
    </row>
    <row r="140" spans="1:11">
      <c r="A140" s="38">
        <v>135</v>
      </c>
      <c r="B140" s="43" t="s">
        <v>84</v>
      </c>
      <c r="C140" s="43">
        <v>1101</v>
      </c>
      <c r="D140" s="43">
        <v>67.02</v>
      </c>
      <c r="E140" s="43">
        <v>3.94</v>
      </c>
      <c r="F140" s="44">
        <f t="shared" si="13"/>
        <v>721.40327999999988</v>
      </c>
      <c r="G140" s="44">
        <f t="shared" si="13"/>
        <v>42.410159999999998</v>
      </c>
      <c r="H140" s="44">
        <f t="shared" si="9"/>
        <v>70.959999999999994</v>
      </c>
      <c r="I140" s="44">
        <f t="shared" si="10"/>
        <v>763.8134399999999</v>
      </c>
      <c r="J140" s="45">
        <v>1210</v>
      </c>
      <c r="K140" s="45">
        <f t="shared" si="11"/>
        <v>468.91213199999993</v>
      </c>
    </row>
    <row r="141" spans="1:11">
      <c r="A141" s="38">
        <v>136</v>
      </c>
      <c r="B141" s="43" t="s">
        <v>84</v>
      </c>
      <c r="C141" s="43">
        <v>1102</v>
      </c>
      <c r="D141" s="43">
        <v>95.39</v>
      </c>
      <c r="E141" s="43">
        <v>3.81</v>
      </c>
      <c r="F141" s="44">
        <f t="shared" si="13"/>
        <v>1026.7779599999999</v>
      </c>
      <c r="G141" s="44">
        <f t="shared" si="13"/>
        <v>41.010839999999995</v>
      </c>
      <c r="H141" s="44">
        <f t="shared" si="9"/>
        <v>99.2</v>
      </c>
      <c r="I141" s="44">
        <f t="shared" si="10"/>
        <v>1067.7887999999998</v>
      </c>
      <c r="J141" s="45">
        <v>1690</v>
      </c>
      <c r="K141" s="45">
        <f t="shared" si="11"/>
        <v>667.40567399999998</v>
      </c>
    </row>
    <row r="142" spans="1:11">
      <c r="A142" s="38">
        <v>137</v>
      </c>
      <c r="B142" s="43" t="s">
        <v>84</v>
      </c>
      <c r="C142" s="43">
        <v>1103</v>
      </c>
      <c r="D142" s="43">
        <v>44.09</v>
      </c>
      <c r="E142" s="43">
        <v>3.96</v>
      </c>
      <c r="F142" s="44">
        <f t="shared" si="13"/>
        <v>474.58476000000002</v>
      </c>
      <c r="G142" s="44">
        <f t="shared" si="13"/>
        <v>42.625439999999998</v>
      </c>
      <c r="H142" s="44">
        <f t="shared" si="9"/>
        <v>48.050000000000004</v>
      </c>
      <c r="I142" s="44">
        <f t="shared" si="10"/>
        <v>517.21019999999999</v>
      </c>
      <c r="J142" s="45">
        <v>795</v>
      </c>
      <c r="K142" s="45">
        <f t="shared" si="11"/>
        <v>308.48009400000001</v>
      </c>
    </row>
    <row r="143" spans="1:11">
      <c r="A143" s="38">
        <v>138</v>
      </c>
      <c r="B143" s="43" t="s">
        <v>84</v>
      </c>
      <c r="C143" s="43">
        <v>1104</v>
      </c>
      <c r="D143" s="43">
        <v>44.35</v>
      </c>
      <c r="E143" s="43">
        <v>3.78</v>
      </c>
      <c r="F143" s="44">
        <f t="shared" si="13"/>
        <v>477.38339999999999</v>
      </c>
      <c r="G143" s="44">
        <f t="shared" si="13"/>
        <v>40.687919999999998</v>
      </c>
      <c r="H143" s="44">
        <f t="shared" si="9"/>
        <v>48.13</v>
      </c>
      <c r="I143" s="44">
        <f t="shared" si="10"/>
        <v>518.07132000000001</v>
      </c>
      <c r="J143" s="45">
        <v>795</v>
      </c>
      <c r="K143" s="45">
        <f t="shared" si="11"/>
        <v>310.29921000000002</v>
      </c>
    </row>
    <row r="144" spans="1:11">
      <c r="A144" s="38">
        <v>139</v>
      </c>
      <c r="B144" s="43" t="s">
        <v>84</v>
      </c>
      <c r="C144" s="43">
        <v>1105</v>
      </c>
      <c r="D144" s="43">
        <v>44.35</v>
      </c>
      <c r="E144" s="43">
        <v>3.78</v>
      </c>
      <c r="F144" s="44">
        <f t="shared" si="13"/>
        <v>477.38339999999999</v>
      </c>
      <c r="G144" s="44">
        <f t="shared" si="13"/>
        <v>40.687919999999998</v>
      </c>
      <c r="H144" s="44">
        <f t="shared" si="9"/>
        <v>48.13</v>
      </c>
      <c r="I144" s="44">
        <f t="shared" si="10"/>
        <v>518.07132000000001</v>
      </c>
      <c r="J144" s="45">
        <v>795</v>
      </c>
      <c r="K144" s="45">
        <f t="shared" si="11"/>
        <v>310.29921000000002</v>
      </c>
    </row>
    <row r="145" spans="1:11">
      <c r="A145" s="38">
        <v>140</v>
      </c>
      <c r="B145" s="43" t="s">
        <v>84</v>
      </c>
      <c r="C145" s="43">
        <v>1106</v>
      </c>
      <c r="D145" s="43">
        <v>44.09</v>
      </c>
      <c r="E145" s="43">
        <v>3.96</v>
      </c>
      <c r="F145" s="44">
        <f t="shared" si="13"/>
        <v>474.58476000000002</v>
      </c>
      <c r="G145" s="44">
        <f t="shared" si="13"/>
        <v>42.625439999999998</v>
      </c>
      <c r="H145" s="44">
        <f t="shared" si="9"/>
        <v>48.050000000000004</v>
      </c>
      <c r="I145" s="44">
        <f t="shared" si="10"/>
        <v>517.21019999999999</v>
      </c>
      <c r="J145" s="45">
        <v>795</v>
      </c>
      <c r="K145" s="45">
        <f t="shared" si="11"/>
        <v>308.48009400000001</v>
      </c>
    </row>
    <row r="146" spans="1:11">
      <c r="A146" s="38">
        <v>141</v>
      </c>
      <c r="B146" s="43" t="s">
        <v>84</v>
      </c>
      <c r="C146" s="43">
        <v>1107</v>
      </c>
      <c r="D146" s="44">
        <v>95.39</v>
      </c>
      <c r="E146" s="44">
        <v>3.81</v>
      </c>
      <c r="F146" s="44">
        <f t="shared" si="13"/>
        <v>1026.7779599999999</v>
      </c>
      <c r="G146" s="44">
        <f t="shared" si="13"/>
        <v>41.010839999999995</v>
      </c>
      <c r="H146" s="44">
        <f t="shared" si="9"/>
        <v>99.2</v>
      </c>
      <c r="I146" s="44">
        <f t="shared" si="10"/>
        <v>1067.7887999999998</v>
      </c>
      <c r="J146" s="45">
        <v>1690</v>
      </c>
      <c r="K146" s="45">
        <f t="shared" si="11"/>
        <v>667.40567399999998</v>
      </c>
    </row>
    <row r="147" spans="1:11">
      <c r="A147" s="38">
        <v>142</v>
      </c>
      <c r="B147" s="43" t="s">
        <v>84</v>
      </c>
      <c r="C147" s="43">
        <v>1108</v>
      </c>
      <c r="D147" s="43">
        <v>67.02</v>
      </c>
      <c r="E147" s="43">
        <v>3.94</v>
      </c>
      <c r="F147" s="44">
        <f t="shared" si="13"/>
        <v>721.40327999999988</v>
      </c>
      <c r="G147" s="44">
        <f t="shared" si="13"/>
        <v>42.410159999999998</v>
      </c>
      <c r="H147" s="44">
        <f t="shared" si="9"/>
        <v>70.959999999999994</v>
      </c>
      <c r="I147" s="44">
        <f t="shared" si="10"/>
        <v>763.8134399999999</v>
      </c>
      <c r="J147" s="45">
        <v>1210</v>
      </c>
      <c r="K147" s="45">
        <f t="shared" si="11"/>
        <v>468.91213199999993</v>
      </c>
    </row>
    <row r="148" spans="1:11">
      <c r="A148" s="38">
        <v>143</v>
      </c>
      <c r="B148" s="43" t="s">
        <v>84</v>
      </c>
      <c r="C148" s="43">
        <v>1109</v>
      </c>
      <c r="D148" s="44">
        <v>41.9</v>
      </c>
      <c r="E148" s="43">
        <v>3.57</v>
      </c>
      <c r="F148" s="44">
        <f t="shared" si="13"/>
        <v>451.01159999999993</v>
      </c>
      <c r="G148" s="44">
        <f t="shared" si="13"/>
        <v>38.427479999999996</v>
      </c>
      <c r="H148" s="44">
        <f t="shared" si="9"/>
        <v>45.47</v>
      </c>
      <c r="I148" s="44">
        <f t="shared" si="10"/>
        <v>489.43907999999993</v>
      </c>
      <c r="J148" s="45">
        <v>760</v>
      </c>
      <c r="K148" s="45">
        <f t="shared" si="11"/>
        <v>293.15753999999998</v>
      </c>
    </row>
    <row r="149" spans="1:11">
      <c r="A149" s="38">
        <v>144</v>
      </c>
      <c r="B149" s="43" t="s">
        <v>84</v>
      </c>
      <c r="C149" s="43">
        <v>1110</v>
      </c>
      <c r="D149" s="44">
        <v>41.3</v>
      </c>
      <c r="E149" s="44">
        <v>3.39</v>
      </c>
      <c r="F149" s="44">
        <f t="shared" si="13"/>
        <v>444.55319999999995</v>
      </c>
      <c r="G149" s="44">
        <f t="shared" si="13"/>
        <v>36.489959999999996</v>
      </c>
      <c r="H149" s="44">
        <f t="shared" si="9"/>
        <v>44.69</v>
      </c>
      <c r="I149" s="44">
        <f t="shared" si="10"/>
        <v>481.04315999999994</v>
      </c>
      <c r="J149" s="45">
        <v>750</v>
      </c>
      <c r="K149" s="45">
        <f t="shared" si="11"/>
        <v>288.95957999999996</v>
      </c>
    </row>
    <row r="150" spans="1:11">
      <c r="A150" s="38">
        <v>145</v>
      </c>
      <c r="B150" s="43" t="s">
        <v>84</v>
      </c>
      <c r="C150" s="43">
        <v>1111</v>
      </c>
      <c r="D150" s="44">
        <v>41.3</v>
      </c>
      <c r="E150" s="44">
        <v>3.39</v>
      </c>
      <c r="F150" s="44">
        <f t="shared" si="13"/>
        <v>444.55319999999995</v>
      </c>
      <c r="G150" s="44">
        <f t="shared" si="13"/>
        <v>36.489959999999996</v>
      </c>
      <c r="H150" s="44">
        <f t="shared" si="9"/>
        <v>44.69</v>
      </c>
      <c r="I150" s="44">
        <f t="shared" si="10"/>
        <v>481.04315999999994</v>
      </c>
      <c r="J150" s="45">
        <v>750</v>
      </c>
      <c r="K150" s="45">
        <f t="shared" si="11"/>
        <v>288.95957999999996</v>
      </c>
    </row>
    <row r="151" spans="1:11">
      <c r="A151" s="38">
        <v>146</v>
      </c>
      <c r="B151" s="43" t="s">
        <v>84</v>
      </c>
      <c r="C151" s="43">
        <v>1112</v>
      </c>
      <c r="D151" s="44">
        <v>41.9</v>
      </c>
      <c r="E151" s="43">
        <v>3.57</v>
      </c>
      <c r="F151" s="44">
        <f t="shared" si="13"/>
        <v>451.01159999999993</v>
      </c>
      <c r="G151" s="44">
        <f t="shared" si="13"/>
        <v>38.427479999999996</v>
      </c>
      <c r="H151" s="44">
        <f t="shared" si="9"/>
        <v>45.47</v>
      </c>
      <c r="I151" s="44">
        <f t="shared" si="10"/>
        <v>489.43907999999993</v>
      </c>
      <c r="J151" s="45">
        <v>760</v>
      </c>
      <c r="K151" s="45">
        <f t="shared" si="11"/>
        <v>293.15753999999998</v>
      </c>
    </row>
    <row r="152" spans="1:11">
      <c r="A152" s="38">
        <v>147</v>
      </c>
      <c r="B152" s="43" t="s">
        <v>84</v>
      </c>
      <c r="C152" s="49">
        <v>1201</v>
      </c>
      <c r="D152" s="43">
        <v>67.02</v>
      </c>
      <c r="E152" s="43">
        <v>3.94</v>
      </c>
      <c r="F152" s="44">
        <f t="shared" si="13"/>
        <v>721.40327999999988</v>
      </c>
      <c r="G152" s="44">
        <f t="shared" si="13"/>
        <v>42.410159999999998</v>
      </c>
      <c r="H152" s="44">
        <f t="shared" si="9"/>
        <v>70.959999999999994</v>
      </c>
      <c r="I152" s="44">
        <f t="shared" si="10"/>
        <v>763.8134399999999</v>
      </c>
      <c r="J152" s="45">
        <v>1210</v>
      </c>
      <c r="K152" s="45">
        <f t="shared" si="11"/>
        <v>468.91213199999993</v>
      </c>
    </row>
    <row r="153" spans="1:11">
      <c r="A153" s="38">
        <v>148</v>
      </c>
      <c r="B153" s="43" t="s">
        <v>84</v>
      </c>
      <c r="C153" s="49">
        <v>1202</v>
      </c>
      <c r="D153" s="43">
        <v>95.39</v>
      </c>
      <c r="E153" s="43">
        <v>3.81</v>
      </c>
      <c r="F153" s="44">
        <f t="shared" si="13"/>
        <v>1026.7779599999999</v>
      </c>
      <c r="G153" s="44">
        <f t="shared" si="13"/>
        <v>41.010839999999995</v>
      </c>
      <c r="H153" s="44">
        <f t="shared" ref="H153:H216" si="14">D153+E153</f>
        <v>99.2</v>
      </c>
      <c r="I153" s="44">
        <f t="shared" ref="I153:I216" si="15">F153+G153</f>
        <v>1067.7887999999998</v>
      </c>
      <c r="J153" s="45">
        <v>1690</v>
      </c>
      <c r="K153" s="45">
        <f t="shared" ref="K153:K216" si="16">F153*65%</f>
        <v>667.40567399999998</v>
      </c>
    </row>
    <row r="154" spans="1:11">
      <c r="A154" s="38">
        <v>149</v>
      </c>
      <c r="B154" s="43" t="s">
        <v>84</v>
      </c>
      <c r="C154" s="49">
        <v>1203</v>
      </c>
      <c r="D154" s="43">
        <v>44.09</v>
      </c>
      <c r="E154" s="43">
        <v>3.96</v>
      </c>
      <c r="F154" s="44">
        <f t="shared" si="13"/>
        <v>474.58476000000002</v>
      </c>
      <c r="G154" s="44">
        <f t="shared" si="13"/>
        <v>42.625439999999998</v>
      </c>
      <c r="H154" s="44">
        <f t="shared" si="14"/>
        <v>48.050000000000004</v>
      </c>
      <c r="I154" s="44">
        <f t="shared" si="15"/>
        <v>517.21019999999999</v>
      </c>
      <c r="J154" s="45">
        <v>795</v>
      </c>
      <c r="K154" s="45">
        <f t="shared" si="16"/>
        <v>308.48009400000001</v>
      </c>
    </row>
    <row r="155" spans="1:11">
      <c r="A155" s="38">
        <v>150</v>
      </c>
      <c r="B155" s="43" t="s">
        <v>84</v>
      </c>
      <c r="C155" s="49">
        <v>1206</v>
      </c>
      <c r="D155" s="43">
        <v>44.09</v>
      </c>
      <c r="E155" s="43">
        <v>3.96</v>
      </c>
      <c r="F155" s="44">
        <f t="shared" si="13"/>
        <v>474.58476000000002</v>
      </c>
      <c r="G155" s="44">
        <f t="shared" si="13"/>
        <v>42.625439999999998</v>
      </c>
      <c r="H155" s="44">
        <f t="shared" si="14"/>
        <v>48.050000000000004</v>
      </c>
      <c r="I155" s="44">
        <f t="shared" si="15"/>
        <v>517.21019999999999</v>
      </c>
      <c r="J155" s="45">
        <v>795</v>
      </c>
      <c r="K155" s="45">
        <f t="shared" si="16"/>
        <v>308.48009400000001</v>
      </c>
    </row>
    <row r="156" spans="1:11">
      <c r="A156" s="38">
        <v>151</v>
      </c>
      <c r="B156" s="43" t="s">
        <v>84</v>
      </c>
      <c r="C156" s="49">
        <v>1207</v>
      </c>
      <c r="D156" s="44">
        <v>95.39</v>
      </c>
      <c r="E156" s="44">
        <v>3.81</v>
      </c>
      <c r="F156" s="44">
        <f t="shared" si="13"/>
        <v>1026.7779599999999</v>
      </c>
      <c r="G156" s="44">
        <f t="shared" si="13"/>
        <v>41.010839999999995</v>
      </c>
      <c r="H156" s="44">
        <f t="shared" si="14"/>
        <v>99.2</v>
      </c>
      <c r="I156" s="44">
        <f t="shared" si="15"/>
        <v>1067.7887999999998</v>
      </c>
      <c r="J156" s="45">
        <v>1690</v>
      </c>
      <c r="K156" s="45">
        <f t="shared" si="16"/>
        <v>667.40567399999998</v>
      </c>
    </row>
    <row r="157" spans="1:11">
      <c r="A157" s="38">
        <v>152</v>
      </c>
      <c r="B157" s="43" t="s">
        <v>84</v>
      </c>
      <c r="C157" s="49">
        <v>1208</v>
      </c>
      <c r="D157" s="43">
        <v>67.02</v>
      </c>
      <c r="E157" s="43">
        <v>3.94</v>
      </c>
      <c r="F157" s="44">
        <f t="shared" si="13"/>
        <v>721.40327999999988</v>
      </c>
      <c r="G157" s="44">
        <f t="shared" si="13"/>
        <v>42.410159999999998</v>
      </c>
      <c r="H157" s="44">
        <f t="shared" si="14"/>
        <v>70.959999999999994</v>
      </c>
      <c r="I157" s="44">
        <f t="shared" si="15"/>
        <v>763.8134399999999</v>
      </c>
      <c r="J157" s="45">
        <v>1210</v>
      </c>
      <c r="K157" s="45">
        <f t="shared" si="16"/>
        <v>468.91213199999993</v>
      </c>
    </row>
    <row r="158" spans="1:11">
      <c r="A158" s="38">
        <v>153</v>
      </c>
      <c r="B158" s="43" t="s">
        <v>84</v>
      </c>
      <c r="C158" s="49">
        <v>1209</v>
      </c>
      <c r="D158" s="44">
        <v>41.9</v>
      </c>
      <c r="E158" s="43">
        <v>3.57</v>
      </c>
      <c r="F158" s="44">
        <f t="shared" si="13"/>
        <v>451.01159999999993</v>
      </c>
      <c r="G158" s="44">
        <f t="shared" si="13"/>
        <v>38.427479999999996</v>
      </c>
      <c r="H158" s="44">
        <f t="shared" si="14"/>
        <v>45.47</v>
      </c>
      <c r="I158" s="44">
        <f t="shared" si="15"/>
        <v>489.43907999999993</v>
      </c>
      <c r="J158" s="45">
        <v>760</v>
      </c>
      <c r="K158" s="45">
        <f t="shared" si="16"/>
        <v>293.15753999999998</v>
      </c>
    </row>
    <row r="159" spans="1:11">
      <c r="A159" s="38">
        <v>154</v>
      </c>
      <c r="B159" s="43" t="s">
        <v>84</v>
      </c>
      <c r="C159" s="49">
        <v>1210</v>
      </c>
      <c r="D159" s="44">
        <v>41.3</v>
      </c>
      <c r="E159" s="44">
        <v>3.39</v>
      </c>
      <c r="F159" s="44">
        <f t="shared" si="13"/>
        <v>444.55319999999995</v>
      </c>
      <c r="G159" s="44">
        <f t="shared" si="13"/>
        <v>36.489959999999996</v>
      </c>
      <c r="H159" s="44">
        <f t="shared" si="14"/>
        <v>44.69</v>
      </c>
      <c r="I159" s="44">
        <f t="shared" si="15"/>
        <v>481.04315999999994</v>
      </c>
      <c r="J159" s="45">
        <v>750</v>
      </c>
      <c r="K159" s="45">
        <f t="shared" si="16"/>
        <v>288.95957999999996</v>
      </c>
    </row>
    <row r="160" spans="1:11">
      <c r="A160" s="38">
        <v>155</v>
      </c>
      <c r="B160" s="43" t="s">
        <v>84</v>
      </c>
      <c r="C160" s="49">
        <v>1211</v>
      </c>
      <c r="D160" s="44">
        <v>41.3</v>
      </c>
      <c r="E160" s="44">
        <v>3.39</v>
      </c>
      <c r="F160" s="44">
        <f t="shared" si="13"/>
        <v>444.55319999999995</v>
      </c>
      <c r="G160" s="44">
        <f t="shared" si="13"/>
        <v>36.489959999999996</v>
      </c>
      <c r="H160" s="44">
        <f t="shared" si="14"/>
        <v>44.69</v>
      </c>
      <c r="I160" s="44">
        <f t="shared" si="15"/>
        <v>481.04315999999994</v>
      </c>
      <c r="J160" s="45">
        <v>750</v>
      </c>
      <c r="K160" s="45">
        <f t="shared" si="16"/>
        <v>288.95957999999996</v>
      </c>
    </row>
    <row r="161" spans="1:11">
      <c r="A161" s="38">
        <v>156</v>
      </c>
      <c r="B161" s="43" t="s">
        <v>84</v>
      </c>
      <c r="C161" s="49">
        <v>1212</v>
      </c>
      <c r="D161" s="44">
        <v>41.9</v>
      </c>
      <c r="E161" s="43">
        <v>3.57</v>
      </c>
      <c r="F161" s="44">
        <f t="shared" si="13"/>
        <v>451.01159999999993</v>
      </c>
      <c r="G161" s="44">
        <f t="shared" si="13"/>
        <v>38.427479999999996</v>
      </c>
      <c r="H161" s="44">
        <f t="shared" si="14"/>
        <v>45.47</v>
      </c>
      <c r="I161" s="44">
        <f t="shared" si="15"/>
        <v>489.43907999999993</v>
      </c>
      <c r="J161" s="45">
        <v>760</v>
      </c>
      <c r="K161" s="45">
        <f t="shared" si="16"/>
        <v>293.15753999999998</v>
      </c>
    </row>
    <row r="162" spans="1:11">
      <c r="A162" s="38">
        <v>157</v>
      </c>
      <c r="B162" s="43" t="s">
        <v>84</v>
      </c>
      <c r="C162" s="51">
        <v>1301</v>
      </c>
      <c r="D162" s="43">
        <v>67.02</v>
      </c>
      <c r="E162" s="43">
        <v>3.94</v>
      </c>
      <c r="F162" s="44">
        <f t="shared" ref="F162:G177" si="17">D162*10.764</f>
        <v>721.40327999999988</v>
      </c>
      <c r="G162" s="44">
        <f t="shared" si="17"/>
        <v>42.410159999999998</v>
      </c>
      <c r="H162" s="44">
        <f t="shared" si="14"/>
        <v>70.959999999999994</v>
      </c>
      <c r="I162" s="44">
        <f t="shared" si="15"/>
        <v>763.8134399999999</v>
      </c>
      <c r="J162" s="45">
        <v>1210</v>
      </c>
      <c r="K162" s="45">
        <f t="shared" si="16"/>
        <v>468.91213199999993</v>
      </c>
    </row>
    <row r="163" spans="1:11">
      <c r="A163" s="38">
        <v>158</v>
      </c>
      <c r="B163" s="43" t="s">
        <v>84</v>
      </c>
      <c r="C163" s="51">
        <v>1302</v>
      </c>
      <c r="D163" s="43">
        <v>95.39</v>
      </c>
      <c r="E163" s="43">
        <v>3.81</v>
      </c>
      <c r="F163" s="44">
        <f t="shared" si="17"/>
        <v>1026.7779599999999</v>
      </c>
      <c r="G163" s="44">
        <f t="shared" si="17"/>
        <v>41.010839999999995</v>
      </c>
      <c r="H163" s="44">
        <f t="shared" si="14"/>
        <v>99.2</v>
      </c>
      <c r="I163" s="44">
        <f t="shared" si="15"/>
        <v>1067.7887999999998</v>
      </c>
      <c r="J163" s="45">
        <v>1690</v>
      </c>
      <c r="K163" s="45">
        <f t="shared" si="16"/>
        <v>667.40567399999998</v>
      </c>
    </row>
    <row r="164" spans="1:11">
      <c r="A164" s="38">
        <v>159</v>
      </c>
      <c r="B164" s="43" t="s">
        <v>84</v>
      </c>
      <c r="C164" s="51">
        <v>1303</v>
      </c>
      <c r="D164" s="43">
        <v>44.09</v>
      </c>
      <c r="E164" s="43">
        <v>3.96</v>
      </c>
      <c r="F164" s="44">
        <f t="shared" si="17"/>
        <v>474.58476000000002</v>
      </c>
      <c r="G164" s="44">
        <f t="shared" si="17"/>
        <v>42.625439999999998</v>
      </c>
      <c r="H164" s="44">
        <f t="shared" si="14"/>
        <v>48.050000000000004</v>
      </c>
      <c r="I164" s="44">
        <f t="shared" si="15"/>
        <v>517.21019999999999</v>
      </c>
      <c r="J164" s="45">
        <v>795</v>
      </c>
      <c r="K164" s="45">
        <f t="shared" si="16"/>
        <v>308.48009400000001</v>
      </c>
    </row>
    <row r="165" spans="1:11">
      <c r="A165" s="38">
        <v>160</v>
      </c>
      <c r="B165" s="43" t="s">
        <v>84</v>
      </c>
      <c r="C165" s="51">
        <v>1304</v>
      </c>
      <c r="D165" s="43">
        <v>44.35</v>
      </c>
      <c r="E165" s="43">
        <v>3.78</v>
      </c>
      <c r="F165" s="44">
        <f t="shared" si="17"/>
        <v>477.38339999999999</v>
      </c>
      <c r="G165" s="44">
        <f t="shared" si="17"/>
        <v>40.687919999999998</v>
      </c>
      <c r="H165" s="44">
        <f t="shared" si="14"/>
        <v>48.13</v>
      </c>
      <c r="I165" s="44">
        <f t="shared" si="15"/>
        <v>518.07132000000001</v>
      </c>
      <c r="J165" s="45">
        <v>795</v>
      </c>
      <c r="K165" s="45">
        <f t="shared" si="16"/>
        <v>310.29921000000002</v>
      </c>
    </row>
    <row r="166" spans="1:11">
      <c r="A166" s="38">
        <v>161</v>
      </c>
      <c r="B166" s="43" t="s">
        <v>84</v>
      </c>
      <c r="C166" s="51">
        <v>1305</v>
      </c>
      <c r="D166" s="43">
        <v>44.35</v>
      </c>
      <c r="E166" s="43">
        <v>3.78</v>
      </c>
      <c r="F166" s="44">
        <f t="shared" si="17"/>
        <v>477.38339999999999</v>
      </c>
      <c r="G166" s="44">
        <f t="shared" si="17"/>
        <v>40.687919999999998</v>
      </c>
      <c r="H166" s="44">
        <f t="shared" si="14"/>
        <v>48.13</v>
      </c>
      <c r="I166" s="44">
        <f t="shared" si="15"/>
        <v>518.07132000000001</v>
      </c>
      <c r="J166" s="45">
        <v>795</v>
      </c>
      <c r="K166" s="45">
        <f t="shared" si="16"/>
        <v>310.29921000000002</v>
      </c>
    </row>
    <row r="167" spans="1:11">
      <c r="A167" s="38">
        <v>162</v>
      </c>
      <c r="B167" s="43" t="s">
        <v>84</v>
      </c>
      <c r="C167" s="51">
        <v>1306</v>
      </c>
      <c r="D167" s="43">
        <v>44.09</v>
      </c>
      <c r="E167" s="43">
        <v>3.96</v>
      </c>
      <c r="F167" s="44">
        <f t="shared" si="17"/>
        <v>474.58476000000002</v>
      </c>
      <c r="G167" s="44">
        <f t="shared" si="17"/>
        <v>42.625439999999998</v>
      </c>
      <c r="H167" s="44">
        <f t="shared" si="14"/>
        <v>48.050000000000004</v>
      </c>
      <c r="I167" s="44">
        <f t="shared" si="15"/>
        <v>517.21019999999999</v>
      </c>
      <c r="J167" s="45">
        <v>795</v>
      </c>
      <c r="K167" s="45">
        <f t="shared" si="16"/>
        <v>308.48009400000001</v>
      </c>
    </row>
    <row r="168" spans="1:11">
      <c r="A168" s="38">
        <v>163</v>
      </c>
      <c r="B168" s="43" t="s">
        <v>84</v>
      </c>
      <c r="C168" s="51">
        <v>1307</v>
      </c>
      <c r="D168" s="44">
        <v>95.39</v>
      </c>
      <c r="E168" s="44">
        <v>3.81</v>
      </c>
      <c r="F168" s="44">
        <f t="shared" si="17"/>
        <v>1026.7779599999999</v>
      </c>
      <c r="G168" s="44">
        <f t="shared" si="17"/>
        <v>41.010839999999995</v>
      </c>
      <c r="H168" s="44">
        <f t="shared" si="14"/>
        <v>99.2</v>
      </c>
      <c r="I168" s="44">
        <f t="shared" si="15"/>
        <v>1067.7887999999998</v>
      </c>
      <c r="J168" s="45">
        <v>1690</v>
      </c>
      <c r="K168" s="45">
        <f t="shared" si="16"/>
        <v>667.40567399999998</v>
      </c>
    </row>
    <row r="169" spans="1:11">
      <c r="A169" s="38">
        <v>164</v>
      </c>
      <c r="B169" s="43" t="s">
        <v>84</v>
      </c>
      <c r="C169" s="51">
        <v>1308</v>
      </c>
      <c r="D169" s="43">
        <v>67.02</v>
      </c>
      <c r="E169" s="43">
        <v>3.94</v>
      </c>
      <c r="F169" s="44">
        <f t="shared" si="17"/>
        <v>721.40327999999988</v>
      </c>
      <c r="G169" s="44">
        <f t="shared" si="17"/>
        <v>42.410159999999998</v>
      </c>
      <c r="H169" s="44">
        <f t="shared" si="14"/>
        <v>70.959999999999994</v>
      </c>
      <c r="I169" s="44">
        <f t="shared" si="15"/>
        <v>763.8134399999999</v>
      </c>
      <c r="J169" s="45">
        <v>1210</v>
      </c>
      <c r="K169" s="45">
        <f t="shared" si="16"/>
        <v>468.91213199999993</v>
      </c>
    </row>
    <row r="170" spans="1:11">
      <c r="A170" s="38">
        <v>165</v>
      </c>
      <c r="B170" s="43" t="s">
        <v>84</v>
      </c>
      <c r="C170" s="51">
        <v>1309</v>
      </c>
      <c r="D170" s="44">
        <v>41.9</v>
      </c>
      <c r="E170" s="43">
        <v>3.57</v>
      </c>
      <c r="F170" s="44">
        <f t="shared" si="17"/>
        <v>451.01159999999993</v>
      </c>
      <c r="G170" s="44">
        <f t="shared" si="17"/>
        <v>38.427479999999996</v>
      </c>
      <c r="H170" s="44">
        <f t="shared" si="14"/>
        <v>45.47</v>
      </c>
      <c r="I170" s="44">
        <f t="shared" si="15"/>
        <v>489.43907999999993</v>
      </c>
      <c r="J170" s="45">
        <v>760</v>
      </c>
      <c r="K170" s="45">
        <f t="shared" si="16"/>
        <v>293.15753999999998</v>
      </c>
    </row>
    <row r="171" spans="1:11">
      <c r="A171" s="38">
        <v>166</v>
      </c>
      <c r="B171" s="43" t="s">
        <v>84</v>
      </c>
      <c r="C171" s="51">
        <v>1310</v>
      </c>
      <c r="D171" s="44">
        <v>41.3</v>
      </c>
      <c r="E171" s="44">
        <v>3.39</v>
      </c>
      <c r="F171" s="44">
        <f t="shared" si="17"/>
        <v>444.55319999999995</v>
      </c>
      <c r="G171" s="44">
        <f t="shared" si="17"/>
        <v>36.489959999999996</v>
      </c>
      <c r="H171" s="44">
        <f t="shared" si="14"/>
        <v>44.69</v>
      </c>
      <c r="I171" s="44">
        <f t="shared" si="15"/>
        <v>481.04315999999994</v>
      </c>
      <c r="J171" s="45">
        <v>750</v>
      </c>
      <c r="K171" s="45">
        <f t="shared" si="16"/>
        <v>288.95957999999996</v>
      </c>
    </row>
    <row r="172" spans="1:11">
      <c r="A172" s="38">
        <v>167</v>
      </c>
      <c r="B172" s="43" t="s">
        <v>84</v>
      </c>
      <c r="C172" s="51">
        <v>1311</v>
      </c>
      <c r="D172" s="44">
        <v>41.3</v>
      </c>
      <c r="E172" s="44">
        <v>3.39</v>
      </c>
      <c r="F172" s="44">
        <f t="shared" si="17"/>
        <v>444.55319999999995</v>
      </c>
      <c r="G172" s="44">
        <f t="shared" si="17"/>
        <v>36.489959999999996</v>
      </c>
      <c r="H172" s="44">
        <f t="shared" si="14"/>
        <v>44.69</v>
      </c>
      <c r="I172" s="44">
        <f t="shared" si="15"/>
        <v>481.04315999999994</v>
      </c>
      <c r="J172" s="45">
        <v>750</v>
      </c>
      <c r="K172" s="45">
        <f t="shared" si="16"/>
        <v>288.95957999999996</v>
      </c>
    </row>
    <row r="173" spans="1:11">
      <c r="A173" s="38">
        <v>168</v>
      </c>
      <c r="B173" s="43" t="s">
        <v>84</v>
      </c>
      <c r="C173" s="51">
        <v>1312</v>
      </c>
      <c r="D173" s="44">
        <v>41.9</v>
      </c>
      <c r="E173" s="43">
        <v>3.57</v>
      </c>
      <c r="F173" s="44">
        <f t="shared" si="17"/>
        <v>451.01159999999993</v>
      </c>
      <c r="G173" s="44">
        <f t="shared" si="17"/>
        <v>38.427479999999996</v>
      </c>
      <c r="H173" s="44">
        <f t="shared" si="14"/>
        <v>45.47</v>
      </c>
      <c r="I173" s="44">
        <f t="shared" si="15"/>
        <v>489.43907999999993</v>
      </c>
      <c r="J173" s="45">
        <v>760</v>
      </c>
      <c r="K173" s="45">
        <f t="shared" si="16"/>
        <v>293.15753999999998</v>
      </c>
    </row>
    <row r="174" spans="1:11">
      <c r="A174" s="38">
        <v>169</v>
      </c>
      <c r="B174" s="43" t="s">
        <v>84</v>
      </c>
      <c r="C174" s="43">
        <v>1401</v>
      </c>
      <c r="D174" s="43">
        <v>67.02</v>
      </c>
      <c r="E174" s="43">
        <v>3.94</v>
      </c>
      <c r="F174" s="44">
        <f t="shared" si="17"/>
        <v>721.40327999999988</v>
      </c>
      <c r="G174" s="44">
        <f t="shared" si="17"/>
        <v>42.410159999999998</v>
      </c>
      <c r="H174" s="44">
        <f t="shared" si="14"/>
        <v>70.959999999999994</v>
      </c>
      <c r="I174" s="44">
        <f t="shared" si="15"/>
        <v>763.8134399999999</v>
      </c>
      <c r="J174" s="45">
        <v>1210</v>
      </c>
      <c r="K174" s="45">
        <f t="shared" si="16"/>
        <v>468.91213199999993</v>
      </c>
    </row>
    <row r="175" spans="1:11">
      <c r="A175" s="38">
        <v>170</v>
      </c>
      <c r="B175" s="43" t="s">
        <v>84</v>
      </c>
      <c r="C175" s="43">
        <v>1402</v>
      </c>
      <c r="D175" s="43">
        <v>95.39</v>
      </c>
      <c r="E175" s="43">
        <v>3.81</v>
      </c>
      <c r="F175" s="44">
        <f t="shared" si="17"/>
        <v>1026.7779599999999</v>
      </c>
      <c r="G175" s="44">
        <f t="shared" si="17"/>
        <v>41.010839999999995</v>
      </c>
      <c r="H175" s="44">
        <f t="shared" si="14"/>
        <v>99.2</v>
      </c>
      <c r="I175" s="44">
        <f t="shared" si="15"/>
        <v>1067.7887999999998</v>
      </c>
      <c r="J175" s="45">
        <v>1690</v>
      </c>
      <c r="K175" s="45">
        <f t="shared" si="16"/>
        <v>667.40567399999998</v>
      </c>
    </row>
    <row r="176" spans="1:11">
      <c r="A176" s="38">
        <v>171</v>
      </c>
      <c r="B176" s="43" t="s">
        <v>84</v>
      </c>
      <c r="C176" s="43">
        <v>1403</v>
      </c>
      <c r="D176" s="43">
        <v>44.09</v>
      </c>
      <c r="E176" s="43">
        <v>3.96</v>
      </c>
      <c r="F176" s="44">
        <f t="shared" si="17"/>
        <v>474.58476000000002</v>
      </c>
      <c r="G176" s="44">
        <f t="shared" si="17"/>
        <v>42.625439999999998</v>
      </c>
      <c r="H176" s="44">
        <f t="shared" si="14"/>
        <v>48.050000000000004</v>
      </c>
      <c r="I176" s="44">
        <f t="shared" si="15"/>
        <v>517.21019999999999</v>
      </c>
      <c r="J176" s="45">
        <v>795</v>
      </c>
      <c r="K176" s="45">
        <f t="shared" si="16"/>
        <v>308.48009400000001</v>
      </c>
    </row>
    <row r="177" spans="1:11">
      <c r="A177" s="38">
        <v>172</v>
      </c>
      <c r="B177" s="43" t="s">
        <v>84</v>
      </c>
      <c r="C177" s="43">
        <v>1404</v>
      </c>
      <c r="D177" s="43">
        <v>44.35</v>
      </c>
      <c r="E177" s="43">
        <v>3.78</v>
      </c>
      <c r="F177" s="44">
        <f t="shared" si="17"/>
        <v>477.38339999999999</v>
      </c>
      <c r="G177" s="44">
        <f t="shared" si="17"/>
        <v>40.687919999999998</v>
      </c>
      <c r="H177" s="44">
        <f t="shared" si="14"/>
        <v>48.13</v>
      </c>
      <c r="I177" s="44">
        <f t="shared" si="15"/>
        <v>518.07132000000001</v>
      </c>
      <c r="J177" s="45">
        <v>795</v>
      </c>
      <c r="K177" s="45">
        <f t="shared" si="16"/>
        <v>310.29921000000002</v>
      </c>
    </row>
    <row r="178" spans="1:11">
      <c r="A178" s="38">
        <v>173</v>
      </c>
      <c r="B178" s="43" t="s">
        <v>84</v>
      </c>
      <c r="C178" s="43">
        <v>1405</v>
      </c>
      <c r="D178" s="43">
        <v>44.35</v>
      </c>
      <c r="E178" s="43">
        <v>3.78</v>
      </c>
      <c r="F178" s="44">
        <f t="shared" ref="F178:G217" si="18">D178*10.764</f>
        <v>477.38339999999999</v>
      </c>
      <c r="G178" s="44">
        <f t="shared" si="18"/>
        <v>40.687919999999998</v>
      </c>
      <c r="H178" s="44">
        <f t="shared" si="14"/>
        <v>48.13</v>
      </c>
      <c r="I178" s="44">
        <f t="shared" si="15"/>
        <v>518.07132000000001</v>
      </c>
      <c r="J178" s="45">
        <v>795</v>
      </c>
      <c r="K178" s="45">
        <f t="shared" si="16"/>
        <v>310.29921000000002</v>
      </c>
    </row>
    <row r="179" spans="1:11">
      <c r="A179" s="38">
        <v>174</v>
      </c>
      <c r="B179" s="43" t="s">
        <v>84</v>
      </c>
      <c r="C179" s="43">
        <v>1406</v>
      </c>
      <c r="D179" s="43">
        <v>44.09</v>
      </c>
      <c r="E179" s="43">
        <v>3.96</v>
      </c>
      <c r="F179" s="44">
        <f t="shared" si="18"/>
        <v>474.58476000000002</v>
      </c>
      <c r="G179" s="44">
        <f t="shared" si="18"/>
        <v>42.625439999999998</v>
      </c>
      <c r="H179" s="44">
        <f t="shared" si="14"/>
        <v>48.050000000000004</v>
      </c>
      <c r="I179" s="44">
        <f t="shared" si="15"/>
        <v>517.21019999999999</v>
      </c>
      <c r="J179" s="45">
        <v>795</v>
      </c>
      <c r="K179" s="45">
        <f t="shared" si="16"/>
        <v>308.48009400000001</v>
      </c>
    </row>
    <row r="180" spans="1:11">
      <c r="A180" s="38">
        <v>175</v>
      </c>
      <c r="B180" s="43" t="s">
        <v>84</v>
      </c>
      <c r="C180" s="43">
        <v>1407</v>
      </c>
      <c r="D180" s="44">
        <v>95.39</v>
      </c>
      <c r="E180" s="44">
        <v>3.81</v>
      </c>
      <c r="F180" s="44">
        <f t="shared" si="18"/>
        <v>1026.7779599999999</v>
      </c>
      <c r="G180" s="44">
        <f t="shared" si="18"/>
        <v>41.010839999999995</v>
      </c>
      <c r="H180" s="44">
        <f t="shared" si="14"/>
        <v>99.2</v>
      </c>
      <c r="I180" s="44">
        <f t="shared" si="15"/>
        <v>1067.7887999999998</v>
      </c>
      <c r="J180" s="45">
        <v>1690</v>
      </c>
      <c r="K180" s="45">
        <f t="shared" si="16"/>
        <v>667.40567399999998</v>
      </c>
    </row>
    <row r="181" spans="1:11">
      <c r="A181" s="38">
        <v>176</v>
      </c>
      <c r="B181" s="43" t="s">
        <v>84</v>
      </c>
      <c r="C181" s="43">
        <v>1408</v>
      </c>
      <c r="D181" s="43">
        <v>67.02</v>
      </c>
      <c r="E181" s="43">
        <v>3.94</v>
      </c>
      <c r="F181" s="44">
        <f t="shared" si="18"/>
        <v>721.40327999999988</v>
      </c>
      <c r="G181" s="44">
        <f t="shared" si="18"/>
        <v>42.410159999999998</v>
      </c>
      <c r="H181" s="44">
        <f t="shared" si="14"/>
        <v>70.959999999999994</v>
      </c>
      <c r="I181" s="44">
        <f t="shared" si="15"/>
        <v>763.8134399999999</v>
      </c>
      <c r="J181" s="45">
        <v>1210</v>
      </c>
      <c r="K181" s="45">
        <f t="shared" si="16"/>
        <v>468.91213199999993</v>
      </c>
    </row>
    <row r="182" spans="1:11">
      <c r="A182" s="38">
        <v>177</v>
      </c>
      <c r="B182" s="43" t="s">
        <v>84</v>
      </c>
      <c r="C182" s="43">
        <v>1409</v>
      </c>
      <c r="D182" s="44">
        <v>41.9</v>
      </c>
      <c r="E182" s="43">
        <v>3.57</v>
      </c>
      <c r="F182" s="44">
        <f t="shared" si="18"/>
        <v>451.01159999999993</v>
      </c>
      <c r="G182" s="44">
        <f t="shared" si="18"/>
        <v>38.427479999999996</v>
      </c>
      <c r="H182" s="44">
        <f t="shared" si="14"/>
        <v>45.47</v>
      </c>
      <c r="I182" s="44">
        <f t="shared" si="15"/>
        <v>489.43907999999993</v>
      </c>
      <c r="J182" s="45">
        <v>760</v>
      </c>
      <c r="K182" s="45">
        <f t="shared" si="16"/>
        <v>293.15753999999998</v>
      </c>
    </row>
    <row r="183" spans="1:11">
      <c r="A183" s="38">
        <v>178</v>
      </c>
      <c r="B183" s="43" t="s">
        <v>84</v>
      </c>
      <c r="C183" s="43">
        <v>1410</v>
      </c>
      <c r="D183" s="44">
        <v>41.3</v>
      </c>
      <c r="E183" s="44">
        <v>3.39</v>
      </c>
      <c r="F183" s="44">
        <f t="shared" si="18"/>
        <v>444.55319999999995</v>
      </c>
      <c r="G183" s="44">
        <f t="shared" si="18"/>
        <v>36.489959999999996</v>
      </c>
      <c r="H183" s="44">
        <f t="shared" si="14"/>
        <v>44.69</v>
      </c>
      <c r="I183" s="44">
        <f t="shared" si="15"/>
        <v>481.04315999999994</v>
      </c>
      <c r="J183" s="45">
        <v>750</v>
      </c>
      <c r="K183" s="45">
        <f t="shared" si="16"/>
        <v>288.95957999999996</v>
      </c>
    </row>
    <row r="184" spans="1:11">
      <c r="A184" s="38">
        <v>179</v>
      </c>
      <c r="B184" s="43" t="s">
        <v>84</v>
      </c>
      <c r="C184" s="43">
        <v>1411</v>
      </c>
      <c r="D184" s="44">
        <v>41.3</v>
      </c>
      <c r="E184" s="44">
        <v>3.39</v>
      </c>
      <c r="F184" s="44">
        <f t="shared" si="18"/>
        <v>444.55319999999995</v>
      </c>
      <c r="G184" s="44">
        <f t="shared" si="18"/>
        <v>36.489959999999996</v>
      </c>
      <c r="H184" s="44">
        <f t="shared" si="14"/>
        <v>44.69</v>
      </c>
      <c r="I184" s="44">
        <f t="shared" si="15"/>
        <v>481.04315999999994</v>
      </c>
      <c r="J184" s="45">
        <v>750</v>
      </c>
      <c r="K184" s="45">
        <f t="shared" si="16"/>
        <v>288.95957999999996</v>
      </c>
    </row>
    <row r="185" spans="1:11">
      <c r="A185" s="38">
        <v>180</v>
      </c>
      <c r="B185" s="43" t="s">
        <v>84</v>
      </c>
      <c r="C185" s="43">
        <v>1412</v>
      </c>
      <c r="D185" s="44">
        <v>41.9</v>
      </c>
      <c r="E185" s="43">
        <v>3.57</v>
      </c>
      <c r="F185" s="44">
        <f t="shared" si="18"/>
        <v>451.01159999999993</v>
      </c>
      <c r="G185" s="44">
        <f t="shared" si="18"/>
        <v>38.427479999999996</v>
      </c>
      <c r="H185" s="44">
        <f t="shared" si="14"/>
        <v>45.47</v>
      </c>
      <c r="I185" s="44">
        <f t="shared" si="15"/>
        <v>489.43907999999993</v>
      </c>
      <c r="J185" s="45">
        <v>760</v>
      </c>
      <c r="K185" s="45">
        <f t="shared" si="16"/>
        <v>293.15753999999998</v>
      </c>
    </row>
    <row r="186" spans="1:11">
      <c r="A186" s="38">
        <v>181</v>
      </c>
      <c r="B186" s="43" t="s">
        <v>84</v>
      </c>
      <c r="C186" s="43">
        <v>1501</v>
      </c>
      <c r="D186" s="43">
        <v>67.02</v>
      </c>
      <c r="E186" s="43">
        <v>3.94</v>
      </c>
      <c r="F186" s="44">
        <f t="shared" si="18"/>
        <v>721.40327999999988</v>
      </c>
      <c r="G186" s="44">
        <f t="shared" si="18"/>
        <v>42.410159999999998</v>
      </c>
      <c r="H186" s="44">
        <f t="shared" si="14"/>
        <v>70.959999999999994</v>
      </c>
      <c r="I186" s="44">
        <f t="shared" si="15"/>
        <v>763.8134399999999</v>
      </c>
      <c r="J186" s="45">
        <v>1210</v>
      </c>
      <c r="K186" s="45">
        <f t="shared" si="16"/>
        <v>468.91213199999993</v>
      </c>
    </row>
    <row r="187" spans="1:11">
      <c r="A187" s="38">
        <v>182</v>
      </c>
      <c r="B187" s="43" t="s">
        <v>84</v>
      </c>
      <c r="C187" s="43">
        <v>1502</v>
      </c>
      <c r="D187" s="43">
        <v>95.39</v>
      </c>
      <c r="E187" s="43">
        <v>3.81</v>
      </c>
      <c r="F187" s="44">
        <f t="shared" si="18"/>
        <v>1026.7779599999999</v>
      </c>
      <c r="G187" s="44">
        <f t="shared" si="18"/>
        <v>41.010839999999995</v>
      </c>
      <c r="H187" s="44">
        <f t="shared" si="14"/>
        <v>99.2</v>
      </c>
      <c r="I187" s="44">
        <f t="shared" si="15"/>
        <v>1067.7887999999998</v>
      </c>
      <c r="J187" s="45">
        <v>1690</v>
      </c>
      <c r="K187" s="45">
        <f t="shared" si="16"/>
        <v>667.40567399999998</v>
      </c>
    </row>
    <row r="188" spans="1:11">
      <c r="A188" s="38">
        <v>183</v>
      </c>
      <c r="B188" s="43" t="s">
        <v>84</v>
      </c>
      <c r="C188" s="43">
        <v>1503</v>
      </c>
      <c r="D188" s="43">
        <v>44.09</v>
      </c>
      <c r="E188" s="43">
        <v>3.96</v>
      </c>
      <c r="F188" s="44">
        <f t="shared" si="18"/>
        <v>474.58476000000002</v>
      </c>
      <c r="G188" s="44">
        <f t="shared" si="18"/>
        <v>42.625439999999998</v>
      </c>
      <c r="H188" s="44">
        <f t="shared" si="14"/>
        <v>48.050000000000004</v>
      </c>
      <c r="I188" s="44">
        <f t="shared" si="15"/>
        <v>517.21019999999999</v>
      </c>
      <c r="J188" s="45">
        <v>795</v>
      </c>
      <c r="K188" s="45">
        <f t="shared" si="16"/>
        <v>308.48009400000001</v>
      </c>
    </row>
    <row r="189" spans="1:11">
      <c r="A189" s="38">
        <v>184</v>
      </c>
      <c r="B189" s="43" t="s">
        <v>84</v>
      </c>
      <c r="C189" s="43">
        <v>1504</v>
      </c>
      <c r="D189" s="43">
        <v>44.35</v>
      </c>
      <c r="E189" s="43">
        <v>3.78</v>
      </c>
      <c r="F189" s="44">
        <f t="shared" si="18"/>
        <v>477.38339999999999</v>
      </c>
      <c r="G189" s="44">
        <f t="shared" si="18"/>
        <v>40.687919999999998</v>
      </c>
      <c r="H189" s="44">
        <f t="shared" si="14"/>
        <v>48.13</v>
      </c>
      <c r="I189" s="44">
        <f t="shared" si="15"/>
        <v>518.07132000000001</v>
      </c>
      <c r="J189" s="45">
        <v>795</v>
      </c>
      <c r="K189" s="45">
        <f t="shared" si="16"/>
        <v>310.29921000000002</v>
      </c>
    </row>
    <row r="190" spans="1:11">
      <c r="A190" s="38">
        <v>185</v>
      </c>
      <c r="B190" s="43" t="s">
        <v>84</v>
      </c>
      <c r="C190" s="43">
        <v>1505</v>
      </c>
      <c r="D190" s="43">
        <v>44.35</v>
      </c>
      <c r="E190" s="43">
        <v>3.78</v>
      </c>
      <c r="F190" s="44">
        <f t="shared" si="18"/>
        <v>477.38339999999999</v>
      </c>
      <c r="G190" s="44">
        <f t="shared" si="18"/>
        <v>40.687919999999998</v>
      </c>
      <c r="H190" s="44">
        <f t="shared" si="14"/>
        <v>48.13</v>
      </c>
      <c r="I190" s="44">
        <f t="shared" si="15"/>
        <v>518.07132000000001</v>
      </c>
      <c r="J190" s="45">
        <v>795</v>
      </c>
      <c r="K190" s="45">
        <f t="shared" si="16"/>
        <v>310.29921000000002</v>
      </c>
    </row>
    <row r="191" spans="1:11">
      <c r="A191" s="38">
        <v>186</v>
      </c>
      <c r="B191" s="43" t="s">
        <v>84</v>
      </c>
      <c r="C191" s="43">
        <v>1506</v>
      </c>
      <c r="D191" s="43">
        <v>44.09</v>
      </c>
      <c r="E191" s="43">
        <v>3.96</v>
      </c>
      <c r="F191" s="44">
        <f t="shared" si="18"/>
        <v>474.58476000000002</v>
      </c>
      <c r="G191" s="44">
        <f t="shared" si="18"/>
        <v>42.625439999999998</v>
      </c>
      <c r="H191" s="44">
        <f t="shared" si="14"/>
        <v>48.050000000000004</v>
      </c>
      <c r="I191" s="44">
        <f t="shared" si="15"/>
        <v>517.21019999999999</v>
      </c>
      <c r="J191" s="45">
        <v>795</v>
      </c>
      <c r="K191" s="45">
        <f t="shared" si="16"/>
        <v>308.48009400000001</v>
      </c>
    </row>
    <row r="192" spans="1:11">
      <c r="A192" s="38">
        <v>187</v>
      </c>
      <c r="B192" s="43" t="s">
        <v>84</v>
      </c>
      <c r="C192" s="43">
        <v>1507</v>
      </c>
      <c r="D192" s="44">
        <v>95.39</v>
      </c>
      <c r="E192" s="44">
        <v>3.81</v>
      </c>
      <c r="F192" s="44">
        <f t="shared" si="18"/>
        <v>1026.7779599999999</v>
      </c>
      <c r="G192" s="44">
        <f t="shared" si="18"/>
        <v>41.010839999999995</v>
      </c>
      <c r="H192" s="44">
        <f t="shared" si="14"/>
        <v>99.2</v>
      </c>
      <c r="I192" s="44">
        <f t="shared" si="15"/>
        <v>1067.7887999999998</v>
      </c>
      <c r="J192" s="45">
        <v>1690</v>
      </c>
      <c r="K192" s="45">
        <f t="shared" si="16"/>
        <v>667.40567399999998</v>
      </c>
    </row>
    <row r="193" spans="1:11">
      <c r="A193" s="38">
        <v>188</v>
      </c>
      <c r="B193" s="43" t="s">
        <v>84</v>
      </c>
      <c r="C193" s="43">
        <v>1508</v>
      </c>
      <c r="D193" s="43">
        <v>67.02</v>
      </c>
      <c r="E193" s="43">
        <v>3.94</v>
      </c>
      <c r="F193" s="44">
        <f t="shared" si="18"/>
        <v>721.40327999999988</v>
      </c>
      <c r="G193" s="44">
        <f t="shared" si="18"/>
        <v>42.410159999999998</v>
      </c>
      <c r="H193" s="44">
        <f t="shared" si="14"/>
        <v>70.959999999999994</v>
      </c>
      <c r="I193" s="44">
        <f t="shared" si="15"/>
        <v>763.8134399999999</v>
      </c>
      <c r="J193" s="45">
        <v>1210</v>
      </c>
      <c r="K193" s="45">
        <f t="shared" si="16"/>
        <v>468.91213199999993</v>
      </c>
    </row>
    <row r="194" spans="1:11">
      <c r="A194" s="38">
        <v>189</v>
      </c>
      <c r="B194" s="43" t="s">
        <v>84</v>
      </c>
      <c r="C194" s="43">
        <v>1509</v>
      </c>
      <c r="D194" s="44">
        <v>41.9</v>
      </c>
      <c r="E194" s="43">
        <v>3.57</v>
      </c>
      <c r="F194" s="44">
        <f t="shared" si="18"/>
        <v>451.01159999999993</v>
      </c>
      <c r="G194" s="44">
        <f t="shared" si="18"/>
        <v>38.427479999999996</v>
      </c>
      <c r="H194" s="44">
        <f t="shared" si="14"/>
        <v>45.47</v>
      </c>
      <c r="I194" s="44">
        <f t="shared" si="15"/>
        <v>489.43907999999993</v>
      </c>
      <c r="J194" s="45">
        <v>760</v>
      </c>
      <c r="K194" s="45">
        <f t="shared" si="16"/>
        <v>293.15753999999998</v>
      </c>
    </row>
    <row r="195" spans="1:11">
      <c r="A195" s="38">
        <v>190</v>
      </c>
      <c r="B195" s="43" t="s">
        <v>84</v>
      </c>
      <c r="C195" s="43">
        <v>1510</v>
      </c>
      <c r="D195" s="44">
        <v>41.3</v>
      </c>
      <c r="E195" s="44">
        <v>3.39</v>
      </c>
      <c r="F195" s="44">
        <f t="shared" si="18"/>
        <v>444.55319999999995</v>
      </c>
      <c r="G195" s="44">
        <f t="shared" si="18"/>
        <v>36.489959999999996</v>
      </c>
      <c r="H195" s="44">
        <f t="shared" si="14"/>
        <v>44.69</v>
      </c>
      <c r="I195" s="44">
        <f t="shared" si="15"/>
        <v>481.04315999999994</v>
      </c>
      <c r="J195" s="45">
        <v>750</v>
      </c>
      <c r="K195" s="45">
        <f t="shared" si="16"/>
        <v>288.95957999999996</v>
      </c>
    </row>
    <row r="196" spans="1:11">
      <c r="A196" s="38">
        <v>191</v>
      </c>
      <c r="B196" s="43" t="s">
        <v>84</v>
      </c>
      <c r="C196" s="43">
        <v>1511</v>
      </c>
      <c r="D196" s="44">
        <v>41.3</v>
      </c>
      <c r="E196" s="44">
        <v>3.39</v>
      </c>
      <c r="F196" s="44">
        <f t="shared" si="18"/>
        <v>444.55319999999995</v>
      </c>
      <c r="G196" s="44">
        <f t="shared" si="18"/>
        <v>36.489959999999996</v>
      </c>
      <c r="H196" s="44">
        <f t="shared" si="14"/>
        <v>44.69</v>
      </c>
      <c r="I196" s="44">
        <f t="shared" si="15"/>
        <v>481.04315999999994</v>
      </c>
      <c r="J196" s="45">
        <v>750</v>
      </c>
      <c r="K196" s="45">
        <f t="shared" si="16"/>
        <v>288.95957999999996</v>
      </c>
    </row>
    <row r="197" spans="1:11">
      <c r="A197" s="38">
        <v>192</v>
      </c>
      <c r="B197" s="43" t="s">
        <v>84</v>
      </c>
      <c r="C197" s="43">
        <v>1512</v>
      </c>
      <c r="D197" s="44">
        <v>41.9</v>
      </c>
      <c r="E197" s="43">
        <v>3.57</v>
      </c>
      <c r="F197" s="44">
        <f t="shared" si="18"/>
        <v>451.01159999999993</v>
      </c>
      <c r="G197" s="44">
        <f t="shared" si="18"/>
        <v>38.427479999999996</v>
      </c>
      <c r="H197" s="44">
        <f t="shared" si="14"/>
        <v>45.47</v>
      </c>
      <c r="I197" s="44">
        <f t="shared" si="15"/>
        <v>489.43907999999993</v>
      </c>
      <c r="J197" s="45">
        <v>760</v>
      </c>
      <c r="K197" s="45">
        <f t="shared" si="16"/>
        <v>293.15753999999998</v>
      </c>
    </row>
    <row r="198" spans="1:11">
      <c r="A198" s="38">
        <v>193</v>
      </c>
      <c r="B198" s="43" t="s">
        <v>84</v>
      </c>
      <c r="C198" s="49">
        <v>1601</v>
      </c>
      <c r="D198" s="43">
        <v>67.02</v>
      </c>
      <c r="E198" s="43">
        <v>3.94</v>
      </c>
      <c r="F198" s="44">
        <f t="shared" si="18"/>
        <v>721.40327999999988</v>
      </c>
      <c r="G198" s="44">
        <f t="shared" si="18"/>
        <v>42.410159999999998</v>
      </c>
      <c r="H198" s="44">
        <f t="shared" si="14"/>
        <v>70.959999999999994</v>
      </c>
      <c r="I198" s="44">
        <f t="shared" si="15"/>
        <v>763.8134399999999</v>
      </c>
      <c r="J198" s="45">
        <v>1210</v>
      </c>
      <c r="K198" s="45">
        <f t="shared" si="16"/>
        <v>468.91213199999993</v>
      </c>
    </row>
    <row r="199" spans="1:11">
      <c r="A199" s="38">
        <v>194</v>
      </c>
      <c r="B199" s="43" t="s">
        <v>84</v>
      </c>
      <c r="C199" s="49">
        <v>1602</v>
      </c>
      <c r="D199" s="43">
        <v>95.39</v>
      </c>
      <c r="E199" s="43">
        <v>3.81</v>
      </c>
      <c r="F199" s="44">
        <f t="shared" si="18"/>
        <v>1026.7779599999999</v>
      </c>
      <c r="G199" s="44">
        <f t="shared" si="18"/>
        <v>41.010839999999995</v>
      </c>
      <c r="H199" s="44">
        <f t="shared" si="14"/>
        <v>99.2</v>
      </c>
      <c r="I199" s="44">
        <f t="shared" si="15"/>
        <v>1067.7887999999998</v>
      </c>
      <c r="J199" s="45">
        <v>1690</v>
      </c>
      <c r="K199" s="45">
        <f t="shared" si="16"/>
        <v>667.40567399999998</v>
      </c>
    </row>
    <row r="200" spans="1:11">
      <c r="A200" s="38">
        <v>195</v>
      </c>
      <c r="B200" s="43" t="s">
        <v>84</v>
      </c>
      <c r="C200" s="49">
        <v>1603</v>
      </c>
      <c r="D200" s="43">
        <v>44.09</v>
      </c>
      <c r="E200" s="43">
        <v>3.96</v>
      </c>
      <c r="F200" s="44">
        <f t="shared" si="18"/>
        <v>474.58476000000002</v>
      </c>
      <c r="G200" s="44">
        <f t="shared" si="18"/>
        <v>42.625439999999998</v>
      </c>
      <c r="H200" s="44">
        <f t="shared" si="14"/>
        <v>48.050000000000004</v>
      </c>
      <c r="I200" s="44">
        <f t="shared" si="15"/>
        <v>517.21019999999999</v>
      </c>
      <c r="J200" s="45">
        <v>795</v>
      </c>
      <c r="K200" s="45">
        <f t="shared" si="16"/>
        <v>308.48009400000001</v>
      </c>
    </row>
    <row r="201" spans="1:11">
      <c r="A201" s="38">
        <v>196</v>
      </c>
      <c r="B201" s="43" t="s">
        <v>84</v>
      </c>
      <c r="C201" s="49">
        <v>1606</v>
      </c>
      <c r="D201" s="43">
        <v>44.09</v>
      </c>
      <c r="E201" s="43">
        <v>3.96</v>
      </c>
      <c r="F201" s="44">
        <f t="shared" si="18"/>
        <v>474.58476000000002</v>
      </c>
      <c r="G201" s="44">
        <f t="shared" si="18"/>
        <v>42.625439999999998</v>
      </c>
      <c r="H201" s="44">
        <f t="shared" si="14"/>
        <v>48.050000000000004</v>
      </c>
      <c r="I201" s="44">
        <f t="shared" si="15"/>
        <v>517.21019999999999</v>
      </c>
      <c r="J201" s="45">
        <v>795</v>
      </c>
      <c r="K201" s="45">
        <f t="shared" si="16"/>
        <v>308.48009400000001</v>
      </c>
    </row>
    <row r="202" spans="1:11">
      <c r="A202" s="38">
        <v>197</v>
      </c>
      <c r="B202" s="43" t="s">
        <v>84</v>
      </c>
      <c r="C202" s="49">
        <v>1607</v>
      </c>
      <c r="D202" s="44">
        <v>95.39</v>
      </c>
      <c r="E202" s="44">
        <v>3.81</v>
      </c>
      <c r="F202" s="44">
        <f t="shared" si="18"/>
        <v>1026.7779599999999</v>
      </c>
      <c r="G202" s="44">
        <f t="shared" si="18"/>
        <v>41.010839999999995</v>
      </c>
      <c r="H202" s="44">
        <f t="shared" si="14"/>
        <v>99.2</v>
      </c>
      <c r="I202" s="44">
        <f t="shared" si="15"/>
        <v>1067.7887999999998</v>
      </c>
      <c r="J202" s="45">
        <v>1690</v>
      </c>
      <c r="K202" s="45">
        <f t="shared" si="16"/>
        <v>667.40567399999998</v>
      </c>
    </row>
    <row r="203" spans="1:11">
      <c r="A203" s="38">
        <v>198</v>
      </c>
      <c r="B203" s="43" t="s">
        <v>84</v>
      </c>
      <c r="C203" s="49">
        <v>1608</v>
      </c>
      <c r="D203" s="43">
        <v>67.02</v>
      </c>
      <c r="E203" s="43">
        <v>3.94</v>
      </c>
      <c r="F203" s="44">
        <f t="shared" si="18"/>
        <v>721.40327999999988</v>
      </c>
      <c r="G203" s="44">
        <f t="shared" si="18"/>
        <v>42.410159999999998</v>
      </c>
      <c r="H203" s="44">
        <f t="shared" si="14"/>
        <v>70.959999999999994</v>
      </c>
      <c r="I203" s="44">
        <f t="shared" si="15"/>
        <v>763.8134399999999</v>
      </c>
      <c r="J203" s="45">
        <v>1210</v>
      </c>
      <c r="K203" s="45">
        <f t="shared" si="16"/>
        <v>468.91213199999993</v>
      </c>
    </row>
    <row r="204" spans="1:11">
      <c r="A204" s="38">
        <v>199</v>
      </c>
      <c r="B204" s="43" t="s">
        <v>84</v>
      </c>
      <c r="C204" s="49">
        <v>1609</v>
      </c>
      <c r="D204" s="44">
        <v>41.9</v>
      </c>
      <c r="E204" s="43">
        <v>3.57</v>
      </c>
      <c r="F204" s="44">
        <f t="shared" si="18"/>
        <v>451.01159999999993</v>
      </c>
      <c r="G204" s="44">
        <f t="shared" si="18"/>
        <v>38.427479999999996</v>
      </c>
      <c r="H204" s="44">
        <f t="shared" si="14"/>
        <v>45.47</v>
      </c>
      <c r="I204" s="44">
        <f t="shared" si="15"/>
        <v>489.43907999999993</v>
      </c>
      <c r="J204" s="45">
        <v>760</v>
      </c>
      <c r="K204" s="45">
        <f t="shared" si="16"/>
        <v>293.15753999999998</v>
      </c>
    </row>
    <row r="205" spans="1:11">
      <c r="A205" s="38">
        <v>200</v>
      </c>
      <c r="B205" s="43" t="s">
        <v>84</v>
      </c>
      <c r="C205" s="49">
        <v>1610</v>
      </c>
      <c r="D205" s="44">
        <v>41.3</v>
      </c>
      <c r="E205" s="44">
        <v>3.39</v>
      </c>
      <c r="F205" s="44">
        <f t="shared" si="18"/>
        <v>444.55319999999995</v>
      </c>
      <c r="G205" s="44">
        <f t="shared" si="18"/>
        <v>36.489959999999996</v>
      </c>
      <c r="H205" s="44">
        <f t="shared" si="14"/>
        <v>44.69</v>
      </c>
      <c r="I205" s="44">
        <f t="shared" si="15"/>
        <v>481.04315999999994</v>
      </c>
      <c r="J205" s="45">
        <v>750</v>
      </c>
      <c r="K205" s="45">
        <f t="shared" si="16"/>
        <v>288.95957999999996</v>
      </c>
    </row>
    <row r="206" spans="1:11">
      <c r="A206" s="38">
        <v>201</v>
      </c>
      <c r="B206" s="43" t="s">
        <v>84</v>
      </c>
      <c r="C206" s="49">
        <v>1611</v>
      </c>
      <c r="D206" s="44">
        <v>41.3</v>
      </c>
      <c r="E206" s="44">
        <v>3.39</v>
      </c>
      <c r="F206" s="44">
        <f t="shared" si="18"/>
        <v>444.55319999999995</v>
      </c>
      <c r="G206" s="44">
        <f t="shared" si="18"/>
        <v>36.489959999999996</v>
      </c>
      <c r="H206" s="44">
        <f t="shared" si="14"/>
        <v>44.69</v>
      </c>
      <c r="I206" s="44">
        <f t="shared" si="15"/>
        <v>481.04315999999994</v>
      </c>
      <c r="J206" s="45">
        <v>750</v>
      </c>
      <c r="K206" s="45">
        <f t="shared" si="16"/>
        <v>288.95957999999996</v>
      </c>
    </row>
    <row r="207" spans="1:11">
      <c r="A207" s="38">
        <v>202</v>
      </c>
      <c r="B207" s="43" t="s">
        <v>84</v>
      </c>
      <c r="C207" s="49">
        <v>1612</v>
      </c>
      <c r="D207" s="44">
        <v>41.9</v>
      </c>
      <c r="E207" s="43">
        <v>3.57</v>
      </c>
      <c r="F207" s="44">
        <f t="shared" si="18"/>
        <v>451.01159999999993</v>
      </c>
      <c r="G207" s="44">
        <f t="shared" si="18"/>
        <v>38.427479999999996</v>
      </c>
      <c r="H207" s="44">
        <f t="shared" si="14"/>
        <v>45.47</v>
      </c>
      <c r="I207" s="44">
        <f t="shared" si="15"/>
        <v>489.43907999999993</v>
      </c>
      <c r="J207" s="45">
        <v>760</v>
      </c>
      <c r="K207" s="45">
        <f t="shared" si="16"/>
        <v>293.15753999999998</v>
      </c>
    </row>
    <row r="208" spans="1:11">
      <c r="A208" s="38">
        <v>203</v>
      </c>
      <c r="B208" s="43" t="s">
        <v>84</v>
      </c>
      <c r="C208" s="43">
        <v>1701</v>
      </c>
      <c r="D208" s="43">
        <v>67.02</v>
      </c>
      <c r="E208" s="43">
        <v>3.94</v>
      </c>
      <c r="F208" s="44">
        <f t="shared" si="18"/>
        <v>721.40327999999988</v>
      </c>
      <c r="G208" s="44">
        <f t="shared" si="18"/>
        <v>42.410159999999998</v>
      </c>
      <c r="H208" s="44">
        <f t="shared" si="14"/>
        <v>70.959999999999994</v>
      </c>
      <c r="I208" s="44">
        <f t="shared" si="15"/>
        <v>763.8134399999999</v>
      </c>
      <c r="J208" s="45">
        <v>1210</v>
      </c>
      <c r="K208" s="45">
        <f t="shared" si="16"/>
        <v>468.91213199999993</v>
      </c>
    </row>
    <row r="209" spans="1:11">
      <c r="A209" s="38">
        <v>204</v>
      </c>
      <c r="B209" s="43" t="s">
        <v>84</v>
      </c>
      <c r="C209" s="43">
        <v>1702</v>
      </c>
      <c r="D209" s="43">
        <v>95.39</v>
      </c>
      <c r="E209" s="43">
        <v>3.81</v>
      </c>
      <c r="F209" s="44">
        <f t="shared" si="18"/>
        <v>1026.7779599999999</v>
      </c>
      <c r="G209" s="44">
        <f t="shared" si="18"/>
        <v>41.010839999999995</v>
      </c>
      <c r="H209" s="44">
        <f t="shared" si="14"/>
        <v>99.2</v>
      </c>
      <c r="I209" s="44">
        <f t="shared" si="15"/>
        <v>1067.7887999999998</v>
      </c>
      <c r="J209" s="45">
        <v>1690</v>
      </c>
      <c r="K209" s="45">
        <f t="shared" si="16"/>
        <v>667.40567399999998</v>
      </c>
    </row>
    <row r="210" spans="1:11">
      <c r="A210" s="38">
        <v>205</v>
      </c>
      <c r="B210" s="43" t="s">
        <v>84</v>
      </c>
      <c r="C210" s="43">
        <v>1703</v>
      </c>
      <c r="D210" s="43">
        <v>44.09</v>
      </c>
      <c r="E210" s="43">
        <v>3.96</v>
      </c>
      <c r="F210" s="44">
        <f t="shared" si="18"/>
        <v>474.58476000000002</v>
      </c>
      <c r="G210" s="44">
        <f t="shared" si="18"/>
        <v>42.625439999999998</v>
      </c>
      <c r="H210" s="44">
        <f t="shared" si="14"/>
        <v>48.050000000000004</v>
      </c>
      <c r="I210" s="44">
        <f t="shared" si="15"/>
        <v>517.21019999999999</v>
      </c>
      <c r="J210" s="45">
        <v>795</v>
      </c>
      <c r="K210" s="45">
        <f t="shared" si="16"/>
        <v>308.48009400000001</v>
      </c>
    </row>
    <row r="211" spans="1:11">
      <c r="A211" s="38">
        <v>206</v>
      </c>
      <c r="B211" s="43" t="s">
        <v>84</v>
      </c>
      <c r="C211" s="43">
        <v>1704</v>
      </c>
      <c r="D211" s="43">
        <v>44.35</v>
      </c>
      <c r="E211" s="43">
        <v>3.78</v>
      </c>
      <c r="F211" s="44">
        <f t="shared" si="18"/>
        <v>477.38339999999999</v>
      </c>
      <c r="G211" s="44">
        <f t="shared" si="18"/>
        <v>40.687919999999998</v>
      </c>
      <c r="H211" s="44">
        <f t="shared" si="14"/>
        <v>48.13</v>
      </c>
      <c r="I211" s="44">
        <f t="shared" si="15"/>
        <v>518.07132000000001</v>
      </c>
      <c r="J211" s="45">
        <v>795</v>
      </c>
      <c r="K211" s="45">
        <f t="shared" si="16"/>
        <v>310.29921000000002</v>
      </c>
    </row>
    <row r="212" spans="1:11">
      <c r="A212" s="38">
        <v>207</v>
      </c>
      <c r="B212" s="43" t="s">
        <v>84</v>
      </c>
      <c r="C212" s="43">
        <v>1705</v>
      </c>
      <c r="D212" s="43">
        <v>44.35</v>
      </c>
      <c r="E212" s="43">
        <v>3.78</v>
      </c>
      <c r="F212" s="44">
        <f t="shared" si="18"/>
        <v>477.38339999999999</v>
      </c>
      <c r="G212" s="44">
        <f t="shared" si="18"/>
        <v>40.687919999999998</v>
      </c>
      <c r="H212" s="44">
        <f t="shared" si="14"/>
        <v>48.13</v>
      </c>
      <c r="I212" s="44">
        <f t="shared" si="15"/>
        <v>518.07132000000001</v>
      </c>
      <c r="J212" s="45">
        <v>795</v>
      </c>
      <c r="K212" s="45">
        <f t="shared" si="16"/>
        <v>310.29921000000002</v>
      </c>
    </row>
    <row r="213" spans="1:11">
      <c r="A213" s="38">
        <v>208</v>
      </c>
      <c r="B213" s="43" t="s">
        <v>84</v>
      </c>
      <c r="C213" s="43">
        <v>1706</v>
      </c>
      <c r="D213" s="43">
        <v>44.09</v>
      </c>
      <c r="E213" s="43">
        <v>3.96</v>
      </c>
      <c r="F213" s="44">
        <f t="shared" si="18"/>
        <v>474.58476000000002</v>
      </c>
      <c r="G213" s="44">
        <f t="shared" si="18"/>
        <v>42.625439999999998</v>
      </c>
      <c r="H213" s="44">
        <f t="shared" si="14"/>
        <v>48.050000000000004</v>
      </c>
      <c r="I213" s="44">
        <f t="shared" si="15"/>
        <v>517.21019999999999</v>
      </c>
      <c r="J213" s="45">
        <v>795</v>
      </c>
      <c r="K213" s="45">
        <f t="shared" si="16"/>
        <v>308.48009400000001</v>
      </c>
    </row>
    <row r="214" spans="1:11">
      <c r="A214" s="38">
        <v>209</v>
      </c>
      <c r="B214" s="43" t="s">
        <v>84</v>
      </c>
      <c r="C214" s="43">
        <v>1707</v>
      </c>
      <c r="D214" s="44">
        <v>95.39</v>
      </c>
      <c r="E214" s="44">
        <v>3.81</v>
      </c>
      <c r="F214" s="44">
        <f t="shared" si="18"/>
        <v>1026.7779599999999</v>
      </c>
      <c r="G214" s="44">
        <f t="shared" si="18"/>
        <v>41.010839999999995</v>
      </c>
      <c r="H214" s="44">
        <f t="shared" si="14"/>
        <v>99.2</v>
      </c>
      <c r="I214" s="44">
        <f t="shared" si="15"/>
        <v>1067.7887999999998</v>
      </c>
      <c r="J214" s="45">
        <v>1690</v>
      </c>
      <c r="K214" s="45">
        <f t="shared" si="16"/>
        <v>667.40567399999998</v>
      </c>
    </row>
    <row r="215" spans="1:11">
      <c r="A215" s="38">
        <v>210</v>
      </c>
      <c r="B215" s="43" t="s">
        <v>84</v>
      </c>
      <c r="C215" s="43">
        <v>1708</v>
      </c>
      <c r="D215" s="43">
        <v>67.02</v>
      </c>
      <c r="E215" s="43">
        <v>3.94</v>
      </c>
      <c r="F215" s="44">
        <f t="shared" si="18"/>
        <v>721.40327999999988</v>
      </c>
      <c r="G215" s="44">
        <f t="shared" si="18"/>
        <v>42.410159999999998</v>
      </c>
      <c r="H215" s="44">
        <f t="shared" si="14"/>
        <v>70.959999999999994</v>
      </c>
      <c r="I215" s="44">
        <f t="shared" si="15"/>
        <v>763.8134399999999</v>
      </c>
      <c r="J215" s="45">
        <v>1210</v>
      </c>
      <c r="K215" s="45">
        <f t="shared" si="16"/>
        <v>468.91213199999993</v>
      </c>
    </row>
    <row r="216" spans="1:11">
      <c r="A216" s="38">
        <v>211</v>
      </c>
      <c r="B216" s="43" t="s">
        <v>84</v>
      </c>
      <c r="C216" s="43">
        <v>1709</v>
      </c>
      <c r="D216" s="44">
        <v>41.9</v>
      </c>
      <c r="E216" s="43">
        <v>3.57</v>
      </c>
      <c r="F216" s="44">
        <f t="shared" si="18"/>
        <v>451.01159999999993</v>
      </c>
      <c r="G216" s="44">
        <f t="shared" si="18"/>
        <v>38.427479999999996</v>
      </c>
      <c r="H216" s="44">
        <f t="shared" si="14"/>
        <v>45.47</v>
      </c>
      <c r="I216" s="44">
        <f t="shared" si="15"/>
        <v>489.43907999999993</v>
      </c>
      <c r="J216" s="45">
        <v>760</v>
      </c>
      <c r="K216" s="45">
        <f t="shared" si="16"/>
        <v>293.15753999999998</v>
      </c>
    </row>
    <row r="217" spans="1:11">
      <c r="A217" s="38">
        <v>212</v>
      </c>
      <c r="B217" s="43" t="s">
        <v>84</v>
      </c>
      <c r="C217" s="43">
        <v>1710</v>
      </c>
      <c r="D217" s="44">
        <v>41.3</v>
      </c>
      <c r="E217" s="44">
        <v>3.39</v>
      </c>
      <c r="F217" s="44">
        <f t="shared" si="18"/>
        <v>444.55319999999995</v>
      </c>
      <c r="G217" s="44">
        <f t="shared" si="18"/>
        <v>36.489959999999996</v>
      </c>
      <c r="H217" s="44">
        <f t="shared" ref="H217:H280" si="19">D217+E217</f>
        <v>44.69</v>
      </c>
      <c r="I217" s="44">
        <f t="shared" ref="I217:I280" si="20">F217+G217</f>
        <v>481.04315999999994</v>
      </c>
      <c r="J217" s="45">
        <v>750</v>
      </c>
      <c r="K217" s="45">
        <f t="shared" ref="K217:K280" si="21">F217*65%</f>
        <v>288.95957999999996</v>
      </c>
    </row>
    <row r="218" spans="1:11">
      <c r="A218" s="38">
        <v>213</v>
      </c>
      <c r="B218" s="43" t="s">
        <v>84</v>
      </c>
      <c r="C218" s="43">
        <v>1711</v>
      </c>
      <c r="D218" s="44">
        <v>41.3</v>
      </c>
      <c r="E218" s="44">
        <v>3.39</v>
      </c>
      <c r="F218" s="44">
        <f t="shared" ref="F218:G281" si="22">D218*10.764</f>
        <v>444.55319999999995</v>
      </c>
      <c r="G218" s="44">
        <f t="shared" si="22"/>
        <v>36.489959999999996</v>
      </c>
      <c r="H218" s="44">
        <f t="shared" si="19"/>
        <v>44.69</v>
      </c>
      <c r="I218" s="44">
        <f t="shared" si="20"/>
        <v>481.04315999999994</v>
      </c>
      <c r="J218" s="45">
        <v>750</v>
      </c>
      <c r="K218" s="45">
        <f t="shared" si="21"/>
        <v>288.95957999999996</v>
      </c>
    </row>
    <row r="219" spans="1:11">
      <c r="A219" s="38">
        <v>214</v>
      </c>
      <c r="B219" s="43" t="s">
        <v>84</v>
      </c>
      <c r="C219" s="43">
        <v>1712</v>
      </c>
      <c r="D219" s="44">
        <v>41.9</v>
      </c>
      <c r="E219" s="43">
        <v>3.57</v>
      </c>
      <c r="F219" s="44">
        <f t="shared" si="22"/>
        <v>451.01159999999993</v>
      </c>
      <c r="G219" s="44">
        <f t="shared" si="22"/>
        <v>38.427479999999996</v>
      </c>
      <c r="H219" s="44">
        <f t="shared" si="19"/>
        <v>45.47</v>
      </c>
      <c r="I219" s="44">
        <f t="shared" si="20"/>
        <v>489.43907999999993</v>
      </c>
      <c r="J219" s="45">
        <v>760</v>
      </c>
      <c r="K219" s="45">
        <f t="shared" si="21"/>
        <v>293.15753999999998</v>
      </c>
    </row>
    <row r="220" spans="1:11">
      <c r="A220" s="38">
        <v>215</v>
      </c>
      <c r="B220" s="43" t="s">
        <v>84</v>
      </c>
      <c r="C220" s="43">
        <v>1801</v>
      </c>
      <c r="D220" s="43">
        <v>67.02</v>
      </c>
      <c r="E220" s="43">
        <v>3.94</v>
      </c>
      <c r="F220" s="44">
        <f t="shared" si="22"/>
        <v>721.40327999999988</v>
      </c>
      <c r="G220" s="44">
        <f t="shared" si="22"/>
        <v>42.410159999999998</v>
      </c>
      <c r="H220" s="44">
        <f t="shared" si="19"/>
        <v>70.959999999999994</v>
      </c>
      <c r="I220" s="44">
        <f t="shared" si="20"/>
        <v>763.8134399999999</v>
      </c>
      <c r="J220" s="45">
        <v>1210</v>
      </c>
      <c r="K220" s="45">
        <f t="shared" si="21"/>
        <v>468.91213199999993</v>
      </c>
    </row>
    <row r="221" spans="1:11">
      <c r="A221" s="38">
        <v>216</v>
      </c>
      <c r="B221" s="43" t="s">
        <v>84</v>
      </c>
      <c r="C221" s="43">
        <v>1802</v>
      </c>
      <c r="D221" s="43">
        <v>95.39</v>
      </c>
      <c r="E221" s="43">
        <v>3.81</v>
      </c>
      <c r="F221" s="44">
        <f t="shared" si="22"/>
        <v>1026.7779599999999</v>
      </c>
      <c r="G221" s="44">
        <f t="shared" si="22"/>
        <v>41.010839999999995</v>
      </c>
      <c r="H221" s="44">
        <f t="shared" si="19"/>
        <v>99.2</v>
      </c>
      <c r="I221" s="44">
        <f t="shared" si="20"/>
        <v>1067.7887999999998</v>
      </c>
      <c r="J221" s="45">
        <v>1690</v>
      </c>
      <c r="K221" s="45">
        <f t="shared" si="21"/>
        <v>667.40567399999998</v>
      </c>
    </row>
    <row r="222" spans="1:11">
      <c r="A222" s="38">
        <v>217</v>
      </c>
      <c r="B222" s="43" t="s">
        <v>84</v>
      </c>
      <c r="C222" s="43">
        <v>1803</v>
      </c>
      <c r="D222" s="43">
        <v>44.09</v>
      </c>
      <c r="E222" s="43">
        <v>3.96</v>
      </c>
      <c r="F222" s="44">
        <f t="shared" si="22"/>
        <v>474.58476000000002</v>
      </c>
      <c r="G222" s="44">
        <f t="shared" si="22"/>
        <v>42.625439999999998</v>
      </c>
      <c r="H222" s="44">
        <f t="shared" si="19"/>
        <v>48.050000000000004</v>
      </c>
      <c r="I222" s="44">
        <f t="shared" si="20"/>
        <v>517.21019999999999</v>
      </c>
      <c r="J222" s="45">
        <v>795</v>
      </c>
      <c r="K222" s="45">
        <f t="shared" si="21"/>
        <v>308.48009400000001</v>
      </c>
    </row>
    <row r="223" spans="1:11">
      <c r="A223" s="38">
        <v>218</v>
      </c>
      <c r="B223" s="43" t="s">
        <v>84</v>
      </c>
      <c r="C223" s="43">
        <v>1804</v>
      </c>
      <c r="D223" s="43">
        <v>44.35</v>
      </c>
      <c r="E223" s="43">
        <v>3.78</v>
      </c>
      <c r="F223" s="44">
        <f t="shared" si="22"/>
        <v>477.38339999999999</v>
      </c>
      <c r="G223" s="44">
        <f t="shared" si="22"/>
        <v>40.687919999999998</v>
      </c>
      <c r="H223" s="44">
        <f t="shared" si="19"/>
        <v>48.13</v>
      </c>
      <c r="I223" s="44">
        <f t="shared" si="20"/>
        <v>518.07132000000001</v>
      </c>
      <c r="J223" s="45">
        <v>795</v>
      </c>
      <c r="K223" s="45">
        <f t="shared" si="21"/>
        <v>310.29921000000002</v>
      </c>
    </row>
    <row r="224" spans="1:11">
      <c r="A224" s="38">
        <v>219</v>
      </c>
      <c r="B224" s="43" t="s">
        <v>84</v>
      </c>
      <c r="C224" s="43">
        <v>1805</v>
      </c>
      <c r="D224" s="43">
        <v>44.35</v>
      </c>
      <c r="E224" s="43">
        <v>3.78</v>
      </c>
      <c r="F224" s="44">
        <f t="shared" si="22"/>
        <v>477.38339999999999</v>
      </c>
      <c r="G224" s="44">
        <f t="shared" si="22"/>
        <v>40.687919999999998</v>
      </c>
      <c r="H224" s="44">
        <f t="shared" si="19"/>
        <v>48.13</v>
      </c>
      <c r="I224" s="44">
        <f t="shared" si="20"/>
        <v>518.07132000000001</v>
      </c>
      <c r="J224" s="45">
        <v>795</v>
      </c>
      <c r="K224" s="45">
        <f t="shared" si="21"/>
        <v>310.29921000000002</v>
      </c>
    </row>
    <row r="225" spans="1:11">
      <c r="A225" s="38">
        <v>220</v>
      </c>
      <c r="B225" s="43" t="s">
        <v>84</v>
      </c>
      <c r="C225" s="43">
        <v>1806</v>
      </c>
      <c r="D225" s="43">
        <v>44.09</v>
      </c>
      <c r="E225" s="43">
        <v>3.96</v>
      </c>
      <c r="F225" s="44">
        <f t="shared" si="22"/>
        <v>474.58476000000002</v>
      </c>
      <c r="G225" s="44">
        <f t="shared" si="22"/>
        <v>42.625439999999998</v>
      </c>
      <c r="H225" s="44">
        <f t="shared" si="19"/>
        <v>48.050000000000004</v>
      </c>
      <c r="I225" s="44">
        <f t="shared" si="20"/>
        <v>517.21019999999999</v>
      </c>
      <c r="J225" s="45">
        <v>795</v>
      </c>
      <c r="K225" s="45">
        <f t="shared" si="21"/>
        <v>308.48009400000001</v>
      </c>
    </row>
    <row r="226" spans="1:11">
      <c r="A226" s="38">
        <v>221</v>
      </c>
      <c r="B226" s="43" t="s">
        <v>84</v>
      </c>
      <c r="C226" s="43">
        <v>1807</v>
      </c>
      <c r="D226" s="44">
        <v>95.39</v>
      </c>
      <c r="E226" s="44">
        <v>3.81</v>
      </c>
      <c r="F226" s="44">
        <f t="shared" si="22"/>
        <v>1026.7779599999999</v>
      </c>
      <c r="G226" s="44">
        <f t="shared" si="22"/>
        <v>41.010839999999995</v>
      </c>
      <c r="H226" s="44">
        <f t="shared" si="19"/>
        <v>99.2</v>
      </c>
      <c r="I226" s="44">
        <f t="shared" si="20"/>
        <v>1067.7887999999998</v>
      </c>
      <c r="J226" s="45">
        <v>1690</v>
      </c>
      <c r="K226" s="45">
        <f t="shared" si="21"/>
        <v>667.40567399999998</v>
      </c>
    </row>
    <row r="227" spans="1:11">
      <c r="A227" s="38">
        <v>222</v>
      </c>
      <c r="B227" s="43" t="s">
        <v>84</v>
      </c>
      <c r="C227" s="43">
        <v>1808</v>
      </c>
      <c r="D227" s="43">
        <v>67.02</v>
      </c>
      <c r="E227" s="43">
        <v>3.94</v>
      </c>
      <c r="F227" s="44">
        <f t="shared" si="22"/>
        <v>721.40327999999988</v>
      </c>
      <c r="G227" s="44">
        <f t="shared" si="22"/>
        <v>42.410159999999998</v>
      </c>
      <c r="H227" s="44">
        <f t="shared" si="19"/>
        <v>70.959999999999994</v>
      </c>
      <c r="I227" s="44">
        <f t="shared" si="20"/>
        <v>763.8134399999999</v>
      </c>
      <c r="J227" s="45">
        <v>1210</v>
      </c>
      <c r="K227" s="45">
        <f t="shared" si="21"/>
        <v>468.91213199999993</v>
      </c>
    </row>
    <row r="228" spans="1:11">
      <c r="A228" s="38">
        <v>223</v>
      </c>
      <c r="B228" s="43" t="s">
        <v>84</v>
      </c>
      <c r="C228" s="43">
        <v>1809</v>
      </c>
      <c r="D228" s="44">
        <v>41.9</v>
      </c>
      <c r="E228" s="43">
        <v>3.57</v>
      </c>
      <c r="F228" s="44">
        <f t="shared" si="22"/>
        <v>451.01159999999993</v>
      </c>
      <c r="G228" s="44">
        <f t="shared" si="22"/>
        <v>38.427479999999996</v>
      </c>
      <c r="H228" s="44">
        <f t="shared" si="19"/>
        <v>45.47</v>
      </c>
      <c r="I228" s="44">
        <f t="shared" si="20"/>
        <v>489.43907999999993</v>
      </c>
      <c r="J228" s="45">
        <v>760</v>
      </c>
      <c r="K228" s="45">
        <f t="shared" si="21"/>
        <v>293.15753999999998</v>
      </c>
    </row>
    <row r="229" spans="1:11">
      <c r="A229" s="38">
        <v>224</v>
      </c>
      <c r="B229" s="43" t="s">
        <v>84</v>
      </c>
      <c r="C229" s="43">
        <v>1810</v>
      </c>
      <c r="D229" s="44">
        <v>41.3</v>
      </c>
      <c r="E229" s="44">
        <v>3.39</v>
      </c>
      <c r="F229" s="44">
        <f t="shared" si="22"/>
        <v>444.55319999999995</v>
      </c>
      <c r="G229" s="44">
        <f t="shared" si="22"/>
        <v>36.489959999999996</v>
      </c>
      <c r="H229" s="44">
        <f t="shared" si="19"/>
        <v>44.69</v>
      </c>
      <c r="I229" s="44">
        <f t="shared" si="20"/>
        <v>481.04315999999994</v>
      </c>
      <c r="J229" s="45">
        <v>750</v>
      </c>
      <c r="K229" s="45">
        <f t="shared" si="21"/>
        <v>288.95957999999996</v>
      </c>
    </row>
    <row r="230" spans="1:11">
      <c r="A230" s="38">
        <v>225</v>
      </c>
      <c r="B230" s="43" t="s">
        <v>84</v>
      </c>
      <c r="C230" s="43">
        <v>1811</v>
      </c>
      <c r="D230" s="44">
        <v>41.3</v>
      </c>
      <c r="E230" s="44">
        <v>3.39</v>
      </c>
      <c r="F230" s="44">
        <f t="shared" si="22"/>
        <v>444.55319999999995</v>
      </c>
      <c r="G230" s="44">
        <f t="shared" si="22"/>
        <v>36.489959999999996</v>
      </c>
      <c r="H230" s="44">
        <f t="shared" si="19"/>
        <v>44.69</v>
      </c>
      <c r="I230" s="44">
        <f t="shared" si="20"/>
        <v>481.04315999999994</v>
      </c>
      <c r="J230" s="45">
        <v>750</v>
      </c>
      <c r="K230" s="45">
        <f t="shared" si="21"/>
        <v>288.95957999999996</v>
      </c>
    </row>
    <row r="231" spans="1:11">
      <c r="A231" s="38">
        <v>226</v>
      </c>
      <c r="B231" s="43" t="s">
        <v>84</v>
      </c>
      <c r="C231" s="43">
        <v>1812</v>
      </c>
      <c r="D231" s="44">
        <v>41.9</v>
      </c>
      <c r="E231" s="43">
        <v>3.57</v>
      </c>
      <c r="F231" s="44">
        <f t="shared" si="22"/>
        <v>451.01159999999993</v>
      </c>
      <c r="G231" s="44">
        <f t="shared" si="22"/>
        <v>38.427479999999996</v>
      </c>
      <c r="H231" s="44">
        <f t="shared" si="19"/>
        <v>45.47</v>
      </c>
      <c r="I231" s="44">
        <f t="shared" si="20"/>
        <v>489.43907999999993</v>
      </c>
      <c r="J231" s="45">
        <v>760</v>
      </c>
      <c r="K231" s="45">
        <f t="shared" si="21"/>
        <v>293.15753999999998</v>
      </c>
    </row>
    <row r="232" spans="1:11">
      <c r="A232" s="38">
        <v>227</v>
      </c>
      <c r="B232" s="43" t="s">
        <v>84</v>
      </c>
      <c r="C232" s="43">
        <v>1901</v>
      </c>
      <c r="D232" s="43">
        <v>67.02</v>
      </c>
      <c r="E232" s="43">
        <v>3.94</v>
      </c>
      <c r="F232" s="44">
        <f t="shared" si="22"/>
        <v>721.40327999999988</v>
      </c>
      <c r="G232" s="44">
        <f t="shared" si="22"/>
        <v>42.410159999999998</v>
      </c>
      <c r="H232" s="44">
        <f t="shared" si="19"/>
        <v>70.959999999999994</v>
      </c>
      <c r="I232" s="44">
        <f t="shared" si="20"/>
        <v>763.8134399999999</v>
      </c>
      <c r="J232" s="45">
        <v>1210</v>
      </c>
      <c r="K232" s="45">
        <f t="shared" si="21"/>
        <v>468.91213199999993</v>
      </c>
    </row>
    <row r="233" spans="1:11">
      <c r="A233" s="38">
        <v>228</v>
      </c>
      <c r="B233" s="43" t="s">
        <v>84</v>
      </c>
      <c r="C233" s="43">
        <v>1902</v>
      </c>
      <c r="D233" s="43">
        <v>95.39</v>
      </c>
      <c r="E233" s="43">
        <v>3.81</v>
      </c>
      <c r="F233" s="44">
        <f t="shared" si="22"/>
        <v>1026.7779599999999</v>
      </c>
      <c r="G233" s="44">
        <f t="shared" si="22"/>
        <v>41.010839999999995</v>
      </c>
      <c r="H233" s="44">
        <f t="shared" si="19"/>
        <v>99.2</v>
      </c>
      <c r="I233" s="44">
        <f t="shared" si="20"/>
        <v>1067.7887999999998</v>
      </c>
      <c r="J233" s="45">
        <v>1690</v>
      </c>
      <c r="K233" s="45">
        <f t="shared" si="21"/>
        <v>667.40567399999998</v>
      </c>
    </row>
    <row r="234" spans="1:11">
      <c r="A234" s="38">
        <v>229</v>
      </c>
      <c r="B234" s="43" t="s">
        <v>84</v>
      </c>
      <c r="C234" s="43">
        <v>1903</v>
      </c>
      <c r="D234" s="43">
        <v>44.09</v>
      </c>
      <c r="E234" s="43">
        <v>3.96</v>
      </c>
      <c r="F234" s="44">
        <f t="shared" si="22"/>
        <v>474.58476000000002</v>
      </c>
      <c r="G234" s="44">
        <f t="shared" si="22"/>
        <v>42.625439999999998</v>
      </c>
      <c r="H234" s="44">
        <f t="shared" si="19"/>
        <v>48.050000000000004</v>
      </c>
      <c r="I234" s="44">
        <f t="shared" si="20"/>
        <v>517.21019999999999</v>
      </c>
      <c r="J234" s="45">
        <v>795</v>
      </c>
      <c r="K234" s="45">
        <f t="shared" si="21"/>
        <v>308.48009400000001</v>
      </c>
    </row>
    <row r="235" spans="1:11">
      <c r="A235" s="38">
        <v>230</v>
      </c>
      <c r="B235" s="43" t="s">
        <v>84</v>
      </c>
      <c r="C235" s="43">
        <v>1904</v>
      </c>
      <c r="D235" s="43">
        <v>44.35</v>
      </c>
      <c r="E235" s="43">
        <v>3.78</v>
      </c>
      <c r="F235" s="44">
        <f t="shared" si="22"/>
        <v>477.38339999999999</v>
      </c>
      <c r="G235" s="44">
        <f t="shared" si="22"/>
        <v>40.687919999999998</v>
      </c>
      <c r="H235" s="44">
        <f t="shared" si="19"/>
        <v>48.13</v>
      </c>
      <c r="I235" s="44">
        <f t="shared" si="20"/>
        <v>518.07132000000001</v>
      </c>
      <c r="J235" s="45">
        <v>795</v>
      </c>
      <c r="K235" s="45">
        <f t="shared" si="21"/>
        <v>310.29921000000002</v>
      </c>
    </row>
    <row r="236" spans="1:11">
      <c r="A236" s="38">
        <v>231</v>
      </c>
      <c r="B236" s="43" t="s">
        <v>84</v>
      </c>
      <c r="C236" s="43">
        <v>1905</v>
      </c>
      <c r="D236" s="43">
        <v>44.35</v>
      </c>
      <c r="E236" s="43">
        <v>3.78</v>
      </c>
      <c r="F236" s="44">
        <f t="shared" si="22"/>
        <v>477.38339999999999</v>
      </c>
      <c r="G236" s="44">
        <f t="shared" si="22"/>
        <v>40.687919999999998</v>
      </c>
      <c r="H236" s="44">
        <f t="shared" si="19"/>
        <v>48.13</v>
      </c>
      <c r="I236" s="44">
        <f t="shared" si="20"/>
        <v>518.07132000000001</v>
      </c>
      <c r="J236" s="45">
        <v>795</v>
      </c>
      <c r="K236" s="45">
        <f t="shared" si="21"/>
        <v>310.29921000000002</v>
      </c>
    </row>
    <row r="237" spans="1:11">
      <c r="A237" s="38">
        <v>232</v>
      </c>
      <c r="B237" s="43" t="s">
        <v>84</v>
      </c>
      <c r="C237" s="43">
        <v>1906</v>
      </c>
      <c r="D237" s="43">
        <v>44.09</v>
      </c>
      <c r="E237" s="43">
        <v>3.96</v>
      </c>
      <c r="F237" s="44">
        <f t="shared" si="22"/>
        <v>474.58476000000002</v>
      </c>
      <c r="G237" s="44">
        <f t="shared" si="22"/>
        <v>42.625439999999998</v>
      </c>
      <c r="H237" s="44">
        <f t="shared" si="19"/>
        <v>48.050000000000004</v>
      </c>
      <c r="I237" s="44">
        <f t="shared" si="20"/>
        <v>517.21019999999999</v>
      </c>
      <c r="J237" s="45">
        <v>795</v>
      </c>
      <c r="K237" s="45">
        <f t="shared" si="21"/>
        <v>308.48009400000001</v>
      </c>
    </row>
    <row r="238" spans="1:11">
      <c r="A238" s="38">
        <v>233</v>
      </c>
      <c r="B238" s="43" t="s">
        <v>84</v>
      </c>
      <c r="C238" s="43">
        <v>1907</v>
      </c>
      <c r="D238" s="44">
        <v>95.39</v>
      </c>
      <c r="E238" s="44">
        <v>3.81</v>
      </c>
      <c r="F238" s="44">
        <f t="shared" si="22"/>
        <v>1026.7779599999999</v>
      </c>
      <c r="G238" s="44">
        <f t="shared" si="22"/>
        <v>41.010839999999995</v>
      </c>
      <c r="H238" s="44">
        <f t="shared" si="19"/>
        <v>99.2</v>
      </c>
      <c r="I238" s="44">
        <f t="shared" si="20"/>
        <v>1067.7887999999998</v>
      </c>
      <c r="J238" s="45">
        <v>1690</v>
      </c>
      <c r="K238" s="45">
        <f t="shared" si="21"/>
        <v>667.40567399999998</v>
      </c>
    </row>
    <row r="239" spans="1:11">
      <c r="A239" s="38">
        <v>234</v>
      </c>
      <c r="B239" s="43" t="s">
        <v>84</v>
      </c>
      <c r="C239" s="43">
        <v>1908</v>
      </c>
      <c r="D239" s="43">
        <v>67.02</v>
      </c>
      <c r="E239" s="43">
        <v>3.94</v>
      </c>
      <c r="F239" s="44">
        <f t="shared" si="22"/>
        <v>721.40327999999988</v>
      </c>
      <c r="G239" s="44">
        <f t="shared" si="22"/>
        <v>42.410159999999998</v>
      </c>
      <c r="H239" s="44">
        <f t="shared" si="19"/>
        <v>70.959999999999994</v>
      </c>
      <c r="I239" s="44">
        <f t="shared" si="20"/>
        <v>763.8134399999999</v>
      </c>
      <c r="J239" s="45">
        <v>1210</v>
      </c>
      <c r="K239" s="45">
        <f t="shared" si="21"/>
        <v>468.91213199999993</v>
      </c>
    </row>
    <row r="240" spans="1:11">
      <c r="A240" s="38">
        <v>235</v>
      </c>
      <c r="B240" s="43" t="s">
        <v>84</v>
      </c>
      <c r="C240" s="43">
        <v>1909</v>
      </c>
      <c r="D240" s="44">
        <v>41.9</v>
      </c>
      <c r="E240" s="43">
        <v>3.57</v>
      </c>
      <c r="F240" s="44">
        <f t="shared" si="22"/>
        <v>451.01159999999993</v>
      </c>
      <c r="G240" s="44">
        <f t="shared" si="22"/>
        <v>38.427479999999996</v>
      </c>
      <c r="H240" s="44">
        <f t="shared" si="19"/>
        <v>45.47</v>
      </c>
      <c r="I240" s="44">
        <f t="shared" si="20"/>
        <v>489.43907999999993</v>
      </c>
      <c r="J240" s="45">
        <v>760</v>
      </c>
      <c r="K240" s="45">
        <f t="shared" si="21"/>
        <v>293.15753999999998</v>
      </c>
    </row>
    <row r="241" spans="1:11">
      <c r="A241" s="38">
        <v>236</v>
      </c>
      <c r="B241" s="43" t="s">
        <v>84</v>
      </c>
      <c r="C241" s="43">
        <v>1910</v>
      </c>
      <c r="D241" s="44">
        <v>41.3</v>
      </c>
      <c r="E241" s="44">
        <v>3.39</v>
      </c>
      <c r="F241" s="44">
        <f t="shared" si="22"/>
        <v>444.55319999999995</v>
      </c>
      <c r="G241" s="44">
        <f t="shared" si="22"/>
        <v>36.489959999999996</v>
      </c>
      <c r="H241" s="44">
        <f t="shared" si="19"/>
        <v>44.69</v>
      </c>
      <c r="I241" s="44">
        <f t="shared" si="20"/>
        <v>481.04315999999994</v>
      </c>
      <c r="J241" s="45">
        <v>750</v>
      </c>
      <c r="K241" s="45">
        <f t="shared" si="21"/>
        <v>288.95957999999996</v>
      </c>
    </row>
    <row r="242" spans="1:11">
      <c r="A242" s="38">
        <v>237</v>
      </c>
      <c r="B242" s="43" t="s">
        <v>84</v>
      </c>
      <c r="C242" s="43">
        <v>1911</v>
      </c>
      <c r="D242" s="44">
        <v>41.3</v>
      </c>
      <c r="E242" s="44">
        <v>3.39</v>
      </c>
      <c r="F242" s="44">
        <f t="shared" si="22"/>
        <v>444.55319999999995</v>
      </c>
      <c r="G242" s="44">
        <f t="shared" si="22"/>
        <v>36.489959999999996</v>
      </c>
      <c r="H242" s="44">
        <f t="shared" si="19"/>
        <v>44.69</v>
      </c>
      <c r="I242" s="44">
        <f t="shared" si="20"/>
        <v>481.04315999999994</v>
      </c>
      <c r="J242" s="45">
        <v>750</v>
      </c>
      <c r="K242" s="45">
        <f t="shared" si="21"/>
        <v>288.95957999999996</v>
      </c>
    </row>
    <row r="243" spans="1:11">
      <c r="A243" s="38">
        <v>238</v>
      </c>
      <c r="B243" s="43" t="s">
        <v>84</v>
      </c>
      <c r="C243" s="43">
        <v>1912</v>
      </c>
      <c r="D243" s="44">
        <v>41.9</v>
      </c>
      <c r="E243" s="43">
        <v>3.57</v>
      </c>
      <c r="F243" s="44">
        <f t="shared" si="22"/>
        <v>451.01159999999993</v>
      </c>
      <c r="G243" s="44">
        <f t="shared" si="22"/>
        <v>38.427479999999996</v>
      </c>
      <c r="H243" s="44">
        <f t="shared" si="19"/>
        <v>45.47</v>
      </c>
      <c r="I243" s="44">
        <f t="shared" si="20"/>
        <v>489.43907999999993</v>
      </c>
      <c r="J243" s="45">
        <v>760</v>
      </c>
      <c r="K243" s="45">
        <f t="shared" si="21"/>
        <v>293.15753999999998</v>
      </c>
    </row>
    <row r="244" spans="1:11">
      <c r="A244" s="38">
        <v>239</v>
      </c>
      <c r="B244" s="43" t="s">
        <v>84</v>
      </c>
      <c r="C244" s="43">
        <v>2001</v>
      </c>
      <c r="D244" s="43">
        <v>67.02</v>
      </c>
      <c r="E244" s="43">
        <v>3.94</v>
      </c>
      <c r="F244" s="44">
        <f t="shared" si="22"/>
        <v>721.40327999999988</v>
      </c>
      <c r="G244" s="44">
        <f t="shared" si="22"/>
        <v>42.410159999999998</v>
      </c>
      <c r="H244" s="44">
        <f t="shared" si="19"/>
        <v>70.959999999999994</v>
      </c>
      <c r="I244" s="44">
        <f t="shared" si="20"/>
        <v>763.8134399999999</v>
      </c>
      <c r="J244" s="45">
        <v>1210</v>
      </c>
      <c r="K244" s="45">
        <f t="shared" si="21"/>
        <v>468.91213199999993</v>
      </c>
    </row>
    <row r="245" spans="1:11">
      <c r="A245" s="38">
        <v>240</v>
      </c>
      <c r="B245" s="43" t="s">
        <v>84</v>
      </c>
      <c r="C245" s="43">
        <v>2002</v>
      </c>
      <c r="D245" s="43">
        <v>95.39</v>
      </c>
      <c r="E245" s="43">
        <v>3.81</v>
      </c>
      <c r="F245" s="44">
        <f t="shared" si="22"/>
        <v>1026.7779599999999</v>
      </c>
      <c r="G245" s="44">
        <f t="shared" si="22"/>
        <v>41.010839999999995</v>
      </c>
      <c r="H245" s="44">
        <f t="shared" si="19"/>
        <v>99.2</v>
      </c>
      <c r="I245" s="44">
        <f t="shared" si="20"/>
        <v>1067.7887999999998</v>
      </c>
      <c r="J245" s="45">
        <v>1690</v>
      </c>
      <c r="K245" s="45">
        <f t="shared" si="21"/>
        <v>667.40567399999998</v>
      </c>
    </row>
    <row r="246" spans="1:11">
      <c r="A246" s="38">
        <v>241</v>
      </c>
      <c r="B246" s="43" t="s">
        <v>84</v>
      </c>
      <c r="C246" s="43">
        <v>2003</v>
      </c>
      <c r="D246" s="43">
        <v>44.09</v>
      </c>
      <c r="E246" s="43">
        <v>3.96</v>
      </c>
      <c r="F246" s="44">
        <f t="shared" si="22"/>
        <v>474.58476000000002</v>
      </c>
      <c r="G246" s="44">
        <f t="shared" si="22"/>
        <v>42.625439999999998</v>
      </c>
      <c r="H246" s="44">
        <f t="shared" si="19"/>
        <v>48.050000000000004</v>
      </c>
      <c r="I246" s="44">
        <f t="shared" si="20"/>
        <v>517.21019999999999</v>
      </c>
      <c r="J246" s="45">
        <v>795</v>
      </c>
      <c r="K246" s="45">
        <f t="shared" si="21"/>
        <v>308.48009400000001</v>
      </c>
    </row>
    <row r="247" spans="1:11">
      <c r="A247" s="38">
        <v>242</v>
      </c>
      <c r="B247" s="43" t="s">
        <v>84</v>
      </c>
      <c r="C247" s="43">
        <v>2004</v>
      </c>
      <c r="D247" s="43">
        <v>44.35</v>
      </c>
      <c r="E247" s="43">
        <v>3.78</v>
      </c>
      <c r="F247" s="44">
        <f t="shared" si="22"/>
        <v>477.38339999999999</v>
      </c>
      <c r="G247" s="44">
        <f t="shared" si="22"/>
        <v>40.687919999999998</v>
      </c>
      <c r="H247" s="44">
        <f t="shared" si="19"/>
        <v>48.13</v>
      </c>
      <c r="I247" s="44">
        <f t="shared" si="20"/>
        <v>518.07132000000001</v>
      </c>
      <c r="J247" s="45">
        <v>795</v>
      </c>
      <c r="K247" s="45">
        <f t="shared" si="21"/>
        <v>310.29921000000002</v>
      </c>
    </row>
    <row r="248" spans="1:11">
      <c r="A248" s="38">
        <v>243</v>
      </c>
      <c r="B248" s="43" t="s">
        <v>84</v>
      </c>
      <c r="C248" s="43">
        <v>2005</v>
      </c>
      <c r="D248" s="43">
        <v>44.35</v>
      </c>
      <c r="E248" s="43">
        <v>3.78</v>
      </c>
      <c r="F248" s="44">
        <f t="shared" si="22"/>
        <v>477.38339999999999</v>
      </c>
      <c r="G248" s="44">
        <f t="shared" si="22"/>
        <v>40.687919999999998</v>
      </c>
      <c r="H248" s="44">
        <f t="shared" si="19"/>
        <v>48.13</v>
      </c>
      <c r="I248" s="44">
        <f t="shared" si="20"/>
        <v>518.07132000000001</v>
      </c>
      <c r="J248" s="45">
        <v>795</v>
      </c>
      <c r="K248" s="45">
        <f t="shared" si="21"/>
        <v>310.29921000000002</v>
      </c>
    </row>
    <row r="249" spans="1:11">
      <c r="A249" s="38">
        <v>244</v>
      </c>
      <c r="B249" s="43" t="s">
        <v>84</v>
      </c>
      <c r="C249" s="43">
        <v>2006</v>
      </c>
      <c r="D249" s="43">
        <v>44.09</v>
      </c>
      <c r="E249" s="43">
        <v>3.96</v>
      </c>
      <c r="F249" s="44">
        <f t="shared" si="22"/>
        <v>474.58476000000002</v>
      </c>
      <c r="G249" s="44">
        <f t="shared" si="22"/>
        <v>42.625439999999998</v>
      </c>
      <c r="H249" s="44">
        <f t="shared" si="19"/>
        <v>48.050000000000004</v>
      </c>
      <c r="I249" s="44">
        <f t="shared" si="20"/>
        <v>517.21019999999999</v>
      </c>
      <c r="J249" s="45">
        <v>795</v>
      </c>
      <c r="K249" s="45">
        <f t="shared" si="21"/>
        <v>308.48009400000001</v>
      </c>
    </row>
    <row r="250" spans="1:11">
      <c r="A250" s="38">
        <v>245</v>
      </c>
      <c r="B250" s="43" t="s">
        <v>84</v>
      </c>
      <c r="C250" s="43">
        <v>2007</v>
      </c>
      <c r="D250" s="44">
        <v>95.39</v>
      </c>
      <c r="E250" s="44">
        <v>3.81</v>
      </c>
      <c r="F250" s="44">
        <f t="shared" si="22"/>
        <v>1026.7779599999999</v>
      </c>
      <c r="G250" s="44">
        <f t="shared" si="22"/>
        <v>41.010839999999995</v>
      </c>
      <c r="H250" s="44">
        <f t="shared" si="19"/>
        <v>99.2</v>
      </c>
      <c r="I250" s="44">
        <f t="shared" si="20"/>
        <v>1067.7887999999998</v>
      </c>
      <c r="J250" s="45">
        <v>1690</v>
      </c>
      <c r="K250" s="45">
        <f t="shared" si="21"/>
        <v>667.40567399999998</v>
      </c>
    </row>
    <row r="251" spans="1:11">
      <c r="A251" s="38">
        <v>246</v>
      </c>
      <c r="B251" s="43" t="s">
        <v>84</v>
      </c>
      <c r="C251" s="43">
        <v>2008</v>
      </c>
      <c r="D251" s="43">
        <v>67.02</v>
      </c>
      <c r="E251" s="43">
        <v>3.94</v>
      </c>
      <c r="F251" s="44">
        <f t="shared" si="22"/>
        <v>721.40327999999988</v>
      </c>
      <c r="G251" s="44">
        <f t="shared" si="22"/>
        <v>42.410159999999998</v>
      </c>
      <c r="H251" s="44">
        <f t="shared" si="19"/>
        <v>70.959999999999994</v>
      </c>
      <c r="I251" s="44">
        <f t="shared" si="20"/>
        <v>763.8134399999999</v>
      </c>
      <c r="J251" s="45">
        <v>1210</v>
      </c>
      <c r="K251" s="45">
        <f t="shared" si="21"/>
        <v>468.91213199999993</v>
      </c>
    </row>
    <row r="252" spans="1:11">
      <c r="A252" s="38">
        <v>247</v>
      </c>
      <c r="B252" s="43" t="s">
        <v>84</v>
      </c>
      <c r="C252" s="43">
        <v>2009</v>
      </c>
      <c r="D252" s="44">
        <v>41.9</v>
      </c>
      <c r="E252" s="43">
        <v>3.57</v>
      </c>
      <c r="F252" s="44">
        <f t="shared" si="22"/>
        <v>451.01159999999993</v>
      </c>
      <c r="G252" s="44">
        <f t="shared" si="22"/>
        <v>38.427479999999996</v>
      </c>
      <c r="H252" s="44">
        <f t="shared" si="19"/>
        <v>45.47</v>
      </c>
      <c r="I252" s="44">
        <f t="shared" si="20"/>
        <v>489.43907999999993</v>
      </c>
      <c r="J252" s="45">
        <v>760</v>
      </c>
      <c r="K252" s="45">
        <f t="shared" si="21"/>
        <v>293.15753999999998</v>
      </c>
    </row>
    <row r="253" spans="1:11">
      <c r="A253" s="38">
        <v>248</v>
      </c>
      <c r="B253" s="43" t="s">
        <v>84</v>
      </c>
      <c r="C253" s="43">
        <v>2010</v>
      </c>
      <c r="D253" s="44">
        <v>41.3</v>
      </c>
      <c r="E253" s="44">
        <v>3.39</v>
      </c>
      <c r="F253" s="44">
        <f t="shared" si="22"/>
        <v>444.55319999999995</v>
      </c>
      <c r="G253" s="44">
        <f t="shared" si="22"/>
        <v>36.489959999999996</v>
      </c>
      <c r="H253" s="44">
        <f t="shared" si="19"/>
        <v>44.69</v>
      </c>
      <c r="I253" s="44">
        <f t="shared" si="20"/>
        <v>481.04315999999994</v>
      </c>
      <c r="J253" s="45">
        <v>750</v>
      </c>
      <c r="K253" s="45">
        <f t="shared" si="21"/>
        <v>288.95957999999996</v>
      </c>
    </row>
    <row r="254" spans="1:11">
      <c r="A254" s="38">
        <v>249</v>
      </c>
      <c r="B254" s="43" t="s">
        <v>84</v>
      </c>
      <c r="C254" s="43">
        <v>2011</v>
      </c>
      <c r="D254" s="44">
        <v>41.3</v>
      </c>
      <c r="E254" s="44">
        <v>3.39</v>
      </c>
      <c r="F254" s="44">
        <f t="shared" si="22"/>
        <v>444.55319999999995</v>
      </c>
      <c r="G254" s="44">
        <f t="shared" si="22"/>
        <v>36.489959999999996</v>
      </c>
      <c r="H254" s="44">
        <f t="shared" si="19"/>
        <v>44.69</v>
      </c>
      <c r="I254" s="44">
        <f t="shared" si="20"/>
        <v>481.04315999999994</v>
      </c>
      <c r="J254" s="45">
        <v>750</v>
      </c>
      <c r="K254" s="45">
        <f t="shared" si="21"/>
        <v>288.95957999999996</v>
      </c>
    </row>
    <row r="255" spans="1:11">
      <c r="A255" s="38">
        <v>250</v>
      </c>
      <c r="B255" s="43" t="s">
        <v>84</v>
      </c>
      <c r="C255" s="43">
        <v>2012</v>
      </c>
      <c r="D255" s="44">
        <v>41.9</v>
      </c>
      <c r="E255" s="43">
        <v>3.57</v>
      </c>
      <c r="F255" s="44">
        <f t="shared" si="22"/>
        <v>451.01159999999993</v>
      </c>
      <c r="G255" s="44">
        <f t="shared" si="22"/>
        <v>38.427479999999996</v>
      </c>
      <c r="H255" s="44">
        <f t="shared" si="19"/>
        <v>45.47</v>
      </c>
      <c r="I255" s="44">
        <f t="shared" si="20"/>
        <v>489.43907999999993</v>
      </c>
      <c r="J255" s="45">
        <v>760</v>
      </c>
      <c r="K255" s="45">
        <f t="shared" si="21"/>
        <v>293.15753999999998</v>
      </c>
    </row>
    <row r="256" spans="1:11">
      <c r="A256" s="38">
        <v>251</v>
      </c>
      <c r="B256" s="43" t="s">
        <v>84</v>
      </c>
      <c r="C256" s="49">
        <v>2101</v>
      </c>
      <c r="D256" s="43">
        <v>67.02</v>
      </c>
      <c r="E256" s="43">
        <v>3.94</v>
      </c>
      <c r="F256" s="44">
        <f t="shared" si="22"/>
        <v>721.40327999999988</v>
      </c>
      <c r="G256" s="44">
        <f t="shared" si="22"/>
        <v>42.410159999999998</v>
      </c>
      <c r="H256" s="44">
        <f t="shared" si="19"/>
        <v>70.959999999999994</v>
      </c>
      <c r="I256" s="44">
        <f t="shared" si="20"/>
        <v>763.8134399999999</v>
      </c>
      <c r="J256" s="45">
        <v>1210</v>
      </c>
      <c r="K256" s="45">
        <f t="shared" si="21"/>
        <v>468.91213199999993</v>
      </c>
    </row>
    <row r="257" spans="1:11">
      <c r="A257" s="38">
        <v>252</v>
      </c>
      <c r="B257" s="43" t="s">
        <v>84</v>
      </c>
      <c r="C257" s="49">
        <v>2102</v>
      </c>
      <c r="D257" s="43">
        <v>95.39</v>
      </c>
      <c r="E257" s="43">
        <v>3.81</v>
      </c>
      <c r="F257" s="44">
        <f t="shared" si="22"/>
        <v>1026.7779599999999</v>
      </c>
      <c r="G257" s="44">
        <f t="shared" si="22"/>
        <v>41.010839999999995</v>
      </c>
      <c r="H257" s="44">
        <f t="shared" si="19"/>
        <v>99.2</v>
      </c>
      <c r="I257" s="44">
        <f t="shared" si="20"/>
        <v>1067.7887999999998</v>
      </c>
      <c r="J257" s="45">
        <v>1690</v>
      </c>
      <c r="K257" s="45">
        <f t="shared" si="21"/>
        <v>667.40567399999998</v>
      </c>
    </row>
    <row r="258" spans="1:11">
      <c r="A258" s="38">
        <v>253</v>
      </c>
      <c r="B258" s="43" t="s">
        <v>84</v>
      </c>
      <c r="C258" s="49">
        <v>2103</v>
      </c>
      <c r="D258" s="43">
        <v>44.09</v>
      </c>
      <c r="E258" s="43">
        <v>3.96</v>
      </c>
      <c r="F258" s="44">
        <f t="shared" si="22"/>
        <v>474.58476000000002</v>
      </c>
      <c r="G258" s="44">
        <f t="shared" si="22"/>
        <v>42.625439999999998</v>
      </c>
      <c r="H258" s="44">
        <f t="shared" si="19"/>
        <v>48.050000000000004</v>
      </c>
      <c r="I258" s="44">
        <f t="shared" si="20"/>
        <v>517.21019999999999</v>
      </c>
      <c r="J258" s="45">
        <v>795</v>
      </c>
      <c r="K258" s="45">
        <f t="shared" si="21"/>
        <v>308.48009400000001</v>
      </c>
    </row>
    <row r="259" spans="1:11">
      <c r="A259" s="38">
        <v>254</v>
      </c>
      <c r="B259" s="43" t="s">
        <v>84</v>
      </c>
      <c r="C259" s="49">
        <v>2106</v>
      </c>
      <c r="D259" s="43">
        <v>44.09</v>
      </c>
      <c r="E259" s="43">
        <v>3.96</v>
      </c>
      <c r="F259" s="44">
        <f t="shared" si="22"/>
        <v>474.58476000000002</v>
      </c>
      <c r="G259" s="44">
        <f t="shared" si="22"/>
        <v>42.625439999999998</v>
      </c>
      <c r="H259" s="44">
        <f t="shared" si="19"/>
        <v>48.050000000000004</v>
      </c>
      <c r="I259" s="44">
        <f t="shared" si="20"/>
        <v>517.21019999999999</v>
      </c>
      <c r="J259" s="45">
        <v>795</v>
      </c>
      <c r="K259" s="45">
        <f t="shared" si="21"/>
        <v>308.48009400000001</v>
      </c>
    </row>
    <row r="260" spans="1:11">
      <c r="A260" s="38">
        <v>255</v>
      </c>
      <c r="B260" s="43" t="s">
        <v>84</v>
      </c>
      <c r="C260" s="49">
        <v>2107</v>
      </c>
      <c r="D260" s="44">
        <v>95.39</v>
      </c>
      <c r="E260" s="44">
        <v>3.81</v>
      </c>
      <c r="F260" s="44">
        <f t="shared" si="22"/>
        <v>1026.7779599999999</v>
      </c>
      <c r="G260" s="44">
        <f t="shared" si="22"/>
        <v>41.010839999999995</v>
      </c>
      <c r="H260" s="44">
        <f t="shared" si="19"/>
        <v>99.2</v>
      </c>
      <c r="I260" s="44">
        <f t="shared" si="20"/>
        <v>1067.7887999999998</v>
      </c>
      <c r="J260" s="45">
        <v>1690</v>
      </c>
      <c r="K260" s="45">
        <f t="shared" si="21"/>
        <v>667.40567399999998</v>
      </c>
    </row>
    <row r="261" spans="1:11">
      <c r="A261" s="38">
        <v>256</v>
      </c>
      <c r="B261" s="43" t="s">
        <v>84</v>
      </c>
      <c r="C261" s="49">
        <v>2108</v>
      </c>
      <c r="D261" s="43">
        <v>67.02</v>
      </c>
      <c r="E261" s="43">
        <v>3.94</v>
      </c>
      <c r="F261" s="44">
        <f t="shared" si="22"/>
        <v>721.40327999999988</v>
      </c>
      <c r="G261" s="44">
        <f t="shared" si="22"/>
        <v>42.410159999999998</v>
      </c>
      <c r="H261" s="44">
        <f t="shared" si="19"/>
        <v>70.959999999999994</v>
      </c>
      <c r="I261" s="44">
        <f t="shared" si="20"/>
        <v>763.8134399999999</v>
      </c>
      <c r="J261" s="45">
        <v>1210</v>
      </c>
      <c r="K261" s="45">
        <f t="shared" si="21"/>
        <v>468.91213199999993</v>
      </c>
    </row>
    <row r="262" spans="1:11">
      <c r="A262" s="38">
        <v>257</v>
      </c>
      <c r="B262" s="43" t="s">
        <v>84</v>
      </c>
      <c r="C262" s="49">
        <v>2109</v>
      </c>
      <c r="D262" s="44">
        <v>41.9</v>
      </c>
      <c r="E262" s="43">
        <v>3.57</v>
      </c>
      <c r="F262" s="44">
        <f t="shared" si="22"/>
        <v>451.01159999999993</v>
      </c>
      <c r="G262" s="44">
        <f t="shared" si="22"/>
        <v>38.427479999999996</v>
      </c>
      <c r="H262" s="44">
        <f t="shared" si="19"/>
        <v>45.47</v>
      </c>
      <c r="I262" s="44">
        <f t="shared" si="20"/>
        <v>489.43907999999993</v>
      </c>
      <c r="J262" s="45">
        <v>760</v>
      </c>
      <c r="K262" s="45">
        <f t="shared" si="21"/>
        <v>293.15753999999998</v>
      </c>
    </row>
    <row r="263" spans="1:11">
      <c r="A263" s="38">
        <v>258</v>
      </c>
      <c r="B263" s="43" t="s">
        <v>84</v>
      </c>
      <c r="C263" s="49">
        <v>2110</v>
      </c>
      <c r="D263" s="44">
        <v>41.3</v>
      </c>
      <c r="E263" s="44">
        <v>3.39</v>
      </c>
      <c r="F263" s="44">
        <f t="shared" si="22"/>
        <v>444.55319999999995</v>
      </c>
      <c r="G263" s="44">
        <f t="shared" si="22"/>
        <v>36.489959999999996</v>
      </c>
      <c r="H263" s="44">
        <f t="shared" si="19"/>
        <v>44.69</v>
      </c>
      <c r="I263" s="44">
        <f t="shared" si="20"/>
        <v>481.04315999999994</v>
      </c>
      <c r="J263" s="45">
        <v>750</v>
      </c>
      <c r="K263" s="45">
        <f t="shared" si="21"/>
        <v>288.95957999999996</v>
      </c>
    </row>
    <row r="264" spans="1:11">
      <c r="A264" s="38">
        <v>259</v>
      </c>
      <c r="B264" s="43" t="s">
        <v>84</v>
      </c>
      <c r="C264" s="49">
        <v>2111</v>
      </c>
      <c r="D264" s="44">
        <v>41.3</v>
      </c>
      <c r="E264" s="44">
        <v>3.39</v>
      </c>
      <c r="F264" s="44">
        <f t="shared" si="22"/>
        <v>444.55319999999995</v>
      </c>
      <c r="G264" s="44">
        <f t="shared" si="22"/>
        <v>36.489959999999996</v>
      </c>
      <c r="H264" s="44">
        <f t="shared" si="19"/>
        <v>44.69</v>
      </c>
      <c r="I264" s="44">
        <f t="shared" si="20"/>
        <v>481.04315999999994</v>
      </c>
      <c r="J264" s="45">
        <v>750</v>
      </c>
      <c r="K264" s="45">
        <f t="shared" si="21"/>
        <v>288.95957999999996</v>
      </c>
    </row>
    <row r="265" spans="1:11">
      <c r="A265" s="38">
        <v>260</v>
      </c>
      <c r="B265" s="43" t="s">
        <v>84</v>
      </c>
      <c r="C265" s="49">
        <v>2112</v>
      </c>
      <c r="D265" s="44">
        <v>41.9</v>
      </c>
      <c r="E265" s="43">
        <v>3.57</v>
      </c>
      <c r="F265" s="44">
        <f t="shared" si="22"/>
        <v>451.01159999999993</v>
      </c>
      <c r="G265" s="44">
        <f t="shared" si="22"/>
        <v>38.427479999999996</v>
      </c>
      <c r="H265" s="44">
        <f t="shared" si="19"/>
        <v>45.47</v>
      </c>
      <c r="I265" s="44">
        <f t="shared" si="20"/>
        <v>489.43907999999993</v>
      </c>
      <c r="J265" s="45">
        <v>760</v>
      </c>
      <c r="K265" s="45">
        <f t="shared" si="21"/>
        <v>293.15753999999998</v>
      </c>
    </row>
    <row r="266" spans="1:11">
      <c r="A266" s="38">
        <v>261</v>
      </c>
      <c r="B266" s="43" t="s">
        <v>84</v>
      </c>
      <c r="C266" s="43">
        <v>2201</v>
      </c>
      <c r="D266" s="43">
        <v>67.02</v>
      </c>
      <c r="E266" s="43">
        <v>3.94</v>
      </c>
      <c r="F266" s="44">
        <f t="shared" si="22"/>
        <v>721.40327999999988</v>
      </c>
      <c r="G266" s="44">
        <f t="shared" si="22"/>
        <v>42.410159999999998</v>
      </c>
      <c r="H266" s="44">
        <f t="shared" si="19"/>
        <v>70.959999999999994</v>
      </c>
      <c r="I266" s="44">
        <f t="shared" si="20"/>
        <v>763.8134399999999</v>
      </c>
      <c r="J266" s="45">
        <v>1210</v>
      </c>
      <c r="K266" s="45">
        <f t="shared" si="21"/>
        <v>468.91213199999993</v>
      </c>
    </row>
    <row r="267" spans="1:11">
      <c r="A267" s="38">
        <v>262</v>
      </c>
      <c r="B267" s="43" t="s">
        <v>84</v>
      </c>
      <c r="C267" s="43">
        <v>2202</v>
      </c>
      <c r="D267" s="43">
        <v>95.39</v>
      </c>
      <c r="E267" s="43">
        <v>3.81</v>
      </c>
      <c r="F267" s="44">
        <f t="shared" si="22"/>
        <v>1026.7779599999999</v>
      </c>
      <c r="G267" s="44">
        <f t="shared" si="22"/>
        <v>41.010839999999995</v>
      </c>
      <c r="H267" s="44">
        <f t="shared" si="19"/>
        <v>99.2</v>
      </c>
      <c r="I267" s="44">
        <f t="shared" si="20"/>
        <v>1067.7887999999998</v>
      </c>
      <c r="J267" s="45">
        <v>1690</v>
      </c>
      <c r="K267" s="45">
        <f t="shared" si="21"/>
        <v>667.40567399999998</v>
      </c>
    </row>
    <row r="268" spans="1:11">
      <c r="A268" s="38">
        <v>263</v>
      </c>
      <c r="B268" s="43" t="s">
        <v>84</v>
      </c>
      <c r="C268" s="43">
        <v>2203</v>
      </c>
      <c r="D268" s="43">
        <v>44.09</v>
      </c>
      <c r="E268" s="43">
        <v>3.96</v>
      </c>
      <c r="F268" s="44">
        <f t="shared" si="22"/>
        <v>474.58476000000002</v>
      </c>
      <c r="G268" s="44">
        <f t="shared" si="22"/>
        <v>42.625439999999998</v>
      </c>
      <c r="H268" s="44">
        <f t="shared" si="19"/>
        <v>48.050000000000004</v>
      </c>
      <c r="I268" s="44">
        <f t="shared" si="20"/>
        <v>517.21019999999999</v>
      </c>
      <c r="J268" s="45">
        <v>795</v>
      </c>
      <c r="K268" s="45">
        <f t="shared" si="21"/>
        <v>308.48009400000001</v>
      </c>
    </row>
    <row r="269" spans="1:11">
      <c r="A269" s="38">
        <v>264</v>
      </c>
      <c r="B269" s="43" t="s">
        <v>84</v>
      </c>
      <c r="C269" s="43">
        <v>2204</v>
      </c>
      <c r="D269" s="43">
        <v>44.35</v>
      </c>
      <c r="E269" s="43">
        <v>3.78</v>
      </c>
      <c r="F269" s="44">
        <f t="shared" si="22"/>
        <v>477.38339999999999</v>
      </c>
      <c r="G269" s="44">
        <f t="shared" si="22"/>
        <v>40.687919999999998</v>
      </c>
      <c r="H269" s="44">
        <f t="shared" si="19"/>
        <v>48.13</v>
      </c>
      <c r="I269" s="44">
        <f t="shared" si="20"/>
        <v>518.07132000000001</v>
      </c>
      <c r="J269" s="45">
        <v>795</v>
      </c>
      <c r="K269" s="45">
        <f t="shared" si="21"/>
        <v>310.29921000000002</v>
      </c>
    </row>
    <row r="270" spans="1:11">
      <c r="A270" s="38">
        <v>265</v>
      </c>
      <c r="B270" s="43" t="s">
        <v>84</v>
      </c>
      <c r="C270" s="43">
        <v>2205</v>
      </c>
      <c r="D270" s="43">
        <v>44.35</v>
      </c>
      <c r="E270" s="43">
        <v>3.78</v>
      </c>
      <c r="F270" s="44">
        <f t="shared" si="22"/>
        <v>477.38339999999999</v>
      </c>
      <c r="G270" s="44">
        <f t="shared" si="22"/>
        <v>40.687919999999998</v>
      </c>
      <c r="H270" s="44">
        <f t="shared" si="19"/>
        <v>48.13</v>
      </c>
      <c r="I270" s="44">
        <f t="shared" si="20"/>
        <v>518.07132000000001</v>
      </c>
      <c r="J270" s="45">
        <v>795</v>
      </c>
      <c r="K270" s="45">
        <f t="shared" si="21"/>
        <v>310.29921000000002</v>
      </c>
    </row>
    <row r="271" spans="1:11">
      <c r="A271" s="38">
        <v>266</v>
      </c>
      <c r="B271" s="43" t="s">
        <v>84</v>
      </c>
      <c r="C271" s="43">
        <v>2206</v>
      </c>
      <c r="D271" s="43">
        <v>44.09</v>
      </c>
      <c r="E271" s="43">
        <v>3.96</v>
      </c>
      <c r="F271" s="44">
        <f t="shared" si="22"/>
        <v>474.58476000000002</v>
      </c>
      <c r="G271" s="44">
        <f t="shared" si="22"/>
        <v>42.625439999999998</v>
      </c>
      <c r="H271" s="44">
        <f t="shared" si="19"/>
        <v>48.050000000000004</v>
      </c>
      <c r="I271" s="44">
        <f t="shared" si="20"/>
        <v>517.21019999999999</v>
      </c>
      <c r="J271" s="45">
        <v>795</v>
      </c>
      <c r="K271" s="45">
        <f t="shared" si="21"/>
        <v>308.48009400000001</v>
      </c>
    </row>
    <row r="272" spans="1:11">
      <c r="A272" s="38">
        <v>267</v>
      </c>
      <c r="B272" s="43" t="s">
        <v>84</v>
      </c>
      <c r="C272" s="43">
        <v>2207</v>
      </c>
      <c r="D272" s="44">
        <v>95.39</v>
      </c>
      <c r="E272" s="44">
        <v>3.81</v>
      </c>
      <c r="F272" s="44">
        <f t="shared" si="22"/>
        <v>1026.7779599999999</v>
      </c>
      <c r="G272" s="44">
        <f t="shared" si="22"/>
        <v>41.010839999999995</v>
      </c>
      <c r="H272" s="44">
        <f t="shared" si="19"/>
        <v>99.2</v>
      </c>
      <c r="I272" s="44">
        <f t="shared" si="20"/>
        <v>1067.7887999999998</v>
      </c>
      <c r="J272" s="45">
        <v>1690</v>
      </c>
      <c r="K272" s="45">
        <f t="shared" si="21"/>
        <v>667.40567399999998</v>
      </c>
    </row>
    <row r="273" spans="1:11">
      <c r="A273" s="38">
        <v>268</v>
      </c>
      <c r="B273" s="43" t="s">
        <v>84</v>
      </c>
      <c r="C273" s="43">
        <v>2208</v>
      </c>
      <c r="D273" s="43">
        <v>67.02</v>
      </c>
      <c r="E273" s="43">
        <v>3.94</v>
      </c>
      <c r="F273" s="44">
        <f t="shared" si="22"/>
        <v>721.40327999999988</v>
      </c>
      <c r="G273" s="44">
        <f t="shared" si="22"/>
        <v>42.410159999999998</v>
      </c>
      <c r="H273" s="44">
        <f t="shared" si="19"/>
        <v>70.959999999999994</v>
      </c>
      <c r="I273" s="44">
        <f t="shared" si="20"/>
        <v>763.8134399999999</v>
      </c>
      <c r="J273" s="45">
        <v>1210</v>
      </c>
      <c r="K273" s="45">
        <f t="shared" si="21"/>
        <v>468.91213199999993</v>
      </c>
    </row>
    <row r="274" spans="1:11">
      <c r="A274" s="38">
        <v>269</v>
      </c>
      <c r="B274" s="43" t="s">
        <v>84</v>
      </c>
      <c r="C274" s="43">
        <v>2209</v>
      </c>
      <c r="D274" s="44">
        <v>41.9</v>
      </c>
      <c r="E274" s="43">
        <v>3.57</v>
      </c>
      <c r="F274" s="44">
        <f t="shared" si="22"/>
        <v>451.01159999999993</v>
      </c>
      <c r="G274" s="44">
        <f t="shared" si="22"/>
        <v>38.427479999999996</v>
      </c>
      <c r="H274" s="44">
        <f t="shared" si="19"/>
        <v>45.47</v>
      </c>
      <c r="I274" s="44">
        <f t="shared" si="20"/>
        <v>489.43907999999993</v>
      </c>
      <c r="J274" s="45">
        <v>760</v>
      </c>
      <c r="K274" s="45">
        <f t="shared" si="21"/>
        <v>293.15753999999998</v>
      </c>
    </row>
    <row r="275" spans="1:11">
      <c r="A275" s="38">
        <v>270</v>
      </c>
      <c r="B275" s="43" t="s">
        <v>84</v>
      </c>
      <c r="C275" s="43">
        <v>2210</v>
      </c>
      <c r="D275" s="44">
        <v>41.3</v>
      </c>
      <c r="E275" s="44">
        <v>3.39</v>
      </c>
      <c r="F275" s="44">
        <f t="shared" si="22"/>
        <v>444.55319999999995</v>
      </c>
      <c r="G275" s="44">
        <f t="shared" si="22"/>
        <v>36.489959999999996</v>
      </c>
      <c r="H275" s="44">
        <f t="shared" si="19"/>
        <v>44.69</v>
      </c>
      <c r="I275" s="44">
        <f t="shared" si="20"/>
        <v>481.04315999999994</v>
      </c>
      <c r="J275" s="45">
        <v>750</v>
      </c>
      <c r="K275" s="45">
        <f t="shared" si="21"/>
        <v>288.95957999999996</v>
      </c>
    </row>
    <row r="276" spans="1:11">
      <c r="A276" s="38">
        <v>271</v>
      </c>
      <c r="B276" s="43" t="s">
        <v>84</v>
      </c>
      <c r="C276" s="43">
        <v>2211</v>
      </c>
      <c r="D276" s="44">
        <v>41.3</v>
      </c>
      <c r="E276" s="44">
        <v>3.39</v>
      </c>
      <c r="F276" s="44">
        <f t="shared" si="22"/>
        <v>444.55319999999995</v>
      </c>
      <c r="G276" s="44">
        <f t="shared" si="22"/>
        <v>36.489959999999996</v>
      </c>
      <c r="H276" s="44">
        <f t="shared" si="19"/>
        <v>44.69</v>
      </c>
      <c r="I276" s="44">
        <f t="shared" si="20"/>
        <v>481.04315999999994</v>
      </c>
      <c r="J276" s="45">
        <v>750</v>
      </c>
      <c r="K276" s="45">
        <f t="shared" si="21"/>
        <v>288.95957999999996</v>
      </c>
    </row>
    <row r="277" spans="1:11">
      <c r="A277" s="38">
        <v>272</v>
      </c>
      <c r="B277" s="43" t="s">
        <v>84</v>
      </c>
      <c r="C277" s="43">
        <v>2212</v>
      </c>
      <c r="D277" s="44">
        <v>41.9</v>
      </c>
      <c r="E277" s="43">
        <v>3.57</v>
      </c>
      <c r="F277" s="44">
        <f t="shared" si="22"/>
        <v>451.01159999999993</v>
      </c>
      <c r="G277" s="44">
        <f t="shared" si="22"/>
        <v>38.427479999999996</v>
      </c>
      <c r="H277" s="44">
        <f t="shared" si="19"/>
        <v>45.47</v>
      </c>
      <c r="I277" s="44">
        <f t="shared" si="20"/>
        <v>489.43907999999993</v>
      </c>
      <c r="J277" s="45">
        <v>760</v>
      </c>
      <c r="K277" s="45">
        <f t="shared" si="21"/>
        <v>293.15753999999998</v>
      </c>
    </row>
    <row r="278" spans="1:11">
      <c r="A278" s="38">
        <v>273</v>
      </c>
      <c r="B278" s="43" t="s">
        <v>84</v>
      </c>
      <c r="C278" s="43">
        <v>2301</v>
      </c>
      <c r="D278" s="43">
        <v>67.02</v>
      </c>
      <c r="E278" s="43">
        <v>3.94</v>
      </c>
      <c r="F278" s="44">
        <f t="shared" si="22"/>
        <v>721.40327999999988</v>
      </c>
      <c r="G278" s="44">
        <f t="shared" si="22"/>
        <v>42.410159999999998</v>
      </c>
      <c r="H278" s="44">
        <f t="shared" si="19"/>
        <v>70.959999999999994</v>
      </c>
      <c r="I278" s="44">
        <f t="shared" si="20"/>
        <v>763.8134399999999</v>
      </c>
      <c r="J278" s="45">
        <v>1210</v>
      </c>
      <c r="K278" s="45">
        <f t="shared" si="21"/>
        <v>468.91213199999993</v>
      </c>
    </row>
    <row r="279" spans="1:11">
      <c r="A279" s="38">
        <v>274</v>
      </c>
      <c r="B279" s="43" t="s">
        <v>84</v>
      </c>
      <c r="C279" s="43">
        <v>2302</v>
      </c>
      <c r="D279" s="43">
        <v>95.39</v>
      </c>
      <c r="E279" s="43">
        <v>3.81</v>
      </c>
      <c r="F279" s="44">
        <f t="shared" si="22"/>
        <v>1026.7779599999999</v>
      </c>
      <c r="G279" s="44">
        <f t="shared" si="22"/>
        <v>41.010839999999995</v>
      </c>
      <c r="H279" s="44">
        <f t="shared" si="19"/>
        <v>99.2</v>
      </c>
      <c r="I279" s="44">
        <f t="shared" si="20"/>
        <v>1067.7887999999998</v>
      </c>
      <c r="J279" s="45">
        <v>1690</v>
      </c>
      <c r="K279" s="45">
        <f t="shared" si="21"/>
        <v>667.40567399999998</v>
      </c>
    </row>
    <row r="280" spans="1:11">
      <c r="A280" s="38">
        <v>275</v>
      </c>
      <c r="B280" s="43" t="s">
        <v>84</v>
      </c>
      <c r="C280" s="43">
        <v>2303</v>
      </c>
      <c r="D280" s="43">
        <v>44.09</v>
      </c>
      <c r="E280" s="43">
        <v>3.96</v>
      </c>
      <c r="F280" s="44">
        <f t="shared" si="22"/>
        <v>474.58476000000002</v>
      </c>
      <c r="G280" s="44">
        <f t="shared" si="22"/>
        <v>42.625439999999998</v>
      </c>
      <c r="H280" s="44">
        <f t="shared" si="19"/>
        <v>48.050000000000004</v>
      </c>
      <c r="I280" s="44">
        <f t="shared" si="20"/>
        <v>517.21019999999999</v>
      </c>
      <c r="J280" s="45">
        <v>795</v>
      </c>
      <c r="K280" s="45">
        <f t="shared" si="21"/>
        <v>308.48009400000001</v>
      </c>
    </row>
    <row r="281" spans="1:11">
      <c r="A281" s="38">
        <v>276</v>
      </c>
      <c r="B281" s="43" t="s">
        <v>84</v>
      </c>
      <c r="C281" s="43">
        <v>2304</v>
      </c>
      <c r="D281" s="43">
        <v>44.35</v>
      </c>
      <c r="E281" s="43">
        <v>3.78</v>
      </c>
      <c r="F281" s="44">
        <f t="shared" si="22"/>
        <v>477.38339999999999</v>
      </c>
      <c r="G281" s="44">
        <f t="shared" si="22"/>
        <v>40.687919999999998</v>
      </c>
      <c r="H281" s="44">
        <f t="shared" ref="H281:H344" si="23">D281+E281</f>
        <v>48.13</v>
      </c>
      <c r="I281" s="44">
        <f t="shared" ref="I281:I344" si="24">F281+G281</f>
        <v>518.07132000000001</v>
      </c>
      <c r="J281" s="45">
        <v>795</v>
      </c>
      <c r="K281" s="45">
        <f t="shared" ref="K281:K344" si="25">F281*65%</f>
        <v>310.29921000000002</v>
      </c>
    </row>
    <row r="282" spans="1:11">
      <c r="A282" s="38">
        <v>277</v>
      </c>
      <c r="B282" s="43" t="s">
        <v>84</v>
      </c>
      <c r="C282" s="43">
        <v>2305</v>
      </c>
      <c r="D282" s="43">
        <v>44.35</v>
      </c>
      <c r="E282" s="43">
        <v>3.78</v>
      </c>
      <c r="F282" s="44">
        <f t="shared" ref="F282:G345" si="26">D282*10.764</f>
        <v>477.38339999999999</v>
      </c>
      <c r="G282" s="44">
        <f t="shared" si="26"/>
        <v>40.687919999999998</v>
      </c>
      <c r="H282" s="44">
        <f t="shared" si="23"/>
        <v>48.13</v>
      </c>
      <c r="I282" s="44">
        <f t="shared" si="24"/>
        <v>518.07132000000001</v>
      </c>
      <c r="J282" s="45">
        <v>795</v>
      </c>
      <c r="K282" s="45">
        <f t="shared" si="25"/>
        <v>310.29921000000002</v>
      </c>
    </row>
    <row r="283" spans="1:11">
      <c r="A283" s="38">
        <v>278</v>
      </c>
      <c r="B283" s="43" t="s">
        <v>84</v>
      </c>
      <c r="C283" s="43">
        <v>2306</v>
      </c>
      <c r="D283" s="43">
        <v>44.09</v>
      </c>
      <c r="E283" s="43">
        <v>3.96</v>
      </c>
      <c r="F283" s="44">
        <f t="shared" si="26"/>
        <v>474.58476000000002</v>
      </c>
      <c r="G283" s="44">
        <f t="shared" si="26"/>
        <v>42.625439999999998</v>
      </c>
      <c r="H283" s="44">
        <f t="shared" si="23"/>
        <v>48.050000000000004</v>
      </c>
      <c r="I283" s="44">
        <f t="shared" si="24"/>
        <v>517.21019999999999</v>
      </c>
      <c r="J283" s="45">
        <v>795</v>
      </c>
      <c r="K283" s="45">
        <f t="shared" si="25"/>
        <v>308.48009400000001</v>
      </c>
    </row>
    <row r="284" spans="1:11">
      <c r="A284" s="38">
        <v>279</v>
      </c>
      <c r="B284" s="43" t="s">
        <v>84</v>
      </c>
      <c r="C284" s="43">
        <v>2307</v>
      </c>
      <c r="D284" s="44">
        <v>95.39</v>
      </c>
      <c r="E284" s="44">
        <v>3.81</v>
      </c>
      <c r="F284" s="44">
        <f t="shared" si="26"/>
        <v>1026.7779599999999</v>
      </c>
      <c r="G284" s="44">
        <f t="shared" si="26"/>
        <v>41.010839999999995</v>
      </c>
      <c r="H284" s="44">
        <f t="shared" si="23"/>
        <v>99.2</v>
      </c>
      <c r="I284" s="44">
        <f t="shared" si="24"/>
        <v>1067.7887999999998</v>
      </c>
      <c r="J284" s="45">
        <v>1690</v>
      </c>
      <c r="K284" s="45">
        <f t="shared" si="25"/>
        <v>667.40567399999998</v>
      </c>
    </row>
    <row r="285" spans="1:11">
      <c r="A285" s="38">
        <v>280</v>
      </c>
      <c r="B285" s="43" t="s">
        <v>84</v>
      </c>
      <c r="C285" s="43">
        <v>2308</v>
      </c>
      <c r="D285" s="43">
        <v>67.02</v>
      </c>
      <c r="E285" s="43">
        <v>3.94</v>
      </c>
      <c r="F285" s="44">
        <f t="shared" si="26"/>
        <v>721.40327999999988</v>
      </c>
      <c r="G285" s="44">
        <f t="shared" si="26"/>
        <v>42.410159999999998</v>
      </c>
      <c r="H285" s="44">
        <f t="shared" si="23"/>
        <v>70.959999999999994</v>
      </c>
      <c r="I285" s="44">
        <f t="shared" si="24"/>
        <v>763.8134399999999</v>
      </c>
      <c r="J285" s="45">
        <v>1210</v>
      </c>
      <c r="K285" s="45">
        <f t="shared" si="25"/>
        <v>468.91213199999993</v>
      </c>
    </row>
    <row r="286" spans="1:11">
      <c r="A286" s="38">
        <v>281</v>
      </c>
      <c r="B286" s="43" t="s">
        <v>84</v>
      </c>
      <c r="C286" s="43">
        <v>2309</v>
      </c>
      <c r="D286" s="44">
        <v>41.9</v>
      </c>
      <c r="E286" s="43">
        <v>3.57</v>
      </c>
      <c r="F286" s="44">
        <f t="shared" si="26"/>
        <v>451.01159999999993</v>
      </c>
      <c r="G286" s="44">
        <f t="shared" si="26"/>
        <v>38.427479999999996</v>
      </c>
      <c r="H286" s="44">
        <f t="shared" si="23"/>
        <v>45.47</v>
      </c>
      <c r="I286" s="44">
        <f t="shared" si="24"/>
        <v>489.43907999999993</v>
      </c>
      <c r="J286" s="45">
        <v>760</v>
      </c>
      <c r="K286" s="45">
        <f t="shared" si="25"/>
        <v>293.15753999999998</v>
      </c>
    </row>
    <row r="287" spans="1:11">
      <c r="A287" s="38">
        <v>282</v>
      </c>
      <c r="B287" s="43" t="s">
        <v>84</v>
      </c>
      <c r="C287" s="43">
        <v>2310</v>
      </c>
      <c r="D287" s="44">
        <v>41.3</v>
      </c>
      <c r="E287" s="44">
        <v>3.39</v>
      </c>
      <c r="F287" s="44">
        <f t="shared" si="26"/>
        <v>444.55319999999995</v>
      </c>
      <c r="G287" s="44">
        <f t="shared" si="26"/>
        <v>36.489959999999996</v>
      </c>
      <c r="H287" s="44">
        <f t="shared" si="23"/>
        <v>44.69</v>
      </c>
      <c r="I287" s="44">
        <f t="shared" si="24"/>
        <v>481.04315999999994</v>
      </c>
      <c r="J287" s="45">
        <v>750</v>
      </c>
      <c r="K287" s="45">
        <f t="shared" si="25"/>
        <v>288.95957999999996</v>
      </c>
    </row>
    <row r="288" spans="1:11">
      <c r="A288" s="38">
        <v>283</v>
      </c>
      <c r="B288" s="43" t="s">
        <v>84</v>
      </c>
      <c r="C288" s="43">
        <v>2311</v>
      </c>
      <c r="D288" s="44">
        <v>41.3</v>
      </c>
      <c r="E288" s="44">
        <v>3.39</v>
      </c>
      <c r="F288" s="44">
        <f t="shared" si="26"/>
        <v>444.55319999999995</v>
      </c>
      <c r="G288" s="44">
        <f t="shared" si="26"/>
        <v>36.489959999999996</v>
      </c>
      <c r="H288" s="44">
        <f t="shared" si="23"/>
        <v>44.69</v>
      </c>
      <c r="I288" s="44">
        <f t="shared" si="24"/>
        <v>481.04315999999994</v>
      </c>
      <c r="J288" s="45">
        <v>750</v>
      </c>
      <c r="K288" s="45">
        <f t="shared" si="25"/>
        <v>288.95957999999996</v>
      </c>
    </row>
    <row r="289" spans="1:11">
      <c r="A289" s="38">
        <v>284</v>
      </c>
      <c r="B289" s="43" t="s">
        <v>84</v>
      </c>
      <c r="C289" s="43">
        <v>2312</v>
      </c>
      <c r="D289" s="44">
        <v>41.9</v>
      </c>
      <c r="E289" s="43">
        <v>3.57</v>
      </c>
      <c r="F289" s="44">
        <f t="shared" si="26"/>
        <v>451.01159999999993</v>
      </c>
      <c r="G289" s="44">
        <f t="shared" si="26"/>
        <v>38.427479999999996</v>
      </c>
      <c r="H289" s="44">
        <f t="shared" si="23"/>
        <v>45.47</v>
      </c>
      <c r="I289" s="44">
        <f t="shared" si="24"/>
        <v>489.43907999999993</v>
      </c>
      <c r="J289" s="45">
        <v>760</v>
      </c>
      <c r="K289" s="45">
        <f t="shared" si="25"/>
        <v>293.15753999999998</v>
      </c>
    </row>
    <row r="290" spans="1:11">
      <c r="A290" s="38">
        <v>285</v>
      </c>
      <c r="B290" s="43" t="s">
        <v>84</v>
      </c>
      <c r="C290" s="43">
        <v>2401</v>
      </c>
      <c r="D290" s="43">
        <v>67.02</v>
      </c>
      <c r="E290" s="43">
        <v>3.94</v>
      </c>
      <c r="F290" s="44">
        <f t="shared" si="26"/>
        <v>721.40327999999988</v>
      </c>
      <c r="G290" s="44">
        <f t="shared" si="26"/>
        <v>42.410159999999998</v>
      </c>
      <c r="H290" s="44">
        <f t="shared" si="23"/>
        <v>70.959999999999994</v>
      </c>
      <c r="I290" s="44">
        <f t="shared" si="24"/>
        <v>763.8134399999999</v>
      </c>
      <c r="J290" s="45">
        <v>1210</v>
      </c>
      <c r="K290" s="45">
        <f t="shared" si="25"/>
        <v>468.91213199999993</v>
      </c>
    </row>
    <row r="291" spans="1:11">
      <c r="A291" s="38">
        <v>286</v>
      </c>
      <c r="B291" s="43" t="s">
        <v>84</v>
      </c>
      <c r="C291" s="43">
        <v>2402</v>
      </c>
      <c r="D291" s="43">
        <v>95.39</v>
      </c>
      <c r="E291" s="43">
        <v>3.81</v>
      </c>
      <c r="F291" s="44">
        <f t="shared" si="26"/>
        <v>1026.7779599999999</v>
      </c>
      <c r="G291" s="44">
        <f t="shared" si="26"/>
        <v>41.010839999999995</v>
      </c>
      <c r="H291" s="44">
        <f t="shared" si="23"/>
        <v>99.2</v>
      </c>
      <c r="I291" s="44">
        <f t="shared" si="24"/>
        <v>1067.7887999999998</v>
      </c>
      <c r="J291" s="45">
        <v>1690</v>
      </c>
      <c r="K291" s="45">
        <f t="shared" si="25"/>
        <v>667.40567399999998</v>
      </c>
    </row>
    <row r="292" spans="1:11">
      <c r="A292" s="38">
        <v>287</v>
      </c>
      <c r="B292" s="43" t="s">
        <v>84</v>
      </c>
      <c r="C292" s="43">
        <v>2403</v>
      </c>
      <c r="D292" s="43">
        <v>44.09</v>
      </c>
      <c r="E292" s="43">
        <v>3.96</v>
      </c>
      <c r="F292" s="44">
        <f t="shared" si="26"/>
        <v>474.58476000000002</v>
      </c>
      <c r="G292" s="44">
        <f t="shared" si="26"/>
        <v>42.625439999999998</v>
      </c>
      <c r="H292" s="44">
        <f t="shared" si="23"/>
        <v>48.050000000000004</v>
      </c>
      <c r="I292" s="44">
        <f t="shared" si="24"/>
        <v>517.21019999999999</v>
      </c>
      <c r="J292" s="45">
        <v>795</v>
      </c>
      <c r="K292" s="45">
        <f t="shared" si="25"/>
        <v>308.48009400000001</v>
      </c>
    </row>
    <row r="293" spans="1:11">
      <c r="A293" s="38">
        <v>288</v>
      </c>
      <c r="B293" s="43" t="s">
        <v>84</v>
      </c>
      <c r="C293" s="43">
        <v>2404</v>
      </c>
      <c r="D293" s="43">
        <v>44.35</v>
      </c>
      <c r="E293" s="43">
        <v>3.78</v>
      </c>
      <c r="F293" s="44">
        <f t="shared" si="26"/>
        <v>477.38339999999999</v>
      </c>
      <c r="G293" s="44">
        <f t="shared" si="26"/>
        <v>40.687919999999998</v>
      </c>
      <c r="H293" s="44">
        <f t="shared" si="23"/>
        <v>48.13</v>
      </c>
      <c r="I293" s="44">
        <f t="shared" si="24"/>
        <v>518.07132000000001</v>
      </c>
      <c r="J293" s="45">
        <v>795</v>
      </c>
      <c r="K293" s="45">
        <f t="shared" si="25"/>
        <v>310.29921000000002</v>
      </c>
    </row>
    <row r="294" spans="1:11">
      <c r="A294" s="38">
        <v>289</v>
      </c>
      <c r="B294" s="43" t="s">
        <v>84</v>
      </c>
      <c r="C294" s="43">
        <v>2405</v>
      </c>
      <c r="D294" s="43">
        <v>44.35</v>
      </c>
      <c r="E294" s="43">
        <v>3.78</v>
      </c>
      <c r="F294" s="44">
        <f t="shared" si="26"/>
        <v>477.38339999999999</v>
      </c>
      <c r="G294" s="44">
        <f t="shared" si="26"/>
        <v>40.687919999999998</v>
      </c>
      <c r="H294" s="44">
        <f t="shared" si="23"/>
        <v>48.13</v>
      </c>
      <c r="I294" s="44">
        <f t="shared" si="24"/>
        <v>518.07132000000001</v>
      </c>
      <c r="J294" s="45">
        <v>795</v>
      </c>
      <c r="K294" s="45">
        <f t="shared" si="25"/>
        <v>310.29921000000002</v>
      </c>
    </row>
    <row r="295" spans="1:11">
      <c r="A295" s="38">
        <v>290</v>
      </c>
      <c r="B295" s="43" t="s">
        <v>84</v>
      </c>
      <c r="C295" s="43">
        <v>2406</v>
      </c>
      <c r="D295" s="43">
        <v>44.09</v>
      </c>
      <c r="E295" s="43">
        <v>3.96</v>
      </c>
      <c r="F295" s="44">
        <f t="shared" si="26"/>
        <v>474.58476000000002</v>
      </c>
      <c r="G295" s="44">
        <f t="shared" si="26"/>
        <v>42.625439999999998</v>
      </c>
      <c r="H295" s="44">
        <f t="shared" si="23"/>
        <v>48.050000000000004</v>
      </c>
      <c r="I295" s="44">
        <f t="shared" si="24"/>
        <v>517.21019999999999</v>
      </c>
      <c r="J295" s="45">
        <v>795</v>
      </c>
      <c r="K295" s="45">
        <f t="shared" si="25"/>
        <v>308.48009400000001</v>
      </c>
    </row>
    <row r="296" spans="1:11">
      <c r="A296" s="38">
        <v>291</v>
      </c>
      <c r="B296" s="43" t="s">
        <v>84</v>
      </c>
      <c r="C296" s="43">
        <v>2407</v>
      </c>
      <c r="D296" s="44">
        <v>95.39</v>
      </c>
      <c r="E296" s="44">
        <v>3.81</v>
      </c>
      <c r="F296" s="44">
        <f t="shared" si="26"/>
        <v>1026.7779599999999</v>
      </c>
      <c r="G296" s="44">
        <f t="shared" si="26"/>
        <v>41.010839999999995</v>
      </c>
      <c r="H296" s="44">
        <f t="shared" si="23"/>
        <v>99.2</v>
      </c>
      <c r="I296" s="44">
        <f t="shared" si="24"/>
        <v>1067.7887999999998</v>
      </c>
      <c r="J296" s="45">
        <v>1690</v>
      </c>
      <c r="K296" s="45">
        <f t="shared" si="25"/>
        <v>667.40567399999998</v>
      </c>
    </row>
    <row r="297" spans="1:11">
      <c r="A297" s="38">
        <v>292</v>
      </c>
      <c r="B297" s="43" t="s">
        <v>84</v>
      </c>
      <c r="C297" s="43">
        <v>2408</v>
      </c>
      <c r="D297" s="43">
        <v>67.02</v>
      </c>
      <c r="E297" s="43">
        <v>3.94</v>
      </c>
      <c r="F297" s="44">
        <f t="shared" si="26"/>
        <v>721.40327999999988</v>
      </c>
      <c r="G297" s="44">
        <f t="shared" si="26"/>
        <v>42.410159999999998</v>
      </c>
      <c r="H297" s="44">
        <f t="shared" si="23"/>
        <v>70.959999999999994</v>
      </c>
      <c r="I297" s="44">
        <f t="shared" si="24"/>
        <v>763.8134399999999</v>
      </c>
      <c r="J297" s="45">
        <v>1210</v>
      </c>
      <c r="K297" s="45">
        <f t="shared" si="25"/>
        <v>468.91213199999993</v>
      </c>
    </row>
    <row r="298" spans="1:11">
      <c r="A298" s="38">
        <v>293</v>
      </c>
      <c r="B298" s="43" t="s">
        <v>84</v>
      </c>
      <c r="C298" s="43">
        <v>2409</v>
      </c>
      <c r="D298" s="44">
        <v>41.9</v>
      </c>
      <c r="E298" s="43">
        <v>3.57</v>
      </c>
      <c r="F298" s="44">
        <f t="shared" si="26"/>
        <v>451.01159999999993</v>
      </c>
      <c r="G298" s="44">
        <f t="shared" si="26"/>
        <v>38.427479999999996</v>
      </c>
      <c r="H298" s="44">
        <f t="shared" si="23"/>
        <v>45.47</v>
      </c>
      <c r="I298" s="44">
        <f t="shared" si="24"/>
        <v>489.43907999999993</v>
      </c>
      <c r="J298" s="45">
        <v>760</v>
      </c>
      <c r="K298" s="45">
        <f t="shared" si="25"/>
        <v>293.15753999999998</v>
      </c>
    </row>
    <row r="299" spans="1:11">
      <c r="A299" s="38">
        <v>294</v>
      </c>
      <c r="B299" s="43" t="s">
        <v>84</v>
      </c>
      <c r="C299" s="43">
        <v>2410</v>
      </c>
      <c r="D299" s="44">
        <v>41.3</v>
      </c>
      <c r="E299" s="44">
        <v>3.39</v>
      </c>
      <c r="F299" s="44">
        <f t="shared" si="26"/>
        <v>444.55319999999995</v>
      </c>
      <c r="G299" s="44">
        <f t="shared" si="26"/>
        <v>36.489959999999996</v>
      </c>
      <c r="H299" s="44">
        <f t="shared" si="23"/>
        <v>44.69</v>
      </c>
      <c r="I299" s="44">
        <f t="shared" si="24"/>
        <v>481.04315999999994</v>
      </c>
      <c r="J299" s="45">
        <v>750</v>
      </c>
      <c r="K299" s="45">
        <f t="shared" si="25"/>
        <v>288.95957999999996</v>
      </c>
    </row>
    <row r="300" spans="1:11">
      <c r="A300" s="38">
        <v>295</v>
      </c>
      <c r="B300" s="43" t="s">
        <v>84</v>
      </c>
      <c r="C300" s="43">
        <v>2411</v>
      </c>
      <c r="D300" s="44">
        <v>41.3</v>
      </c>
      <c r="E300" s="44">
        <v>3.39</v>
      </c>
      <c r="F300" s="44">
        <f t="shared" si="26"/>
        <v>444.55319999999995</v>
      </c>
      <c r="G300" s="44">
        <f t="shared" si="26"/>
        <v>36.489959999999996</v>
      </c>
      <c r="H300" s="44">
        <f t="shared" si="23"/>
        <v>44.69</v>
      </c>
      <c r="I300" s="44">
        <f t="shared" si="24"/>
        <v>481.04315999999994</v>
      </c>
      <c r="J300" s="45">
        <v>750</v>
      </c>
      <c r="K300" s="45">
        <f t="shared" si="25"/>
        <v>288.95957999999996</v>
      </c>
    </row>
    <row r="301" spans="1:11">
      <c r="A301" s="38">
        <v>296</v>
      </c>
      <c r="B301" s="43" t="s">
        <v>84</v>
      </c>
      <c r="C301" s="43">
        <v>2412</v>
      </c>
      <c r="D301" s="44">
        <v>41.9</v>
      </c>
      <c r="E301" s="43">
        <v>3.57</v>
      </c>
      <c r="F301" s="44">
        <f t="shared" si="26"/>
        <v>451.01159999999993</v>
      </c>
      <c r="G301" s="44">
        <f t="shared" si="26"/>
        <v>38.427479999999996</v>
      </c>
      <c r="H301" s="44">
        <f t="shared" si="23"/>
        <v>45.47</v>
      </c>
      <c r="I301" s="44">
        <f t="shared" si="24"/>
        <v>489.43907999999993</v>
      </c>
      <c r="J301" s="45">
        <v>760</v>
      </c>
      <c r="K301" s="45">
        <f t="shared" si="25"/>
        <v>293.15753999999998</v>
      </c>
    </row>
    <row r="302" spans="1:11">
      <c r="A302" s="38">
        <v>297</v>
      </c>
      <c r="B302" s="43" t="s">
        <v>84</v>
      </c>
      <c r="C302" s="43">
        <v>2501</v>
      </c>
      <c r="D302" s="43">
        <v>67.02</v>
      </c>
      <c r="E302" s="43">
        <v>3.94</v>
      </c>
      <c r="F302" s="44">
        <f t="shared" si="26"/>
        <v>721.40327999999988</v>
      </c>
      <c r="G302" s="44">
        <f t="shared" si="26"/>
        <v>42.410159999999998</v>
      </c>
      <c r="H302" s="44">
        <f t="shared" si="23"/>
        <v>70.959999999999994</v>
      </c>
      <c r="I302" s="44">
        <f t="shared" si="24"/>
        <v>763.8134399999999</v>
      </c>
      <c r="J302" s="45">
        <v>1210</v>
      </c>
      <c r="K302" s="45">
        <f t="shared" si="25"/>
        <v>468.91213199999993</v>
      </c>
    </row>
    <row r="303" spans="1:11">
      <c r="A303" s="38">
        <v>298</v>
      </c>
      <c r="B303" s="43" t="s">
        <v>84</v>
      </c>
      <c r="C303" s="43">
        <v>2502</v>
      </c>
      <c r="D303" s="43">
        <v>95.39</v>
      </c>
      <c r="E303" s="43">
        <v>3.81</v>
      </c>
      <c r="F303" s="44">
        <f t="shared" si="26"/>
        <v>1026.7779599999999</v>
      </c>
      <c r="G303" s="44">
        <f t="shared" si="26"/>
        <v>41.010839999999995</v>
      </c>
      <c r="H303" s="44">
        <f t="shared" si="23"/>
        <v>99.2</v>
      </c>
      <c r="I303" s="44">
        <f t="shared" si="24"/>
        <v>1067.7887999999998</v>
      </c>
      <c r="J303" s="45">
        <v>1690</v>
      </c>
      <c r="K303" s="45">
        <f t="shared" si="25"/>
        <v>667.40567399999998</v>
      </c>
    </row>
    <row r="304" spans="1:11">
      <c r="A304" s="38">
        <v>299</v>
      </c>
      <c r="B304" s="43" t="s">
        <v>84</v>
      </c>
      <c r="C304" s="43">
        <v>2503</v>
      </c>
      <c r="D304" s="43">
        <v>44.09</v>
      </c>
      <c r="E304" s="43">
        <v>3.96</v>
      </c>
      <c r="F304" s="44">
        <f t="shared" si="26"/>
        <v>474.58476000000002</v>
      </c>
      <c r="G304" s="44">
        <f t="shared" si="26"/>
        <v>42.625439999999998</v>
      </c>
      <c r="H304" s="44">
        <f t="shared" si="23"/>
        <v>48.050000000000004</v>
      </c>
      <c r="I304" s="44">
        <f t="shared" si="24"/>
        <v>517.21019999999999</v>
      </c>
      <c r="J304" s="45">
        <v>795</v>
      </c>
      <c r="K304" s="45">
        <f t="shared" si="25"/>
        <v>308.48009400000001</v>
      </c>
    </row>
    <row r="305" spans="1:11">
      <c r="A305" s="38">
        <v>300</v>
      </c>
      <c r="B305" s="43" t="s">
        <v>84</v>
      </c>
      <c r="C305" s="43">
        <v>2504</v>
      </c>
      <c r="D305" s="43">
        <v>44.35</v>
      </c>
      <c r="E305" s="43">
        <v>3.78</v>
      </c>
      <c r="F305" s="44">
        <f t="shared" si="26"/>
        <v>477.38339999999999</v>
      </c>
      <c r="G305" s="44">
        <f t="shared" si="26"/>
        <v>40.687919999999998</v>
      </c>
      <c r="H305" s="44">
        <f t="shared" si="23"/>
        <v>48.13</v>
      </c>
      <c r="I305" s="44">
        <f t="shared" si="24"/>
        <v>518.07132000000001</v>
      </c>
      <c r="J305" s="45">
        <v>795</v>
      </c>
      <c r="K305" s="45">
        <f t="shared" si="25"/>
        <v>310.29921000000002</v>
      </c>
    </row>
    <row r="306" spans="1:11">
      <c r="A306" s="38">
        <v>301</v>
      </c>
      <c r="B306" s="43" t="s">
        <v>84</v>
      </c>
      <c r="C306" s="43">
        <v>2505</v>
      </c>
      <c r="D306" s="43">
        <v>44.35</v>
      </c>
      <c r="E306" s="43">
        <v>3.78</v>
      </c>
      <c r="F306" s="44">
        <f t="shared" si="26"/>
        <v>477.38339999999999</v>
      </c>
      <c r="G306" s="44">
        <f t="shared" si="26"/>
        <v>40.687919999999998</v>
      </c>
      <c r="H306" s="44">
        <f t="shared" si="23"/>
        <v>48.13</v>
      </c>
      <c r="I306" s="44">
        <f t="shared" si="24"/>
        <v>518.07132000000001</v>
      </c>
      <c r="J306" s="45">
        <v>795</v>
      </c>
      <c r="K306" s="45">
        <f t="shared" si="25"/>
        <v>310.29921000000002</v>
      </c>
    </row>
    <row r="307" spans="1:11">
      <c r="A307" s="38">
        <v>302</v>
      </c>
      <c r="B307" s="43" t="s">
        <v>84</v>
      </c>
      <c r="C307" s="43">
        <v>2506</v>
      </c>
      <c r="D307" s="43">
        <v>44.09</v>
      </c>
      <c r="E307" s="43">
        <v>3.96</v>
      </c>
      <c r="F307" s="44">
        <f t="shared" si="26"/>
        <v>474.58476000000002</v>
      </c>
      <c r="G307" s="44">
        <f t="shared" si="26"/>
        <v>42.625439999999998</v>
      </c>
      <c r="H307" s="44">
        <f t="shared" si="23"/>
        <v>48.050000000000004</v>
      </c>
      <c r="I307" s="44">
        <f t="shared" si="24"/>
        <v>517.21019999999999</v>
      </c>
      <c r="J307" s="45">
        <v>795</v>
      </c>
      <c r="K307" s="45">
        <f t="shared" si="25"/>
        <v>308.48009400000001</v>
      </c>
    </row>
    <row r="308" spans="1:11">
      <c r="A308" s="38">
        <v>303</v>
      </c>
      <c r="B308" s="43" t="s">
        <v>84</v>
      </c>
      <c r="C308" s="43">
        <v>2507</v>
      </c>
      <c r="D308" s="44">
        <v>95.39</v>
      </c>
      <c r="E308" s="44">
        <v>3.81</v>
      </c>
      <c r="F308" s="44">
        <f t="shared" si="26"/>
        <v>1026.7779599999999</v>
      </c>
      <c r="G308" s="44">
        <f t="shared" si="26"/>
        <v>41.010839999999995</v>
      </c>
      <c r="H308" s="44">
        <f t="shared" si="23"/>
        <v>99.2</v>
      </c>
      <c r="I308" s="44">
        <f t="shared" si="24"/>
        <v>1067.7887999999998</v>
      </c>
      <c r="J308" s="45">
        <v>1690</v>
      </c>
      <c r="K308" s="45">
        <f t="shared" si="25"/>
        <v>667.40567399999998</v>
      </c>
    </row>
    <row r="309" spans="1:11">
      <c r="A309" s="38">
        <v>304</v>
      </c>
      <c r="B309" s="43" t="s">
        <v>84</v>
      </c>
      <c r="C309" s="43">
        <v>2508</v>
      </c>
      <c r="D309" s="43">
        <v>67.02</v>
      </c>
      <c r="E309" s="43">
        <v>3.94</v>
      </c>
      <c r="F309" s="44">
        <f t="shared" si="26"/>
        <v>721.40327999999988</v>
      </c>
      <c r="G309" s="44">
        <f t="shared" si="26"/>
        <v>42.410159999999998</v>
      </c>
      <c r="H309" s="44">
        <f t="shared" si="23"/>
        <v>70.959999999999994</v>
      </c>
      <c r="I309" s="44">
        <f t="shared" si="24"/>
        <v>763.8134399999999</v>
      </c>
      <c r="J309" s="45">
        <v>1210</v>
      </c>
      <c r="K309" s="45">
        <f t="shared" si="25"/>
        <v>468.91213199999993</v>
      </c>
    </row>
    <row r="310" spans="1:11">
      <c r="A310" s="38">
        <v>305</v>
      </c>
      <c r="B310" s="43" t="s">
        <v>84</v>
      </c>
      <c r="C310" s="43">
        <v>2509</v>
      </c>
      <c r="D310" s="44">
        <v>41.9</v>
      </c>
      <c r="E310" s="43">
        <v>3.57</v>
      </c>
      <c r="F310" s="44">
        <f t="shared" si="26"/>
        <v>451.01159999999993</v>
      </c>
      <c r="G310" s="44">
        <f t="shared" si="26"/>
        <v>38.427479999999996</v>
      </c>
      <c r="H310" s="44">
        <f t="shared" si="23"/>
        <v>45.47</v>
      </c>
      <c r="I310" s="44">
        <f t="shared" si="24"/>
        <v>489.43907999999993</v>
      </c>
      <c r="J310" s="45">
        <v>760</v>
      </c>
      <c r="K310" s="45">
        <f t="shared" si="25"/>
        <v>293.15753999999998</v>
      </c>
    </row>
    <row r="311" spans="1:11">
      <c r="A311" s="38">
        <v>306</v>
      </c>
      <c r="B311" s="43" t="s">
        <v>84</v>
      </c>
      <c r="C311" s="43">
        <v>2510</v>
      </c>
      <c r="D311" s="44">
        <v>41.3</v>
      </c>
      <c r="E311" s="44">
        <v>3.39</v>
      </c>
      <c r="F311" s="44">
        <f t="shared" si="26"/>
        <v>444.55319999999995</v>
      </c>
      <c r="G311" s="44">
        <f t="shared" si="26"/>
        <v>36.489959999999996</v>
      </c>
      <c r="H311" s="44">
        <f t="shared" si="23"/>
        <v>44.69</v>
      </c>
      <c r="I311" s="44">
        <f t="shared" si="24"/>
        <v>481.04315999999994</v>
      </c>
      <c r="J311" s="45">
        <v>750</v>
      </c>
      <c r="K311" s="45">
        <f t="shared" si="25"/>
        <v>288.95957999999996</v>
      </c>
    </row>
    <row r="312" spans="1:11">
      <c r="A312" s="38">
        <v>307</v>
      </c>
      <c r="B312" s="43" t="s">
        <v>84</v>
      </c>
      <c r="C312" s="43">
        <v>2511</v>
      </c>
      <c r="D312" s="44">
        <v>41.3</v>
      </c>
      <c r="E312" s="44">
        <v>3.39</v>
      </c>
      <c r="F312" s="44">
        <f t="shared" si="26"/>
        <v>444.55319999999995</v>
      </c>
      <c r="G312" s="44">
        <f t="shared" si="26"/>
        <v>36.489959999999996</v>
      </c>
      <c r="H312" s="44">
        <f t="shared" si="23"/>
        <v>44.69</v>
      </c>
      <c r="I312" s="44">
        <f t="shared" si="24"/>
        <v>481.04315999999994</v>
      </c>
      <c r="J312" s="45">
        <v>750</v>
      </c>
      <c r="K312" s="45">
        <f t="shared" si="25"/>
        <v>288.95957999999996</v>
      </c>
    </row>
    <row r="313" spans="1:11">
      <c r="A313" s="38">
        <v>308</v>
      </c>
      <c r="B313" s="43" t="s">
        <v>84</v>
      </c>
      <c r="C313" s="43">
        <v>2512</v>
      </c>
      <c r="D313" s="44">
        <v>41.9</v>
      </c>
      <c r="E313" s="43">
        <v>3.57</v>
      </c>
      <c r="F313" s="44">
        <f t="shared" si="26"/>
        <v>451.01159999999993</v>
      </c>
      <c r="G313" s="44">
        <f t="shared" si="26"/>
        <v>38.427479999999996</v>
      </c>
      <c r="H313" s="44">
        <f t="shared" si="23"/>
        <v>45.47</v>
      </c>
      <c r="I313" s="44">
        <f t="shared" si="24"/>
        <v>489.43907999999993</v>
      </c>
      <c r="J313" s="45">
        <v>760</v>
      </c>
      <c r="K313" s="45">
        <f t="shared" si="25"/>
        <v>293.15753999999998</v>
      </c>
    </row>
    <row r="314" spans="1:11">
      <c r="A314" s="38">
        <v>309</v>
      </c>
      <c r="B314" s="43" t="s">
        <v>84</v>
      </c>
      <c r="C314" s="49">
        <v>2601</v>
      </c>
      <c r="D314" s="43">
        <v>67.02</v>
      </c>
      <c r="E314" s="43">
        <v>3.94</v>
      </c>
      <c r="F314" s="44">
        <f t="shared" si="26"/>
        <v>721.40327999999988</v>
      </c>
      <c r="G314" s="44">
        <f t="shared" si="26"/>
        <v>42.410159999999998</v>
      </c>
      <c r="H314" s="44">
        <f t="shared" si="23"/>
        <v>70.959999999999994</v>
      </c>
      <c r="I314" s="44">
        <f t="shared" si="24"/>
        <v>763.8134399999999</v>
      </c>
      <c r="J314" s="45">
        <v>1210</v>
      </c>
      <c r="K314" s="45">
        <f t="shared" si="25"/>
        <v>468.91213199999993</v>
      </c>
    </row>
    <row r="315" spans="1:11">
      <c r="A315" s="38">
        <v>310</v>
      </c>
      <c r="B315" s="43" t="s">
        <v>84</v>
      </c>
      <c r="C315" s="49">
        <v>2602</v>
      </c>
      <c r="D315" s="43">
        <v>95.39</v>
      </c>
      <c r="E315" s="43">
        <v>3.81</v>
      </c>
      <c r="F315" s="44">
        <f t="shared" si="26"/>
        <v>1026.7779599999999</v>
      </c>
      <c r="G315" s="44">
        <f t="shared" si="26"/>
        <v>41.010839999999995</v>
      </c>
      <c r="H315" s="44">
        <f t="shared" si="23"/>
        <v>99.2</v>
      </c>
      <c r="I315" s="44">
        <f t="shared" si="24"/>
        <v>1067.7887999999998</v>
      </c>
      <c r="J315" s="45">
        <v>1690</v>
      </c>
      <c r="K315" s="45">
        <f t="shared" si="25"/>
        <v>667.40567399999998</v>
      </c>
    </row>
    <row r="316" spans="1:11">
      <c r="A316" s="38">
        <v>311</v>
      </c>
      <c r="B316" s="43" t="s">
        <v>84</v>
      </c>
      <c r="C316" s="49">
        <v>2603</v>
      </c>
      <c r="D316" s="43">
        <v>44.09</v>
      </c>
      <c r="E316" s="43">
        <v>3.96</v>
      </c>
      <c r="F316" s="44">
        <f t="shared" si="26"/>
        <v>474.58476000000002</v>
      </c>
      <c r="G316" s="44">
        <f t="shared" si="26"/>
        <v>42.625439999999998</v>
      </c>
      <c r="H316" s="44">
        <f t="shared" si="23"/>
        <v>48.050000000000004</v>
      </c>
      <c r="I316" s="44">
        <f t="shared" si="24"/>
        <v>517.21019999999999</v>
      </c>
      <c r="J316" s="45">
        <v>795</v>
      </c>
      <c r="K316" s="45">
        <f t="shared" si="25"/>
        <v>308.48009400000001</v>
      </c>
    </row>
    <row r="317" spans="1:11">
      <c r="A317" s="38">
        <v>312</v>
      </c>
      <c r="B317" s="43" t="s">
        <v>84</v>
      </c>
      <c r="C317" s="49">
        <v>2606</v>
      </c>
      <c r="D317" s="43">
        <v>44.09</v>
      </c>
      <c r="E317" s="43">
        <v>3.96</v>
      </c>
      <c r="F317" s="44">
        <f t="shared" si="26"/>
        <v>474.58476000000002</v>
      </c>
      <c r="G317" s="44">
        <f t="shared" si="26"/>
        <v>42.625439999999998</v>
      </c>
      <c r="H317" s="44">
        <f t="shared" si="23"/>
        <v>48.050000000000004</v>
      </c>
      <c r="I317" s="44">
        <f t="shared" si="24"/>
        <v>517.21019999999999</v>
      </c>
      <c r="J317" s="45">
        <v>795</v>
      </c>
      <c r="K317" s="45">
        <f t="shared" si="25"/>
        <v>308.48009400000001</v>
      </c>
    </row>
    <row r="318" spans="1:11">
      <c r="A318" s="38">
        <v>313</v>
      </c>
      <c r="B318" s="43" t="s">
        <v>84</v>
      </c>
      <c r="C318" s="49">
        <v>2607</v>
      </c>
      <c r="D318" s="44">
        <v>95.39</v>
      </c>
      <c r="E318" s="44">
        <v>3.81</v>
      </c>
      <c r="F318" s="44">
        <f t="shared" si="26"/>
        <v>1026.7779599999999</v>
      </c>
      <c r="G318" s="44">
        <f t="shared" si="26"/>
        <v>41.010839999999995</v>
      </c>
      <c r="H318" s="44">
        <f t="shared" si="23"/>
        <v>99.2</v>
      </c>
      <c r="I318" s="44">
        <f t="shared" si="24"/>
        <v>1067.7887999999998</v>
      </c>
      <c r="J318" s="45">
        <v>1690</v>
      </c>
      <c r="K318" s="45">
        <f t="shared" si="25"/>
        <v>667.40567399999998</v>
      </c>
    </row>
    <row r="319" spans="1:11">
      <c r="A319" s="38">
        <v>314</v>
      </c>
      <c r="B319" s="43" t="s">
        <v>84</v>
      </c>
      <c r="C319" s="49">
        <v>2608</v>
      </c>
      <c r="D319" s="43">
        <v>67.02</v>
      </c>
      <c r="E319" s="43">
        <v>3.94</v>
      </c>
      <c r="F319" s="44">
        <f t="shared" si="26"/>
        <v>721.40327999999988</v>
      </c>
      <c r="G319" s="44">
        <f t="shared" si="26"/>
        <v>42.410159999999998</v>
      </c>
      <c r="H319" s="44">
        <f t="shared" si="23"/>
        <v>70.959999999999994</v>
      </c>
      <c r="I319" s="44">
        <f t="shared" si="24"/>
        <v>763.8134399999999</v>
      </c>
      <c r="J319" s="45">
        <v>1210</v>
      </c>
      <c r="K319" s="45">
        <f t="shared" si="25"/>
        <v>468.91213199999993</v>
      </c>
    </row>
    <row r="320" spans="1:11">
      <c r="A320" s="38">
        <v>315</v>
      </c>
      <c r="B320" s="43" t="s">
        <v>84</v>
      </c>
      <c r="C320" s="49">
        <v>2609</v>
      </c>
      <c r="D320" s="44">
        <v>41.9</v>
      </c>
      <c r="E320" s="43">
        <v>3.57</v>
      </c>
      <c r="F320" s="44">
        <f t="shared" si="26"/>
        <v>451.01159999999993</v>
      </c>
      <c r="G320" s="44">
        <f t="shared" si="26"/>
        <v>38.427479999999996</v>
      </c>
      <c r="H320" s="44">
        <f t="shared" si="23"/>
        <v>45.47</v>
      </c>
      <c r="I320" s="44">
        <f t="shared" si="24"/>
        <v>489.43907999999993</v>
      </c>
      <c r="J320" s="45">
        <v>760</v>
      </c>
      <c r="K320" s="45">
        <f t="shared" si="25"/>
        <v>293.15753999999998</v>
      </c>
    </row>
    <row r="321" spans="1:11">
      <c r="A321" s="38">
        <v>316</v>
      </c>
      <c r="B321" s="43" t="s">
        <v>84</v>
      </c>
      <c r="C321" s="49">
        <v>2610</v>
      </c>
      <c r="D321" s="44">
        <v>41.3</v>
      </c>
      <c r="E321" s="44">
        <v>3.39</v>
      </c>
      <c r="F321" s="44">
        <f t="shared" si="26"/>
        <v>444.55319999999995</v>
      </c>
      <c r="G321" s="44">
        <f t="shared" si="26"/>
        <v>36.489959999999996</v>
      </c>
      <c r="H321" s="44">
        <f t="shared" si="23"/>
        <v>44.69</v>
      </c>
      <c r="I321" s="44">
        <f t="shared" si="24"/>
        <v>481.04315999999994</v>
      </c>
      <c r="J321" s="45">
        <v>750</v>
      </c>
      <c r="K321" s="45">
        <f t="shared" si="25"/>
        <v>288.95957999999996</v>
      </c>
    </row>
    <row r="322" spans="1:11">
      <c r="A322" s="38">
        <v>317</v>
      </c>
      <c r="B322" s="43" t="s">
        <v>84</v>
      </c>
      <c r="C322" s="49">
        <v>2611</v>
      </c>
      <c r="D322" s="44">
        <v>41.3</v>
      </c>
      <c r="E322" s="44">
        <v>3.39</v>
      </c>
      <c r="F322" s="44">
        <f t="shared" si="26"/>
        <v>444.55319999999995</v>
      </c>
      <c r="G322" s="44">
        <f t="shared" si="26"/>
        <v>36.489959999999996</v>
      </c>
      <c r="H322" s="44">
        <f t="shared" si="23"/>
        <v>44.69</v>
      </c>
      <c r="I322" s="44">
        <f t="shared" si="24"/>
        <v>481.04315999999994</v>
      </c>
      <c r="J322" s="45">
        <v>750</v>
      </c>
      <c r="K322" s="45">
        <f t="shared" si="25"/>
        <v>288.95957999999996</v>
      </c>
    </row>
    <row r="323" spans="1:11">
      <c r="A323" s="38">
        <v>318</v>
      </c>
      <c r="B323" s="43" t="s">
        <v>84</v>
      </c>
      <c r="C323" s="49">
        <v>2612</v>
      </c>
      <c r="D323" s="44">
        <v>41.9</v>
      </c>
      <c r="E323" s="43">
        <v>3.57</v>
      </c>
      <c r="F323" s="44">
        <f t="shared" si="26"/>
        <v>451.01159999999993</v>
      </c>
      <c r="G323" s="44">
        <f t="shared" si="26"/>
        <v>38.427479999999996</v>
      </c>
      <c r="H323" s="44">
        <f t="shared" si="23"/>
        <v>45.47</v>
      </c>
      <c r="I323" s="44">
        <f t="shared" si="24"/>
        <v>489.43907999999993</v>
      </c>
      <c r="J323" s="45">
        <v>760</v>
      </c>
      <c r="K323" s="45">
        <f t="shared" si="25"/>
        <v>293.15753999999998</v>
      </c>
    </row>
    <row r="324" spans="1:11">
      <c r="A324" s="38">
        <v>319</v>
      </c>
      <c r="B324" s="43" t="s">
        <v>84</v>
      </c>
      <c r="C324" s="43">
        <v>2701</v>
      </c>
      <c r="D324" s="43">
        <v>67.02</v>
      </c>
      <c r="E324" s="43">
        <v>3.94</v>
      </c>
      <c r="F324" s="44">
        <f t="shared" si="26"/>
        <v>721.40327999999988</v>
      </c>
      <c r="G324" s="44">
        <f t="shared" si="26"/>
        <v>42.410159999999998</v>
      </c>
      <c r="H324" s="44">
        <f t="shared" si="23"/>
        <v>70.959999999999994</v>
      </c>
      <c r="I324" s="44">
        <f t="shared" si="24"/>
        <v>763.8134399999999</v>
      </c>
      <c r="J324" s="45">
        <v>1210</v>
      </c>
      <c r="K324" s="45">
        <f t="shared" si="25"/>
        <v>468.91213199999993</v>
      </c>
    </row>
    <row r="325" spans="1:11">
      <c r="A325" s="38">
        <v>320</v>
      </c>
      <c r="B325" s="43" t="s">
        <v>84</v>
      </c>
      <c r="C325" s="43">
        <v>2702</v>
      </c>
      <c r="D325" s="43">
        <v>95.39</v>
      </c>
      <c r="E325" s="43">
        <v>3.81</v>
      </c>
      <c r="F325" s="44">
        <f t="shared" si="26"/>
        <v>1026.7779599999999</v>
      </c>
      <c r="G325" s="44">
        <f t="shared" si="26"/>
        <v>41.010839999999995</v>
      </c>
      <c r="H325" s="44">
        <f t="shared" si="23"/>
        <v>99.2</v>
      </c>
      <c r="I325" s="44">
        <f t="shared" si="24"/>
        <v>1067.7887999999998</v>
      </c>
      <c r="J325" s="45">
        <v>1690</v>
      </c>
      <c r="K325" s="45">
        <f t="shared" si="25"/>
        <v>667.40567399999998</v>
      </c>
    </row>
    <row r="326" spans="1:11">
      <c r="A326" s="38">
        <v>321</v>
      </c>
      <c r="B326" s="43" t="s">
        <v>84</v>
      </c>
      <c r="C326" s="43">
        <v>2703</v>
      </c>
      <c r="D326" s="43">
        <v>44.09</v>
      </c>
      <c r="E326" s="43">
        <v>3.96</v>
      </c>
      <c r="F326" s="44">
        <f t="shared" si="26"/>
        <v>474.58476000000002</v>
      </c>
      <c r="G326" s="44">
        <f t="shared" si="26"/>
        <v>42.625439999999998</v>
      </c>
      <c r="H326" s="44">
        <f t="shared" si="23"/>
        <v>48.050000000000004</v>
      </c>
      <c r="I326" s="44">
        <f t="shared" si="24"/>
        <v>517.21019999999999</v>
      </c>
      <c r="J326" s="45">
        <v>795</v>
      </c>
      <c r="K326" s="45">
        <f t="shared" si="25"/>
        <v>308.48009400000001</v>
      </c>
    </row>
    <row r="327" spans="1:11">
      <c r="A327" s="38">
        <v>322</v>
      </c>
      <c r="B327" s="43" t="s">
        <v>84</v>
      </c>
      <c r="C327" s="43">
        <v>2704</v>
      </c>
      <c r="D327" s="43">
        <v>44.35</v>
      </c>
      <c r="E327" s="43">
        <v>3.78</v>
      </c>
      <c r="F327" s="44">
        <f t="shared" si="26"/>
        <v>477.38339999999999</v>
      </c>
      <c r="G327" s="44">
        <f t="shared" si="26"/>
        <v>40.687919999999998</v>
      </c>
      <c r="H327" s="44">
        <f t="shared" si="23"/>
        <v>48.13</v>
      </c>
      <c r="I327" s="44">
        <f t="shared" si="24"/>
        <v>518.07132000000001</v>
      </c>
      <c r="J327" s="45">
        <v>795</v>
      </c>
      <c r="K327" s="45">
        <f t="shared" si="25"/>
        <v>310.29921000000002</v>
      </c>
    </row>
    <row r="328" spans="1:11">
      <c r="A328" s="38">
        <v>323</v>
      </c>
      <c r="B328" s="43" t="s">
        <v>84</v>
      </c>
      <c r="C328" s="43">
        <v>2705</v>
      </c>
      <c r="D328" s="43">
        <v>44.35</v>
      </c>
      <c r="E328" s="43">
        <v>3.78</v>
      </c>
      <c r="F328" s="44">
        <f t="shared" si="26"/>
        <v>477.38339999999999</v>
      </c>
      <c r="G328" s="44">
        <f t="shared" si="26"/>
        <v>40.687919999999998</v>
      </c>
      <c r="H328" s="44">
        <f t="shared" si="23"/>
        <v>48.13</v>
      </c>
      <c r="I328" s="44">
        <f t="shared" si="24"/>
        <v>518.07132000000001</v>
      </c>
      <c r="J328" s="45">
        <v>795</v>
      </c>
      <c r="K328" s="45">
        <f t="shared" si="25"/>
        <v>310.29921000000002</v>
      </c>
    </row>
    <row r="329" spans="1:11">
      <c r="A329" s="38">
        <v>324</v>
      </c>
      <c r="B329" s="43" t="s">
        <v>84</v>
      </c>
      <c r="C329" s="43">
        <v>2706</v>
      </c>
      <c r="D329" s="43">
        <v>44.09</v>
      </c>
      <c r="E329" s="43">
        <v>3.96</v>
      </c>
      <c r="F329" s="44">
        <f t="shared" si="26"/>
        <v>474.58476000000002</v>
      </c>
      <c r="G329" s="44">
        <f t="shared" si="26"/>
        <v>42.625439999999998</v>
      </c>
      <c r="H329" s="44">
        <f t="shared" si="23"/>
        <v>48.050000000000004</v>
      </c>
      <c r="I329" s="44">
        <f t="shared" si="24"/>
        <v>517.21019999999999</v>
      </c>
      <c r="J329" s="45">
        <v>795</v>
      </c>
      <c r="K329" s="45">
        <f t="shared" si="25"/>
        <v>308.48009400000001</v>
      </c>
    </row>
    <row r="330" spans="1:11">
      <c r="A330" s="38">
        <v>325</v>
      </c>
      <c r="B330" s="43" t="s">
        <v>84</v>
      </c>
      <c r="C330" s="43">
        <v>2707</v>
      </c>
      <c r="D330" s="44">
        <v>95.39</v>
      </c>
      <c r="E330" s="44">
        <v>3.81</v>
      </c>
      <c r="F330" s="44">
        <f t="shared" si="26"/>
        <v>1026.7779599999999</v>
      </c>
      <c r="G330" s="44">
        <f t="shared" si="26"/>
        <v>41.010839999999995</v>
      </c>
      <c r="H330" s="44">
        <f t="shared" si="23"/>
        <v>99.2</v>
      </c>
      <c r="I330" s="44">
        <f t="shared" si="24"/>
        <v>1067.7887999999998</v>
      </c>
      <c r="J330" s="45">
        <v>1690</v>
      </c>
      <c r="K330" s="45">
        <f t="shared" si="25"/>
        <v>667.40567399999998</v>
      </c>
    </row>
    <row r="331" spans="1:11">
      <c r="A331" s="38">
        <v>326</v>
      </c>
      <c r="B331" s="43" t="s">
        <v>84</v>
      </c>
      <c r="C331" s="43">
        <v>2708</v>
      </c>
      <c r="D331" s="43">
        <v>67.02</v>
      </c>
      <c r="E331" s="43">
        <v>3.94</v>
      </c>
      <c r="F331" s="44">
        <f t="shared" si="26"/>
        <v>721.40327999999988</v>
      </c>
      <c r="G331" s="44">
        <f t="shared" si="26"/>
        <v>42.410159999999998</v>
      </c>
      <c r="H331" s="44">
        <f t="shared" si="23"/>
        <v>70.959999999999994</v>
      </c>
      <c r="I331" s="44">
        <f t="shared" si="24"/>
        <v>763.8134399999999</v>
      </c>
      <c r="J331" s="45">
        <v>1210</v>
      </c>
      <c r="K331" s="45">
        <f t="shared" si="25"/>
        <v>468.91213199999993</v>
      </c>
    </row>
    <row r="332" spans="1:11">
      <c r="A332" s="38">
        <v>327</v>
      </c>
      <c r="B332" s="43" t="s">
        <v>84</v>
      </c>
      <c r="C332" s="43">
        <v>2709</v>
      </c>
      <c r="D332" s="44">
        <v>41.9</v>
      </c>
      <c r="E332" s="43">
        <v>3.57</v>
      </c>
      <c r="F332" s="44">
        <f t="shared" si="26"/>
        <v>451.01159999999993</v>
      </c>
      <c r="G332" s="44">
        <f t="shared" si="26"/>
        <v>38.427479999999996</v>
      </c>
      <c r="H332" s="44">
        <f t="shared" si="23"/>
        <v>45.47</v>
      </c>
      <c r="I332" s="44">
        <f t="shared" si="24"/>
        <v>489.43907999999993</v>
      </c>
      <c r="J332" s="45">
        <v>760</v>
      </c>
      <c r="K332" s="45">
        <f t="shared" si="25"/>
        <v>293.15753999999998</v>
      </c>
    </row>
    <row r="333" spans="1:11">
      <c r="A333" s="38">
        <v>328</v>
      </c>
      <c r="B333" s="43" t="s">
        <v>84</v>
      </c>
      <c r="C333" s="43">
        <v>2710</v>
      </c>
      <c r="D333" s="44">
        <v>41.3</v>
      </c>
      <c r="E333" s="44">
        <v>3.39</v>
      </c>
      <c r="F333" s="44">
        <f t="shared" si="26"/>
        <v>444.55319999999995</v>
      </c>
      <c r="G333" s="44">
        <f t="shared" si="26"/>
        <v>36.489959999999996</v>
      </c>
      <c r="H333" s="44">
        <f t="shared" si="23"/>
        <v>44.69</v>
      </c>
      <c r="I333" s="44">
        <f t="shared" si="24"/>
        <v>481.04315999999994</v>
      </c>
      <c r="J333" s="45">
        <v>750</v>
      </c>
      <c r="K333" s="45">
        <f t="shared" si="25"/>
        <v>288.95957999999996</v>
      </c>
    </row>
    <row r="334" spans="1:11">
      <c r="A334" s="38">
        <v>329</v>
      </c>
      <c r="B334" s="43" t="s">
        <v>84</v>
      </c>
      <c r="C334" s="43">
        <v>2711</v>
      </c>
      <c r="D334" s="44">
        <v>41.3</v>
      </c>
      <c r="E334" s="44">
        <v>3.39</v>
      </c>
      <c r="F334" s="44">
        <f t="shared" si="26"/>
        <v>444.55319999999995</v>
      </c>
      <c r="G334" s="44">
        <f t="shared" si="26"/>
        <v>36.489959999999996</v>
      </c>
      <c r="H334" s="44">
        <f t="shared" si="23"/>
        <v>44.69</v>
      </c>
      <c r="I334" s="44">
        <f t="shared" si="24"/>
        <v>481.04315999999994</v>
      </c>
      <c r="J334" s="45">
        <v>750</v>
      </c>
      <c r="K334" s="45">
        <f t="shared" si="25"/>
        <v>288.95957999999996</v>
      </c>
    </row>
    <row r="335" spans="1:11">
      <c r="A335" s="38">
        <v>330</v>
      </c>
      <c r="B335" s="43" t="s">
        <v>84</v>
      </c>
      <c r="C335" s="43">
        <v>2712</v>
      </c>
      <c r="D335" s="44">
        <v>41.9</v>
      </c>
      <c r="E335" s="43">
        <v>3.57</v>
      </c>
      <c r="F335" s="44">
        <f t="shared" si="26"/>
        <v>451.01159999999993</v>
      </c>
      <c r="G335" s="44">
        <f t="shared" si="26"/>
        <v>38.427479999999996</v>
      </c>
      <c r="H335" s="44">
        <f t="shared" si="23"/>
        <v>45.47</v>
      </c>
      <c r="I335" s="44">
        <f t="shared" si="24"/>
        <v>489.43907999999993</v>
      </c>
      <c r="J335" s="45">
        <v>760</v>
      </c>
      <c r="K335" s="45">
        <f t="shared" si="25"/>
        <v>293.15753999999998</v>
      </c>
    </row>
    <row r="336" spans="1:11">
      <c r="A336" s="38">
        <v>331</v>
      </c>
      <c r="B336" s="43" t="s">
        <v>84</v>
      </c>
      <c r="C336" s="43">
        <v>2801</v>
      </c>
      <c r="D336" s="43">
        <v>67.02</v>
      </c>
      <c r="E336" s="43">
        <v>3.94</v>
      </c>
      <c r="F336" s="44">
        <f t="shared" si="26"/>
        <v>721.40327999999988</v>
      </c>
      <c r="G336" s="44">
        <f t="shared" si="26"/>
        <v>42.410159999999998</v>
      </c>
      <c r="H336" s="44">
        <f t="shared" si="23"/>
        <v>70.959999999999994</v>
      </c>
      <c r="I336" s="44">
        <f t="shared" si="24"/>
        <v>763.8134399999999</v>
      </c>
      <c r="J336" s="45">
        <v>1210</v>
      </c>
      <c r="K336" s="45">
        <f t="shared" si="25"/>
        <v>468.91213199999993</v>
      </c>
    </row>
    <row r="337" spans="1:11">
      <c r="A337" s="38">
        <v>332</v>
      </c>
      <c r="B337" s="43" t="s">
        <v>84</v>
      </c>
      <c r="C337" s="43">
        <v>2802</v>
      </c>
      <c r="D337" s="43">
        <v>95.39</v>
      </c>
      <c r="E337" s="43">
        <v>3.81</v>
      </c>
      <c r="F337" s="44">
        <f t="shared" si="26"/>
        <v>1026.7779599999999</v>
      </c>
      <c r="G337" s="44">
        <f t="shared" si="26"/>
        <v>41.010839999999995</v>
      </c>
      <c r="H337" s="44">
        <f t="shared" si="23"/>
        <v>99.2</v>
      </c>
      <c r="I337" s="44">
        <f t="shared" si="24"/>
        <v>1067.7887999999998</v>
      </c>
      <c r="J337" s="45">
        <v>1690</v>
      </c>
      <c r="K337" s="45">
        <f t="shared" si="25"/>
        <v>667.40567399999998</v>
      </c>
    </row>
    <row r="338" spans="1:11">
      <c r="A338" s="38">
        <v>333</v>
      </c>
      <c r="B338" s="43" t="s">
        <v>84</v>
      </c>
      <c r="C338" s="43">
        <v>2803</v>
      </c>
      <c r="D338" s="43">
        <v>44.09</v>
      </c>
      <c r="E338" s="43">
        <v>3.96</v>
      </c>
      <c r="F338" s="44">
        <f t="shared" si="26"/>
        <v>474.58476000000002</v>
      </c>
      <c r="G338" s="44">
        <f t="shared" si="26"/>
        <v>42.625439999999998</v>
      </c>
      <c r="H338" s="44">
        <f t="shared" si="23"/>
        <v>48.050000000000004</v>
      </c>
      <c r="I338" s="44">
        <f t="shared" si="24"/>
        <v>517.21019999999999</v>
      </c>
      <c r="J338" s="45">
        <v>795</v>
      </c>
      <c r="K338" s="45">
        <f t="shared" si="25"/>
        <v>308.48009400000001</v>
      </c>
    </row>
    <row r="339" spans="1:11">
      <c r="A339" s="38">
        <v>334</v>
      </c>
      <c r="B339" s="43" t="s">
        <v>84</v>
      </c>
      <c r="C339" s="43">
        <v>2804</v>
      </c>
      <c r="D339" s="43">
        <v>44.35</v>
      </c>
      <c r="E339" s="43">
        <v>3.78</v>
      </c>
      <c r="F339" s="44">
        <f t="shared" si="26"/>
        <v>477.38339999999999</v>
      </c>
      <c r="G339" s="44">
        <f t="shared" si="26"/>
        <v>40.687919999999998</v>
      </c>
      <c r="H339" s="44">
        <f t="shared" si="23"/>
        <v>48.13</v>
      </c>
      <c r="I339" s="44">
        <f t="shared" si="24"/>
        <v>518.07132000000001</v>
      </c>
      <c r="J339" s="45">
        <v>795</v>
      </c>
      <c r="K339" s="45">
        <f t="shared" si="25"/>
        <v>310.29921000000002</v>
      </c>
    </row>
    <row r="340" spans="1:11">
      <c r="A340" s="38">
        <v>335</v>
      </c>
      <c r="B340" s="43" t="s">
        <v>84</v>
      </c>
      <c r="C340" s="43">
        <v>2805</v>
      </c>
      <c r="D340" s="43">
        <v>44.35</v>
      </c>
      <c r="E340" s="43">
        <v>3.78</v>
      </c>
      <c r="F340" s="44">
        <f t="shared" si="26"/>
        <v>477.38339999999999</v>
      </c>
      <c r="G340" s="44">
        <f t="shared" si="26"/>
        <v>40.687919999999998</v>
      </c>
      <c r="H340" s="44">
        <f t="shared" si="23"/>
        <v>48.13</v>
      </c>
      <c r="I340" s="44">
        <f t="shared" si="24"/>
        <v>518.07132000000001</v>
      </c>
      <c r="J340" s="45">
        <v>795</v>
      </c>
      <c r="K340" s="45">
        <f t="shared" si="25"/>
        <v>310.29921000000002</v>
      </c>
    </row>
    <row r="341" spans="1:11">
      <c r="A341" s="38">
        <v>336</v>
      </c>
      <c r="B341" s="43" t="s">
        <v>84</v>
      </c>
      <c r="C341" s="43">
        <v>2806</v>
      </c>
      <c r="D341" s="43">
        <v>44.09</v>
      </c>
      <c r="E341" s="43">
        <v>3.96</v>
      </c>
      <c r="F341" s="44">
        <f t="shared" si="26"/>
        <v>474.58476000000002</v>
      </c>
      <c r="G341" s="44">
        <f t="shared" si="26"/>
        <v>42.625439999999998</v>
      </c>
      <c r="H341" s="44">
        <f t="shared" si="23"/>
        <v>48.050000000000004</v>
      </c>
      <c r="I341" s="44">
        <f t="shared" si="24"/>
        <v>517.21019999999999</v>
      </c>
      <c r="J341" s="45">
        <v>795</v>
      </c>
      <c r="K341" s="45">
        <f t="shared" si="25"/>
        <v>308.48009400000001</v>
      </c>
    </row>
    <row r="342" spans="1:11">
      <c r="A342" s="38">
        <v>337</v>
      </c>
      <c r="B342" s="43" t="s">
        <v>84</v>
      </c>
      <c r="C342" s="43">
        <v>2807</v>
      </c>
      <c r="D342" s="44">
        <v>95.39</v>
      </c>
      <c r="E342" s="44">
        <v>3.81</v>
      </c>
      <c r="F342" s="44">
        <f t="shared" si="26"/>
        <v>1026.7779599999999</v>
      </c>
      <c r="G342" s="44">
        <f t="shared" si="26"/>
        <v>41.010839999999995</v>
      </c>
      <c r="H342" s="44">
        <f t="shared" si="23"/>
        <v>99.2</v>
      </c>
      <c r="I342" s="44">
        <f t="shared" si="24"/>
        <v>1067.7887999999998</v>
      </c>
      <c r="J342" s="45">
        <v>1690</v>
      </c>
      <c r="K342" s="45">
        <f t="shared" si="25"/>
        <v>667.40567399999998</v>
      </c>
    </row>
    <row r="343" spans="1:11">
      <c r="A343" s="38">
        <v>338</v>
      </c>
      <c r="B343" s="43" t="s">
        <v>84</v>
      </c>
      <c r="C343" s="43">
        <v>2808</v>
      </c>
      <c r="D343" s="43">
        <v>67.02</v>
      </c>
      <c r="E343" s="43">
        <v>3.94</v>
      </c>
      <c r="F343" s="44">
        <f t="shared" si="26"/>
        <v>721.40327999999988</v>
      </c>
      <c r="G343" s="44">
        <f t="shared" si="26"/>
        <v>42.410159999999998</v>
      </c>
      <c r="H343" s="44">
        <f t="shared" si="23"/>
        <v>70.959999999999994</v>
      </c>
      <c r="I343" s="44">
        <f t="shared" si="24"/>
        <v>763.8134399999999</v>
      </c>
      <c r="J343" s="45">
        <v>1210</v>
      </c>
      <c r="K343" s="45">
        <f t="shared" si="25"/>
        <v>468.91213199999993</v>
      </c>
    </row>
    <row r="344" spans="1:11">
      <c r="A344" s="38">
        <v>339</v>
      </c>
      <c r="B344" s="43" t="s">
        <v>84</v>
      </c>
      <c r="C344" s="43">
        <v>2809</v>
      </c>
      <c r="D344" s="44">
        <v>41.9</v>
      </c>
      <c r="E344" s="43">
        <v>3.57</v>
      </c>
      <c r="F344" s="44">
        <f t="shared" si="26"/>
        <v>451.01159999999993</v>
      </c>
      <c r="G344" s="44">
        <f t="shared" si="26"/>
        <v>38.427479999999996</v>
      </c>
      <c r="H344" s="44">
        <f t="shared" si="23"/>
        <v>45.47</v>
      </c>
      <c r="I344" s="44">
        <f t="shared" si="24"/>
        <v>489.43907999999993</v>
      </c>
      <c r="J344" s="45">
        <v>760</v>
      </c>
      <c r="K344" s="45">
        <f t="shared" si="25"/>
        <v>293.15753999999998</v>
      </c>
    </row>
    <row r="345" spans="1:11">
      <c r="A345" s="38">
        <v>340</v>
      </c>
      <c r="B345" s="43" t="s">
        <v>84</v>
      </c>
      <c r="C345" s="43">
        <v>2810</v>
      </c>
      <c r="D345" s="44">
        <v>41.3</v>
      </c>
      <c r="E345" s="44">
        <v>3.39</v>
      </c>
      <c r="F345" s="44">
        <f t="shared" si="26"/>
        <v>444.55319999999995</v>
      </c>
      <c r="G345" s="44">
        <f t="shared" si="26"/>
        <v>36.489959999999996</v>
      </c>
      <c r="H345" s="44">
        <f t="shared" ref="H345:H368" si="27">D345+E345</f>
        <v>44.69</v>
      </c>
      <c r="I345" s="44">
        <f t="shared" ref="I345:I367" si="28">F345+G345</f>
        <v>481.04315999999994</v>
      </c>
      <c r="J345" s="45">
        <v>750</v>
      </c>
      <c r="K345" s="45">
        <f t="shared" ref="K345:K367" si="29">F345*65%</f>
        <v>288.95957999999996</v>
      </c>
    </row>
    <row r="346" spans="1:11">
      <c r="A346" s="38">
        <v>341</v>
      </c>
      <c r="B346" s="43" t="s">
        <v>84</v>
      </c>
      <c r="C346" s="43">
        <v>2811</v>
      </c>
      <c r="D346" s="44">
        <v>41.3</v>
      </c>
      <c r="E346" s="44">
        <v>3.39</v>
      </c>
      <c r="F346" s="44">
        <f t="shared" ref="F346:G367" si="30">D346*10.764</f>
        <v>444.55319999999995</v>
      </c>
      <c r="G346" s="44">
        <f t="shared" si="30"/>
        <v>36.489959999999996</v>
      </c>
      <c r="H346" s="44">
        <f t="shared" si="27"/>
        <v>44.69</v>
      </c>
      <c r="I346" s="44">
        <f t="shared" si="28"/>
        <v>481.04315999999994</v>
      </c>
      <c r="J346" s="45">
        <v>750</v>
      </c>
      <c r="K346" s="45">
        <f t="shared" si="29"/>
        <v>288.95957999999996</v>
      </c>
    </row>
    <row r="347" spans="1:11">
      <c r="A347" s="38">
        <v>342</v>
      </c>
      <c r="B347" s="43" t="s">
        <v>84</v>
      </c>
      <c r="C347" s="43">
        <v>2812</v>
      </c>
      <c r="D347" s="44">
        <v>41.9</v>
      </c>
      <c r="E347" s="43">
        <v>3.57</v>
      </c>
      <c r="F347" s="44">
        <f t="shared" si="30"/>
        <v>451.01159999999993</v>
      </c>
      <c r="G347" s="44">
        <f t="shared" si="30"/>
        <v>38.427479999999996</v>
      </c>
      <c r="H347" s="44">
        <f t="shared" si="27"/>
        <v>45.47</v>
      </c>
      <c r="I347" s="44">
        <f t="shared" si="28"/>
        <v>489.43907999999993</v>
      </c>
      <c r="J347" s="45">
        <v>760</v>
      </c>
      <c r="K347" s="45">
        <f t="shared" si="29"/>
        <v>293.15753999999998</v>
      </c>
    </row>
    <row r="348" spans="1:11">
      <c r="A348" s="38">
        <v>343</v>
      </c>
      <c r="B348" s="43" t="s">
        <v>84</v>
      </c>
      <c r="C348" s="43">
        <v>2901</v>
      </c>
      <c r="D348" s="43">
        <v>67.02</v>
      </c>
      <c r="E348" s="43">
        <v>3.94</v>
      </c>
      <c r="F348" s="44">
        <f t="shared" si="30"/>
        <v>721.40327999999988</v>
      </c>
      <c r="G348" s="44">
        <f t="shared" si="30"/>
        <v>42.410159999999998</v>
      </c>
      <c r="H348" s="44">
        <f t="shared" si="27"/>
        <v>70.959999999999994</v>
      </c>
      <c r="I348" s="44">
        <f t="shared" si="28"/>
        <v>763.8134399999999</v>
      </c>
      <c r="J348" s="45">
        <v>1210</v>
      </c>
      <c r="K348" s="45">
        <f t="shared" si="29"/>
        <v>468.91213199999993</v>
      </c>
    </row>
    <row r="349" spans="1:11">
      <c r="A349" s="38">
        <v>344</v>
      </c>
      <c r="B349" s="43" t="s">
        <v>84</v>
      </c>
      <c r="C349" s="43">
        <v>2902</v>
      </c>
      <c r="D349" s="43">
        <v>95.39</v>
      </c>
      <c r="E349" s="43">
        <v>3.81</v>
      </c>
      <c r="F349" s="44">
        <f t="shared" si="30"/>
        <v>1026.7779599999999</v>
      </c>
      <c r="G349" s="44">
        <f t="shared" si="30"/>
        <v>41.010839999999995</v>
      </c>
      <c r="H349" s="44">
        <f t="shared" si="27"/>
        <v>99.2</v>
      </c>
      <c r="I349" s="44">
        <f t="shared" si="28"/>
        <v>1067.7887999999998</v>
      </c>
      <c r="J349" s="45">
        <v>1690</v>
      </c>
      <c r="K349" s="45">
        <f t="shared" si="29"/>
        <v>667.40567399999998</v>
      </c>
    </row>
    <row r="350" spans="1:11">
      <c r="A350" s="38">
        <v>345</v>
      </c>
      <c r="B350" s="43" t="s">
        <v>84</v>
      </c>
      <c r="C350" s="43">
        <v>2903</v>
      </c>
      <c r="D350" s="43">
        <v>44.09</v>
      </c>
      <c r="E350" s="43">
        <v>3.96</v>
      </c>
      <c r="F350" s="44">
        <f t="shared" si="30"/>
        <v>474.58476000000002</v>
      </c>
      <c r="G350" s="44">
        <f t="shared" si="30"/>
        <v>42.625439999999998</v>
      </c>
      <c r="H350" s="44">
        <f t="shared" si="27"/>
        <v>48.050000000000004</v>
      </c>
      <c r="I350" s="44">
        <f t="shared" si="28"/>
        <v>517.21019999999999</v>
      </c>
      <c r="J350" s="45">
        <v>795</v>
      </c>
      <c r="K350" s="45">
        <f t="shared" si="29"/>
        <v>308.48009400000001</v>
      </c>
    </row>
    <row r="351" spans="1:11">
      <c r="A351" s="38">
        <v>346</v>
      </c>
      <c r="B351" s="43" t="s">
        <v>84</v>
      </c>
      <c r="C351" s="43">
        <v>2904</v>
      </c>
      <c r="D351" s="43">
        <v>44.35</v>
      </c>
      <c r="E351" s="43">
        <v>3.78</v>
      </c>
      <c r="F351" s="44">
        <f t="shared" si="30"/>
        <v>477.38339999999999</v>
      </c>
      <c r="G351" s="44">
        <f t="shared" si="30"/>
        <v>40.687919999999998</v>
      </c>
      <c r="H351" s="44">
        <f t="shared" si="27"/>
        <v>48.13</v>
      </c>
      <c r="I351" s="44">
        <f t="shared" si="28"/>
        <v>518.07132000000001</v>
      </c>
      <c r="J351" s="45">
        <v>795</v>
      </c>
      <c r="K351" s="45">
        <f t="shared" si="29"/>
        <v>310.29921000000002</v>
      </c>
    </row>
    <row r="352" spans="1:11">
      <c r="A352" s="38">
        <v>347</v>
      </c>
      <c r="B352" s="43" t="s">
        <v>84</v>
      </c>
      <c r="C352" s="43">
        <v>2905</v>
      </c>
      <c r="D352" s="43">
        <v>44.35</v>
      </c>
      <c r="E352" s="43">
        <v>3.78</v>
      </c>
      <c r="F352" s="44">
        <f t="shared" si="30"/>
        <v>477.38339999999999</v>
      </c>
      <c r="G352" s="44">
        <f t="shared" si="30"/>
        <v>40.687919999999998</v>
      </c>
      <c r="H352" s="44">
        <f t="shared" si="27"/>
        <v>48.13</v>
      </c>
      <c r="I352" s="44">
        <f t="shared" si="28"/>
        <v>518.07132000000001</v>
      </c>
      <c r="J352" s="45">
        <v>795</v>
      </c>
      <c r="K352" s="45">
        <f t="shared" si="29"/>
        <v>310.29921000000002</v>
      </c>
    </row>
    <row r="353" spans="1:11">
      <c r="A353" s="38">
        <v>348</v>
      </c>
      <c r="B353" s="43" t="s">
        <v>84</v>
      </c>
      <c r="C353" s="43">
        <v>2906</v>
      </c>
      <c r="D353" s="43">
        <v>44.09</v>
      </c>
      <c r="E353" s="43">
        <v>3.96</v>
      </c>
      <c r="F353" s="44">
        <f t="shared" si="30"/>
        <v>474.58476000000002</v>
      </c>
      <c r="G353" s="44">
        <f t="shared" si="30"/>
        <v>42.625439999999998</v>
      </c>
      <c r="H353" s="44">
        <f t="shared" si="27"/>
        <v>48.050000000000004</v>
      </c>
      <c r="I353" s="44">
        <f t="shared" si="28"/>
        <v>517.21019999999999</v>
      </c>
      <c r="J353" s="45">
        <v>795</v>
      </c>
      <c r="K353" s="45">
        <f t="shared" si="29"/>
        <v>308.48009400000001</v>
      </c>
    </row>
    <row r="354" spans="1:11">
      <c r="A354" s="38">
        <v>349</v>
      </c>
      <c r="B354" s="43" t="s">
        <v>84</v>
      </c>
      <c r="C354" s="43">
        <v>2907</v>
      </c>
      <c r="D354" s="44">
        <v>95.39</v>
      </c>
      <c r="E354" s="44">
        <v>3.81</v>
      </c>
      <c r="F354" s="44">
        <f t="shared" si="30"/>
        <v>1026.7779599999999</v>
      </c>
      <c r="G354" s="44">
        <f t="shared" si="30"/>
        <v>41.010839999999995</v>
      </c>
      <c r="H354" s="44">
        <f t="shared" si="27"/>
        <v>99.2</v>
      </c>
      <c r="I354" s="44">
        <f t="shared" si="28"/>
        <v>1067.7887999999998</v>
      </c>
      <c r="J354" s="45">
        <v>1690</v>
      </c>
      <c r="K354" s="45">
        <f t="shared" si="29"/>
        <v>667.40567399999998</v>
      </c>
    </row>
    <row r="355" spans="1:11">
      <c r="A355" s="38">
        <v>350</v>
      </c>
      <c r="B355" s="43" t="s">
        <v>84</v>
      </c>
      <c r="C355" s="43">
        <v>2908</v>
      </c>
      <c r="D355" s="43">
        <v>67.02</v>
      </c>
      <c r="E355" s="43">
        <v>3.94</v>
      </c>
      <c r="F355" s="44">
        <f t="shared" si="30"/>
        <v>721.40327999999988</v>
      </c>
      <c r="G355" s="44">
        <f t="shared" si="30"/>
        <v>42.410159999999998</v>
      </c>
      <c r="H355" s="44">
        <f t="shared" si="27"/>
        <v>70.959999999999994</v>
      </c>
      <c r="I355" s="44">
        <f t="shared" si="28"/>
        <v>763.8134399999999</v>
      </c>
      <c r="J355" s="45">
        <v>1210</v>
      </c>
      <c r="K355" s="45">
        <f t="shared" si="29"/>
        <v>468.91213199999993</v>
      </c>
    </row>
    <row r="356" spans="1:11">
      <c r="A356" s="38">
        <v>351</v>
      </c>
      <c r="B356" s="43" t="s">
        <v>84</v>
      </c>
      <c r="C356" s="43">
        <v>2909</v>
      </c>
      <c r="D356" s="44">
        <v>41.9</v>
      </c>
      <c r="E356" s="43">
        <v>3.57</v>
      </c>
      <c r="F356" s="44">
        <f t="shared" si="30"/>
        <v>451.01159999999993</v>
      </c>
      <c r="G356" s="44">
        <f t="shared" si="30"/>
        <v>38.427479999999996</v>
      </c>
      <c r="H356" s="44">
        <f t="shared" si="27"/>
        <v>45.47</v>
      </c>
      <c r="I356" s="44">
        <f t="shared" si="28"/>
        <v>489.43907999999993</v>
      </c>
      <c r="J356" s="45">
        <v>760</v>
      </c>
      <c r="K356" s="45">
        <f t="shared" si="29"/>
        <v>293.15753999999998</v>
      </c>
    </row>
    <row r="357" spans="1:11">
      <c r="A357" s="38">
        <v>352</v>
      </c>
      <c r="B357" s="43" t="s">
        <v>84</v>
      </c>
      <c r="C357" s="43">
        <v>2910</v>
      </c>
      <c r="D357" s="44">
        <v>41.3</v>
      </c>
      <c r="E357" s="44">
        <v>3.39</v>
      </c>
      <c r="F357" s="44">
        <f t="shared" si="30"/>
        <v>444.55319999999995</v>
      </c>
      <c r="G357" s="44">
        <f t="shared" si="30"/>
        <v>36.489959999999996</v>
      </c>
      <c r="H357" s="44">
        <f t="shared" si="27"/>
        <v>44.69</v>
      </c>
      <c r="I357" s="44">
        <f t="shared" si="28"/>
        <v>481.04315999999994</v>
      </c>
      <c r="J357" s="45">
        <v>750</v>
      </c>
      <c r="K357" s="45">
        <f t="shared" si="29"/>
        <v>288.95957999999996</v>
      </c>
    </row>
    <row r="358" spans="1:11">
      <c r="A358" s="38">
        <v>353</v>
      </c>
      <c r="B358" s="43" t="s">
        <v>84</v>
      </c>
      <c r="C358" s="43">
        <v>2911</v>
      </c>
      <c r="D358" s="44">
        <v>41.3</v>
      </c>
      <c r="E358" s="44">
        <v>3.39</v>
      </c>
      <c r="F358" s="44">
        <f t="shared" si="30"/>
        <v>444.55319999999995</v>
      </c>
      <c r="G358" s="44">
        <f t="shared" si="30"/>
        <v>36.489959999999996</v>
      </c>
      <c r="H358" s="44">
        <f t="shared" si="27"/>
        <v>44.69</v>
      </c>
      <c r="I358" s="44">
        <f t="shared" si="28"/>
        <v>481.04315999999994</v>
      </c>
      <c r="J358" s="45">
        <v>750</v>
      </c>
      <c r="K358" s="45">
        <f t="shared" si="29"/>
        <v>288.95957999999996</v>
      </c>
    </row>
    <row r="359" spans="1:11">
      <c r="A359" s="38">
        <v>354</v>
      </c>
      <c r="B359" s="43" t="s">
        <v>84</v>
      </c>
      <c r="C359" s="43">
        <v>2912</v>
      </c>
      <c r="D359" s="44">
        <v>41.9</v>
      </c>
      <c r="E359" s="43">
        <v>3.57</v>
      </c>
      <c r="F359" s="44">
        <f t="shared" si="30"/>
        <v>451.01159999999993</v>
      </c>
      <c r="G359" s="44">
        <f t="shared" si="30"/>
        <v>38.427479999999996</v>
      </c>
      <c r="H359" s="44">
        <f t="shared" si="27"/>
        <v>45.47</v>
      </c>
      <c r="I359" s="44">
        <f t="shared" si="28"/>
        <v>489.43907999999993</v>
      </c>
      <c r="J359" s="45">
        <v>760</v>
      </c>
      <c r="K359" s="45">
        <f t="shared" si="29"/>
        <v>293.15753999999998</v>
      </c>
    </row>
    <row r="360" spans="1:11">
      <c r="A360" s="38">
        <v>355</v>
      </c>
      <c r="B360" s="43" t="s">
        <v>84</v>
      </c>
      <c r="C360" s="43">
        <v>3002</v>
      </c>
      <c r="D360" s="43">
        <v>95.39</v>
      </c>
      <c r="E360" s="43">
        <v>3.81</v>
      </c>
      <c r="F360" s="44">
        <f t="shared" si="30"/>
        <v>1026.7779599999999</v>
      </c>
      <c r="G360" s="44">
        <f t="shared" si="30"/>
        <v>41.010839999999995</v>
      </c>
      <c r="H360" s="44">
        <f t="shared" si="27"/>
        <v>99.2</v>
      </c>
      <c r="I360" s="44">
        <f t="shared" si="28"/>
        <v>1067.7887999999998</v>
      </c>
      <c r="J360" s="45">
        <v>1690</v>
      </c>
      <c r="K360" s="45">
        <f t="shared" si="29"/>
        <v>667.40567399999998</v>
      </c>
    </row>
    <row r="361" spans="1:11">
      <c r="A361" s="38">
        <v>356</v>
      </c>
      <c r="B361" s="43" t="s">
        <v>84</v>
      </c>
      <c r="C361" s="43">
        <v>3003</v>
      </c>
      <c r="D361" s="43">
        <v>44.09</v>
      </c>
      <c r="E361" s="43">
        <v>3.96</v>
      </c>
      <c r="F361" s="44">
        <f t="shared" si="30"/>
        <v>474.58476000000002</v>
      </c>
      <c r="G361" s="44">
        <f t="shared" si="30"/>
        <v>42.625439999999998</v>
      </c>
      <c r="H361" s="44">
        <f t="shared" si="27"/>
        <v>48.050000000000004</v>
      </c>
      <c r="I361" s="44">
        <f t="shared" si="28"/>
        <v>517.21019999999999</v>
      </c>
      <c r="J361" s="45">
        <v>795</v>
      </c>
      <c r="K361" s="45">
        <f t="shared" si="29"/>
        <v>308.48009400000001</v>
      </c>
    </row>
    <row r="362" spans="1:11">
      <c r="A362" s="38">
        <v>357</v>
      </c>
      <c r="B362" s="43" t="s">
        <v>84</v>
      </c>
      <c r="C362" s="43">
        <v>3006</v>
      </c>
      <c r="D362" s="43">
        <v>44.09</v>
      </c>
      <c r="E362" s="43">
        <v>3.96</v>
      </c>
      <c r="F362" s="44">
        <f t="shared" si="30"/>
        <v>474.58476000000002</v>
      </c>
      <c r="G362" s="44">
        <f t="shared" si="30"/>
        <v>42.625439999999998</v>
      </c>
      <c r="H362" s="44">
        <f t="shared" si="27"/>
        <v>48.050000000000004</v>
      </c>
      <c r="I362" s="44">
        <f t="shared" si="28"/>
        <v>517.21019999999999</v>
      </c>
      <c r="J362" s="45">
        <v>795</v>
      </c>
      <c r="K362" s="45">
        <f t="shared" si="29"/>
        <v>308.48009400000001</v>
      </c>
    </row>
    <row r="363" spans="1:11">
      <c r="A363" s="38">
        <v>358</v>
      </c>
      <c r="B363" s="43" t="s">
        <v>84</v>
      </c>
      <c r="C363" s="43">
        <v>3007</v>
      </c>
      <c r="D363" s="44">
        <v>95.39</v>
      </c>
      <c r="E363" s="44">
        <v>3.81</v>
      </c>
      <c r="F363" s="44">
        <f t="shared" si="30"/>
        <v>1026.7779599999999</v>
      </c>
      <c r="G363" s="44">
        <f t="shared" si="30"/>
        <v>41.010839999999995</v>
      </c>
      <c r="H363" s="44">
        <f t="shared" si="27"/>
        <v>99.2</v>
      </c>
      <c r="I363" s="44">
        <f t="shared" si="28"/>
        <v>1067.7887999999998</v>
      </c>
      <c r="J363" s="45">
        <v>1690</v>
      </c>
      <c r="K363" s="45">
        <f t="shared" si="29"/>
        <v>667.40567399999998</v>
      </c>
    </row>
    <row r="364" spans="1:11">
      <c r="A364" s="38">
        <v>359</v>
      </c>
      <c r="B364" s="43" t="s">
        <v>84</v>
      </c>
      <c r="C364" s="43">
        <v>3009</v>
      </c>
      <c r="D364" s="44">
        <v>41.9</v>
      </c>
      <c r="E364" s="43">
        <v>3.57</v>
      </c>
      <c r="F364" s="44">
        <f t="shared" si="30"/>
        <v>451.01159999999993</v>
      </c>
      <c r="G364" s="44">
        <f t="shared" si="30"/>
        <v>38.427479999999996</v>
      </c>
      <c r="H364" s="44">
        <f t="shared" si="27"/>
        <v>45.47</v>
      </c>
      <c r="I364" s="44">
        <f t="shared" si="28"/>
        <v>489.43907999999993</v>
      </c>
      <c r="J364" s="45">
        <v>760</v>
      </c>
      <c r="K364" s="45">
        <f t="shared" si="29"/>
        <v>293.15753999999998</v>
      </c>
    </row>
    <row r="365" spans="1:11">
      <c r="A365" s="38">
        <v>360</v>
      </c>
      <c r="B365" s="43" t="s">
        <v>84</v>
      </c>
      <c r="C365" s="43">
        <v>3010</v>
      </c>
      <c r="D365" s="44">
        <v>41.3</v>
      </c>
      <c r="E365" s="44">
        <v>3.39</v>
      </c>
      <c r="F365" s="44">
        <f t="shared" si="30"/>
        <v>444.55319999999995</v>
      </c>
      <c r="G365" s="44">
        <f t="shared" si="30"/>
        <v>36.489959999999996</v>
      </c>
      <c r="H365" s="44">
        <f t="shared" si="27"/>
        <v>44.69</v>
      </c>
      <c r="I365" s="44">
        <f t="shared" si="28"/>
        <v>481.04315999999994</v>
      </c>
      <c r="J365" s="45">
        <v>750</v>
      </c>
      <c r="K365" s="45">
        <f t="shared" si="29"/>
        <v>288.95957999999996</v>
      </c>
    </row>
    <row r="366" spans="1:11">
      <c r="A366" s="38">
        <v>361</v>
      </c>
      <c r="B366" s="43" t="s">
        <v>84</v>
      </c>
      <c r="C366" s="43">
        <v>3011</v>
      </c>
      <c r="D366" s="44">
        <v>41.3</v>
      </c>
      <c r="E366" s="44">
        <v>3.39</v>
      </c>
      <c r="F366" s="44">
        <f t="shared" si="30"/>
        <v>444.55319999999995</v>
      </c>
      <c r="G366" s="44">
        <f t="shared" si="30"/>
        <v>36.489959999999996</v>
      </c>
      <c r="H366" s="44">
        <f t="shared" si="27"/>
        <v>44.69</v>
      </c>
      <c r="I366" s="44">
        <f t="shared" si="28"/>
        <v>481.04315999999994</v>
      </c>
      <c r="J366" s="45">
        <v>750</v>
      </c>
      <c r="K366" s="45">
        <f t="shared" si="29"/>
        <v>288.95957999999996</v>
      </c>
    </row>
    <row r="367" spans="1:11">
      <c r="A367" s="38">
        <v>362</v>
      </c>
      <c r="B367" s="43" t="s">
        <v>84</v>
      </c>
      <c r="C367" s="43">
        <v>3012</v>
      </c>
      <c r="D367" s="44">
        <v>41.9</v>
      </c>
      <c r="E367" s="43">
        <v>3.57</v>
      </c>
      <c r="F367" s="44">
        <f t="shared" si="30"/>
        <v>451.01159999999993</v>
      </c>
      <c r="G367" s="44">
        <f t="shared" si="30"/>
        <v>38.427479999999996</v>
      </c>
      <c r="H367" s="44">
        <f t="shared" si="27"/>
        <v>45.47</v>
      </c>
      <c r="I367" s="44">
        <f t="shared" si="28"/>
        <v>489.43907999999993</v>
      </c>
      <c r="J367" s="45">
        <v>760</v>
      </c>
      <c r="K367" s="45">
        <f t="shared" si="29"/>
        <v>293.15753999999998</v>
      </c>
    </row>
    <row r="368" spans="1:11">
      <c r="A368" s="38"/>
      <c r="B368" s="38"/>
      <c r="C368" s="43"/>
      <c r="D368" s="52">
        <f>SUM(D24:D367)</f>
        <v>19280.569999999992</v>
      </c>
      <c r="E368" s="52">
        <f>SUM(E24:E367)</f>
        <v>1286.200000000001</v>
      </c>
      <c r="F368" s="52">
        <f>SUM(F24:F367)</f>
        <v>207536.05547999975</v>
      </c>
      <c r="G368" s="52">
        <f>SUM(G24:G367)</f>
        <v>13844.656800000037</v>
      </c>
      <c r="H368" s="47">
        <f t="shared" si="27"/>
        <v>20566.769999999993</v>
      </c>
      <c r="I368" s="47">
        <f>F368+G368</f>
        <v>221380.71227999977</v>
      </c>
      <c r="J368" s="52">
        <f>SUM(J24:J367)</f>
        <v>346315</v>
      </c>
      <c r="K368" s="52"/>
    </row>
    <row r="378" spans="6:6">
      <c r="F378" s="57"/>
    </row>
    <row r="379" spans="6:6">
      <c r="F379" s="58"/>
    </row>
  </sheetData>
  <mergeCells count="1">
    <mergeCell ref="B4:K4"/>
  </mergeCells>
  <pageMargins left="7.8472222222222193E-2" right="0.23611111111111099" top="0.31458333333333299" bottom="0.51180555555555596" header="0.35416666666666702" footer="0.70833333333333304"/>
  <pageSetup paperSize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opLeftCell="C1" workbookViewId="0">
      <selection activeCell="C2" sqref="C2:E7"/>
    </sheetView>
  </sheetViews>
  <sheetFormatPr defaultColWidth="8.85546875" defaultRowHeight="15"/>
  <cols>
    <col min="1" max="1" width="0" style="63" hidden="1" customWidth="1"/>
    <col min="2" max="2" width="0" style="88" hidden="1" customWidth="1"/>
    <col min="3" max="3" width="16.7109375" style="63" customWidth="1"/>
    <col min="4" max="4" width="18.42578125" style="63" customWidth="1"/>
    <col min="5" max="5" width="17.85546875" style="63" customWidth="1"/>
    <col min="6" max="6" width="12.42578125" style="63" bestFit="1" customWidth="1"/>
    <col min="7" max="7" width="15.28515625" style="63" customWidth="1"/>
    <col min="8" max="8" width="14.7109375" style="64" bestFit="1" customWidth="1"/>
    <col min="9" max="16384" width="8.85546875" style="63"/>
  </cols>
  <sheetData>
    <row r="1" spans="2:11" ht="15.75">
      <c r="B1" s="63"/>
      <c r="C1" s="521" t="s">
        <v>128</v>
      </c>
      <c r="D1" s="521"/>
      <c r="E1" s="521"/>
      <c r="F1" s="521"/>
      <c r="G1" s="521"/>
    </row>
    <row r="2" spans="2:11" s="381" customFormat="1" ht="31.5">
      <c r="C2" s="382" t="s">
        <v>0</v>
      </c>
      <c r="D2" s="382" t="s">
        <v>135</v>
      </c>
      <c r="E2" s="382" t="s">
        <v>131</v>
      </c>
      <c r="F2" s="382" t="s">
        <v>129</v>
      </c>
      <c r="G2" s="383" t="s">
        <v>1</v>
      </c>
    </row>
    <row r="3" spans="2:11" ht="15.75">
      <c r="B3" s="63"/>
      <c r="C3" s="65" t="s">
        <v>87</v>
      </c>
      <c r="D3" s="66">
        <v>419</v>
      </c>
      <c r="E3" s="67">
        <v>11</v>
      </c>
      <c r="F3" s="68">
        <v>11000</v>
      </c>
      <c r="G3" s="98">
        <f>E3*D3*F3/10000000</f>
        <v>5.0698999999999996</v>
      </c>
      <c r="H3" s="69"/>
    </row>
    <row r="4" spans="2:11" ht="15.75">
      <c r="B4" s="63"/>
      <c r="C4" s="70" t="s">
        <v>88</v>
      </c>
      <c r="D4" s="71">
        <v>623</v>
      </c>
      <c r="E4" s="72">
        <v>13</v>
      </c>
      <c r="F4" s="73">
        <v>11000</v>
      </c>
      <c r="G4" s="99">
        <f>E4*D4*F4/10000000</f>
        <v>8.9088999999999992</v>
      </c>
      <c r="H4" s="69"/>
    </row>
    <row r="5" spans="2:11" ht="15.75">
      <c r="B5" s="63"/>
      <c r="C5" s="74" t="s">
        <v>232</v>
      </c>
      <c r="D5" s="75">
        <v>707</v>
      </c>
      <c r="E5" s="76">
        <v>26</v>
      </c>
      <c r="F5" s="77">
        <v>11000</v>
      </c>
      <c r="G5" s="100">
        <f>E5*D5*F5/10000000</f>
        <v>20.220199999999998</v>
      </c>
      <c r="H5" s="69"/>
    </row>
    <row r="6" spans="2:11" ht="15.75">
      <c r="B6" s="63"/>
      <c r="C6" s="78" t="s">
        <v>89</v>
      </c>
      <c r="D6" s="79">
        <v>243</v>
      </c>
      <c r="E6" s="80">
        <v>6</v>
      </c>
      <c r="F6" s="81">
        <v>25000</v>
      </c>
      <c r="G6" s="101">
        <f>E6*D6*F6/10000000</f>
        <v>3.645</v>
      </c>
      <c r="H6" s="69"/>
    </row>
    <row r="7" spans="2:11" ht="15.75">
      <c r="B7" s="63"/>
      <c r="C7" s="82" t="s">
        <v>132</v>
      </c>
      <c r="D7" s="83">
        <v>1224</v>
      </c>
      <c r="E7" s="84">
        <v>4</v>
      </c>
      <c r="F7" s="85">
        <v>20000</v>
      </c>
      <c r="G7" s="102">
        <f>E7*D7*F7/10000000</f>
        <v>9.7919999999999998</v>
      </c>
      <c r="H7" s="69"/>
    </row>
    <row r="8" spans="2:11" ht="15.75">
      <c r="B8" s="63"/>
      <c r="C8" s="522" t="s">
        <v>16</v>
      </c>
      <c r="D8" s="522"/>
      <c r="E8" s="522"/>
      <c r="F8" s="522"/>
      <c r="G8" s="103">
        <f>SUM(G3:G7)</f>
        <v>47.636000000000003</v>
      </c>
      <c r="H8" s="86"/>
    </row>
    <row r="9" spans="2:11">
      <c r="B9" s="63"/>
      <c r="G9" s="87"/>
    </row>
    <row r="10" spans="2:11" ht="15.75">
      <c r="C10" s="523" t="s">
        <v>57</v>
      </c>
      <c r="D10" s="524"/>
      <c r="E10" s="524"/>
      <c r="F10" s="524"/>
      <c r="G10" s="524"/>
      <c r="H10" s="525"/>
    </row>
    <row r="11" spans="2:11" ht="47.25">
      <c r="C11" s="89" t="s">
        <v>21</v>
      </c>
      <c r="D11" s="89" t="s">
        <v>20</v>
      </c>
      <c r="E11" s="90" t="s">
        <v>17</v>
      </c>
      <c r="F11" s="91" t="s">
        <v>18</v>
      </c>
      <c r="G11" s="104" t="s">
        <v>19</v>
      </c>
      <c r="H11" s="105" t="s">
        <v>130</v>
      </c>
    </row>
    <row r="12" spans="2:11" ht="15.75">
      <c r="C12" s="92">
        <v>1</v>
      </c>
      <c r="D12" s="93">
        <v>44986</v>
      </c>
      <c r="E12" s="94" t="s">
        <v>93</v>
      </c>
      <c r="F12" s="95">
        <v>0.1</v>
      </c>
      <c r="G12" s="106">
        <f>SUM($F$12:F12)</f>
        <v>0.1</v>
      </c>
      <c r="H12" s="107" t="str">
        <f>IF(MONTH(D12)&lt;4,YEAR(D12)-1 &amp; "-" &amp; YEAR(D12),YEAR(D12) &amp; "-" &amp; YEAR(D12)+1)</f>
        <v>2022-2023</v>
      </c>
      <c r="K12" s="96"/>
    </row>
    <row r="13" spans="2:11" ht="15.75">
      <c r="C13" s="92">
        <v>2</v>
      </c>
      <c r="D13" s="93">
        <v>45078</v>
      </c>
      <c r="E13" s="94" t="s">
        <v>228</v>
      </c>
      <c r="F13" s="95">
        <v>0.15</v>
      </c>
      <c r="G13" s="106">
        <f>SUM($F$12:F13)</f>
        <v>0.25</v>
      </c>
      <c r="H13" s="107" t="str">
        <f t="shared" ref="H13:H40" si="0">IF(MONTH(D13)&lt;4,YEAR(D13)-1 &amp; "-" &amp; YEAR(D13),YEAR(D13) &amp; "-" &amp; YEAR(D13)+1)</f>
        <v>2023-2024</v>
      </c>
    </row>
    <row r="14" spans="2:11" ht="15.75">
      <c r="C14" s="92">
        <v>3</v>
      </c>
      <c r="D14" s="93">
        <v>45170</v>
      </c>
      <c r="E14" s="94" t="s">
        <v>217</v>
      </c>
      <c r="F14" s="95">
        <v>0.05</v>
      </c>
      <c r="G14" s="106">
        <f>SUM($F$12:F14)</f>
        <v>0.3</v>
      </c>
      <c r="H14" s="107" t="str">
        <f t="shared" si="0"/>
        <v>2023-2024</v>
      </c>
    </row>
    <row r="15" spans="2:11" ht="15.75">
      <c r="C15" s="92">
        <v>4</v>
      </c>
      <c r="D15" s="93">
        <v>45261</v>
      </c>
      <c r="E15" s="94" t="s">
        <v>90</v>
      </c>
      <c r="F15" s="95">
        <v>0.05</v>
      </c>
      <c r="G15" s="106">
        <f>SUM($F$12:F15)</f>
        <v>0.35</v>
      </c>
      <c r="H15" s="107" t="str">
        <f t="shared" si="0"/>
        <v>2023-2024</v>
      </c>
    </row>
    <row r="16" spans="2:11" ht="15.75">
      <c r="C16" s="92">
        <v>5</v>
      </c>
      <c r="D16" s="93">
        <v>45352</v>
      </c>
      <c r="E16" s="94" t="s">
        <v>218</v>
      </c>
      <c r="F16" s="95">
        <v>0.05</v>
      </c>
      <c r="G16" s="106">
        <f>SUM($F$12:F16)</f>
        <v>0.39999999999999997</v>
      </c>
      <c r="H16" s="107" t="str">
        <f t="shared" si="0"/>
        <v>2023-2024</v>
      </c>
    </row>
    <row r="17" spans="3:8" ht="15.75">
      <c r="C17" s="92">
        <v>6</v>
      </c>
      <c r="D17" s="93">
        <v>45444</v>
      </c>
      <c r="E17" s="94" t="s">
        <v>91</v>
      </c>
      <c r="F17" s="95">
        <v>0.05</v>
      </c>
      <c r="G17" s="106">
        <f>SUM($F$12:F17)</f>
        <v>0.44999999999999996</v>
      </c>
      <c r="H17" s="107" t="str">
        <f t="shared" si="0"/>
        <v>2024-2025</v>
      </c>
    </row>
    <row r="18" spans="3:8" ht="15.75">
      <c r="C18" s="92">
        <v>7</v>
      </c>
      <c r="D18" s="93">
        <v>45536</v>
      </c>
      <c r="E18" s="94" t="s">
        <v>219</v>
      </c>
      <c r="F18" s="95">
        <v>0.05</v>
      </c>
      <c r="G18" s="106">
        <f>SUM($F$12:F18)</f>
        <v>0.49999999999999994</v>
      </c>
      <c r="H18" s="107" t="str">
        <f t="shared" si="0"/>
        <v>2024-2025</v>
      </c>
    </row>
    <row r="19" spans="3:8" ht="15.75">
      <c r="C19" s="92">
        <v>8</v>
      </c>
      <c r="D19" s="93">
        <v>45627</v>
      </c>
      <c r="E19" s="94" t="s">
        <v>229</v>
      </c>
      <c r="F19" s="95">
        <v>0.05</v>
      </c>
      <c r="G19" s="106">
        <f>SUM($F$12:F19)</f>
        <v>0.54999999999999993</v>
      </c>
      <c r="H19" s="107" t="str">
        <f t="shared" si="0"/>
        <v>2024-2025</v>
      </c>
    </row>
    <row r="20" spans="3:8" ht="15.75">
      <c r="C20" s="92">
        <v>9</v>
      </c>
      <c r="D20" s="93">
        <v>45717</v>
      </c>
      <c r="E20" s="94" t="s">
        <v>220</v>
      </c>
      <c r="F20" s="95">
        <v>0.1</v>
      </c>
      <c r="G20" s="106">
        <f>SUM($F$12:F20)</f>
        <v>0.64999999999999991</v>
      </c>
      <c r="H20" s="107" t="str">
        <f t="shared" si="0"/>
        <v>2024-2025</v>
      </c>
    </row>
    <row r="21" spans="3:8" ht="15.75">
      <c r="C21" s="92">
        <v>10</v>
      </c>
      <c r="D21" s="93">
        <v>45809</v>
      </c>
      <c r="E21" s="94" t="s">
        <v>230</v>
      </c>
      <c r="F21" s="95">
        <v>0.1</v>
      </c>
      <c r="G21" s="106">
        <f>SUM($F$12:F21)</f>
        <v>0.74999999999999989</v>
      </c>
      <c r="H21" s="107" t="str">
        <f t="shared" si="0"/>
        <v>2025-2026</v>
      </c>
    </row>
    <row r="22" spans="3:8" ht="15.75">
      <c r="C22" s="92">
        <v>11</v>
      </c>
      <c r="D22" s="93">
        <v>45901</v>
      </c>
      <c r="E22" s="94" t="s">
        <v>231</v>
      </c>
      <c r="F22" s="95">
        <v>0.25</v>
      </c>
      <c r="G22" s="106">
        <f>SUM($F$12:F22)</f>
        <v>0.99999999999999989</v>
      </c>
      <c r="H22" s="107" t="str">
        <f t="shared" si="0"/>
        <v>2025-2026</v>
      </c>
    </row>
    <row r="23" spans="3:8" ht="15.75">
      <c r="C23" s="92">
        <v>12</v>
      </c>
      <c r="D23" s="93">
        <v>45992</v>
      </c>
      <c r="E23" s="94" t="s">
        <v>231</v>
      </c>
      <c r="F23" s="95">
        <v>0</v>
      </c>
      <c r="G23" s="106">
        <f>SUM($F$12:F23)</f>
        <v>0.99999999999999989</v>
      </c>
      <c r="H23" s="107" t="str">
        <f t="shared" si="0"/>
        <v>2025-2026</v>
      </c>
    </row>
    <row r="24" spans="3:8" ht="15.75">
      <c r="C24" s="92">
        <v>13</v>
      </c>
      <c r="D24" s="93">
        <v>46082</v>
      </c>
      <c r="E24" s="94" t="s">
        <v>231</v>
      </c>
      <c r="F24" s="95">
        <v>0</v>
      </c>
      <c r="G24" s="106">
        <f>SUM($F$12:F24)</f>
        <v>0.99999999999999989</v>
      </c>
      <c r="H24" s="107" t="str">
        <f t="shared" si="0"/>
        <v>2025-2026</v>
      </c>
    </row>
    <row r="25" spans="3:8" ht="15.75">
      <c r="C25" s="92">
        <v>14</v>
      </c>
      <c r="D25" s="93">
        <v>46174</v>
      </c>
      <c r="E25" s="94" t="s">
        <v>231</v>
      </c>
      <c r="F25" s="95">
        <v>0</v>
      </c>
      <c r="G25" s="106">
        <f>SUM($F$12:F25)</f>
        <v>0.99999999999999989</v>
      </c>
      <c r="H25" s="107" t="str">
        <f t="shared" si="0"/>
        <v>2026-2027</v>
      </c>
    </row>
    <row r="26" spans="3:8" ht="15.75">
      <c r="C26" s="92">
        <v>15</v>
      </c>
      <c r="D26" s="93">
        <v>46266</v>
      </c>
      <c r="E26" s="94"/>
      <c r="F26" s="95">
        <v>0</v>
      </c>
      <c r="G26" s="106">
        <f>SUM($F$12:F26)</f>
        <v>0.99999999999999989</v>
      </c>
      <c r="H26" s="107" t="str">
        <f t="shared" si="0"/>
        <v>2026-2027</v>
      </c>
    </row>
    <row r="27" spans="3:8" ht="15.75">
      <c r="C27" s="92">
        <v>16</v>
      </c>
      <c r="D27" s="93">
        <v>46357</v>
      </c>
      <c r="E27" s="94"/>
      <c r="F27" s="95">
        <v>0</v>
      </c>
      <c r="G27" s="106">
        <f>SUM($F$12:F27)</f>
        <v>0.99999999999999989</v>
      </c>
      <c r="H27" s="107" t="str">
        <f t="shared" si="0"/>
        <v>2026-2027</v>
      </c>
    </row>
    <row r="28" spans="3:8" ht="15.75">
      <c r="C28" s="92">
        <v>17</v>
      </c>
      <c r="D28" s="93">
        <v>46447</v>
      </c>
      <c r="E28" s="94"/>
      <c r="F28" s="95">
        <v>0</v>
      </c>
      <c r="G28" s="106">
        <f>SUM($F$12:F28)</f>
        <v>0.99999999999999989</v>
      </c>
      <c r="H28" s="107" t="str">
        <f t="shared" si="0"/>
        <v>2026-2027</v>
      </c>
    </row>
    <row r="29" spans="3:8" ht="15.75">
      <c r="C29" s="92">
        <v>18</v>
      </c>
      <c r="D29" s="93">
        <v>46539</v>
      </c>
      <c r="E29" s="94"/>
      <c r="F29" s="95">
        <v>0</v>
      </c>
      <c r="G29" s="106">
        <f>SUM($F$12:F29)</f>
        <v>0.99999999999999989</v>
      </c>
      <c r="H29" s="107" t="str">
        <f t="shared" si="0"/>
        <v>2027-2028</v>
      </c>
    </row>
    <row r="30" spans="3:8" ht="15.75">
      <c r="C30" s="92">
        <v>19</v>
      </c>
      <c r="D30" s="93">
        <v>46631</v>
      </c>
      <c r="E30" s="94"/>
      <c r="F30" s="95">
        <v>0</v>
      </c>
      <c r="G30" s="106">
        <f>SUM($F$12:F30)</f>
        <v>0.99999999999999989</v>
      </c>
      <c r="H30" s="107" t="str">
        <f t="shared" si="0"/>
        <v>2027-2028</v>
      </c>
    </row>
    <row r="31" spans="3:8" ht="15.75">
      <c r="C31" s="92">
        <v>20</v>
      </c>
      <c r="D31" s="93">
        <v>46722</v>
      </c>
      <c r="E31" s="94"/>
      <c r="F31" s="95">
        <v>0</v>
      </c>
      <c r="G31" s="106">
        <f>SUM($F$12:F31)</f>
        <v>0.99999999999999989</v>
      </c>
      <c r="H31" s="107" t="str">
        <f t="shared" si="0"/>
        <v>2027-2028</v>
      </c>
    </row>
    <row r="32" spans="3:8" ht="15.75">
      <c r="C32" s="92">
        <v>21</v>
      </c>
      <c r="D32" s="93">
        <v>46813</v>
      </c>
      <c r="E32" s="97"/>
      <c r="F32" s="95">
        <v>0</v>
      </c>
      <c r="G32" s="106">
        <f>SUM($F$12:F32)</f>
        <v>0.99999999999999989</v>
      </c>
      <c r="H32" s="107" t="str">
        <f t="shared" si="0"/>
        <v>2027-2028</v>
      </c>
    </row>
    <row r="33" spans="3:8" ht="15.75">
      <c r="C33" s="92">
        <v>22</v>
      </c>
      <c r="D33" s="93">
        <v>46905</v>
      </c>
      <c r="E33" s="94"/>
      <c r="F33" s="95">
        <v>0</v>
      </c>
      <c r="G33" s="106">
        <f>SUM($F$12:F33)</f>
        <v>0.99999999999999989</v>
      </c>
      <c r="H33" s="107" t="str">
        <f t="shared" si="0"/>
        <v>2028-2029</v>
      </c>
    </row>
    <row r="34" spans="3:8" ht="15.75">
      <c r="C34" s="92">
        <v>23</v>
      </c>
      <c r="D34" s="93">
        <v>46997</v>
      </c>
      <c r="E34" s="94"/>
      <c r="F34" s="95">
        <v>0</v>
      </c>
      <c r="G34" s="106">
        <f>SUM($F$12:F34)</f>
        <v>0.99999999999999989</v>
      </c>
      <c r="H34" s="107" t="str">
        <f t="shared" si="0"/>
        <v>2028-2029</v>
      </c>
    </row>
    <row r="35" spans="3:8" ht="15.75">
      <c r="C35" s="92">
        <v>24</v>
      </c>
      <c r="D35" s="93">
        <v>47088</v>
      </c>
      <c r="E35" s="94"/>
      <c r="F35" s="95">
        <v>0</v>
      </c>
      <c r="G35" s="106">
        <f>SUM($F$12:F35)</f>
        <v>0.99999999999999989</v>
      </c>
      <c r="H35" s="107" t="str">
        <f t="shared" si="0"/>
        <v>2028-2029</v>
      </c>
    </row>
    <row r="36" spans="3:8" ht="15.75">
      <c r="C36" s="92">
        <v>25</v>
      </c>
      <c r="D36" s="93">
        <v>47178</v>
      </c>
      <c r="E36" s="94"/>
      <c r="F36" s="95">
        <v>0</v>
      </c>
      <c r="G36" s="106">
        <f>SUM($F$12:F36)</f>
        <v>0.99999999999999989</v>
      </c>
      <c r="H36" s="107" t="str">
        <f t="shared" si="0"/>
        <v>2028-2029</v>
      </c>
    </row>
    <row r="37" spans="3:8" ht="15.75">
      <c r="C37" s="92">
        <v>26</v>
      </c>
      <c r="D37" s="93">
        <v>47270</v>
      </c>
      <c r="E37" s="94"/>
      <c r="F37" s="95">
        <v>0</v>
      </c>
      <c r="G37" s="106">
        <f>SUM($F$12:F37)</f>
        <v>0.99999999999999989</v>
      </c>
      <c r="H37" s="107" t="str">
        <f t="shared" si="0"/>
        <v>2029-2030</v>
      </c>
    </row>
    <row r="38" spans="3:8" ht="15.75">
      <c r="C38" s="92">
        <v>27</v>
      </c>
      <c r="D38" s="93">
        <v>47362</v>
      </c>
      <c r="E38" s="94"/>
      <c r="F38" s="95">
        <v>0</v>
      </c>
      <c r="G38" s="106">
        <f>SUM($F$12:F38)</f>
        <v>0.99999999999999989</v>
      </c>
      <c r="H38" s="107" t="str">
        <f t="shared" si="0"/>
        <v>2029-2030</v>
      </c>
    </row>
    <row r="39" spans="3:8" ht="15.75">
      <c r="C39" s="92">
        <v>28</v>
      </c>
      <c r="D39" s="93">
        <v>47453</v>
      </c>
      <c r="E39" s="94"/>
      <c r="F39" s="95">
        <v>0</v>
      </c>
      <c r="G39" s="106">
        <f>SUM($F$12:F39)</f>
        <v>0.99999999999999989</v>
      </c>
      <c r="H39" s="107" t="str">
        <f t="shared" si="0"/>
        <v>2029-2030</v>
      </c>
    </row>
    <row r="40" spans="3:8" ht="15.75">
      <c r="C40" s="92">
        <v>29</v>
      </c>
      <c r="D40" s="93">
        <v>47543</v>
      </c>
      <c r="E40" s="94"/>
      <c r="F40" s="95">
        <v>0</v>
      </c>
      <c r="G40" s="106">
        <f>SUM($F$12:F40)</f>
        <v>0.99999999999999989</v>
      </c>
      <c r="H40" s="107" t="str">
        <f t="shared" si="0"/>
        <v>2029-2030</v>
      </c>
    </row>
  </sheetData>
  <mergeCells count="3">
    <mergeCell ref="C1:G1"/>
    <mergeCell ref="C8:F8"/>
    <mergeCell ref="C10:H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"/>
  <sheetViews>
    <sheetView topLeftCell="D1" workbookViewId="0">
      <selection activeCell="L24" sqref="L24"/>
    </sheetView>
  </sheetViews>
  <sheetFormatPr defaultColWidth="12" defaultRowHeight="15"/>
  <cols>
    <col min="1" max="2" width="12" style="64"/>
    <col min="3" max="3" width="14.7109375" style="64" bestFit="1" customWidth="1"/>
    <col min="4" max="4" width="28.85546875" style="64" bestFit="1" customWidth="1"/>
    <col min="5" max="5" width="7.7109375" style="64" bestFit="1" customWidth="1"/>
    <col min="6" max="6" width="8.28515625" style="64" bestFit="1" customWidth="1"/>
    <col min="7" max="7" width="15.85546875" style="64" bestFit="1" customWidth="1"/>
    <col min="8" max="8" width="8.42578125" style="64" bestFit="1" customWidth="1"/>
    <col min="9" max="9" width="8.85546875" style="64" bestFit="1" customWidth="1"/>
    <col min="10" max="10" width="10.85546875" style="63" bestFit="1" customWidth="1"/>
    <col min="11" max="11" width="11.85546875" style="63" bestFit="1" customWidth="1"/>
    <col min="12" max="17" width="12" style="63"/>
    <col min="18" max="18" width="13.42578125" style="63" customWidth="1"/>
    <col min="19" max="42" width="12" style="63"/>
    <col min="43" max="43" width="12" style="64"/>
    <col min="44" max="16384" width="12" style="63"/>
  </cols>
  <sheetData>
    <row r="1" spans="1:18" ht="15.75">
      <c r="A1" s="521" t="s">
        <v>133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</row>
    <row r="2" spans="1:18" ht="47.25">
      <c r="A2" s="121" t="s">
        <v>21</v>
      </c>
      <c r="B2" s="122" t="s">
        <v>20</v>
      </c>
      <c r="C2" s="123" t="s">
        <v>130</v>
      </c>
      <c r="D2" s="108" t="s">
        <v>22</v>
      </c>
      <c r="E2" s="109" t="str">
        <f>'Implementation and Revenue'!C3</f>
        <v>1BHK</v>
      </c>
      <c r="F2" s="109" t="str">
        <f>'Implementation and Revenue'!C4</f>
        <v>2 BHK</v>
      </c>
      <c r="G2" s="109" t="str">
        <f>'Implementation and Revenue'!C5</f>
        <v>2  Large BHK</v>
      </c>
      <c r="H2" s="109" t="str">
        <f>'Implementation and Revenue'!C6</f>
        <v>Shops</v>
      </c>
      <c r="I2" s="109" t="str">
        <f>'Implementation and Revenue'!C7</f>
        <v>Offices</v>
      </c>
      <c r="J2" s="126" t="s">
        <v>53</v>
      </c>
      <c r="K2" s="126" t="s">
        <v>54</v>
      </c>
      <c r="L2" s="127" t="s">
        <v>48</v>
      </c>
      <c r="M2" s="127" t="s">
        <v>49</v>
      </c>
      <c r="N2" s="128" t="s">
        <v>50</v>
      </c>
      <c r="O2" s="129" t="s">
        <v>51</v>
      </c>
      <c r="P2" s="130" t="s">
        <v>134</v>
      </c>
      <c r="Q2" s="131" t="s">
        <v>52</v>
      </c>
      <c r="R2" s="316"/>
    </row>
    <row r="3" spans="1:18" ht="18.95" customHeight="1">
      <c r="A3" s="121">
        <v>1</v>
      </c>
      <c r="B3" s="124">
        <f>'Implementation and Revenue'!D12</f>
        <v>44986</v>
      </c>
      <c r="C3" s="125" t="str">
        <f>IF(MONTH(B3)&lt;4,YEAR(B3)-1 &amp; "-" &amp; YEAR(B3),YEAR(B3) &amp; "-" &amp; YEAR(B3)+1)</f>
        <v>2022-2023</v>
      </c>
      <c r="D3" s="110" t="str">
        <f>'Implementation and Revenue'!E12</f>
        <v>Excavation &amp; Piling</v>
      </c>
      <c r="E3" s="111"/>
      <c r="F3" s="111"/>
      <c r="G3" s="111"/>
      <c r="H3" s="111"/>
      <c r="I3" s="111"/>
      <c r="J3" s="132">
        <f>(VLOOKUP($E$2,'Implementation and Revenue'!$C$3:$D$7,2,FALSE)*E3)+(VLOOKUP($F$2,'Implementation and Revenue'!$C$3:$D$4,2,FALSE)*F3)+(VLOOKUP($G$2,'Implementation and Revenue'!$C$3:$D$7,2,FALSE)*'Inflow Calculation'!G3)+(VLOOKUP($H$2,'Implementation and Revenue'!$C$3:$D$7,2,FALSE)*H3+(VLOOKUP($I$2,'Implementation and Revenue'!$C$3:$D$7,2,FALSE)*I3))</f>
        <v>0</v>
      </c>
      <c r="K3" s="132">
        <f>SUM($J$3:J3)</f>
        <v>0</v>
      </c>
      <c r="L3" s="133">
        <f>E3*VLOOKUP($E$2,'Implementation and Revenue'!$C$3:$D$7,2,FALSE)*'Implementation and Revenue'!$F$3/10^7+F3*VLOOKUP($F$2,'Implementation and Revenue'!$C$3:$D$7,2,FALSE)*'Implementation and Revenue'!$F$4/10^7+G3*VLOOKUP($G$2,'Implementation and Revenue'!$C$3:$D$7,2,FALSE)*'Implementation and Revenue'!$F$5/10^7+H3*VLOOKUP($H$2,'Implementation and Revenue'!$C$3:$D$7,2,FALSE)*'Implementation and Revenue'!$F$6/10^7+I3*VLOOKUP($I$2,'Implementation and Revenue'!$C$3:$D$7,2,FALSE)*'Implementation and Revenue'!$F$7/10^7</f>
        <v>0</v>
      </c>
      <c r="M3" s="133">
        <f>SUM($L$3:L3)</f>
        <v>0</v>
      </c>
      <c r="N3" s="134">
        <f>VLOOKUP(B3,'Implementation and Revenue'!$D$12:$G$40,3,FALSE)</f>
        <v>0.1</v>
      </c>
      <c r="O3" s="134">
        <f>VLOOKUP(B3,'Implementation and Revenue'!$D$12:$G$40,4,FALSE)</f>
        <v>0.1</v>
      </c>
      <c r="P3" s="135">
        <f>M3*O3</f>
        <v>0</v>
      </c>
      <c r="Q3" s="136">
        <f>M3*O3</f>
        <v>0</v>
      </c>
    </row>
    <row r="4" spans="1:18" ht="18.95" customHeight="1">
      <c r="A4" s="121">
        <v>2</v>
      </c>
      <c r="B4" s="124">
        <f>'Implementation and Revenue'!D13</f>
        <v>45078</v>
      </c>
      <c r="C4" s="125" t="str">
        <f t="shared" ref="C4:C31" si="0">IF(MONTH(B4)&lt;4,YEAR(B4)-1 &amp; "-" &amp; YEAR(B4),YEAR(B4) &amp; "-" &amp; YEAR(B4)+1)</f>
        <v>2023-2024</v>
      </c>
      <c r="D4" s="110" t="str">
        <f>'Implementation and Revenue'!E13</f>
        <v>Plinth</v>
      </c>
      <c r="E4" s="111"/>
      <c r="F4" s="111"/>
      <c r="G4" s="111"/>
      <c r="H4" s="111"/>
      <c r="I4" s="111"/>
      <c r="J4" s="132">
        <f>(VLOOKUP($E$2,'Implementation and Revenue'!$C$3:$D$7,2,FALSE)*E4)+(VLOOKUP($F$2,'Implementation and Revenue'!$C$3:$D$4,2,FALSE)*F4)+(VLOOKUP($G$2,'Implementation and Revenue'!$C$3:$D$7,2,FALSE)*'Inflow Calculation'!G4)+(VLOOKUP($H$2,'Implementation and Revenue'!$C$3:$D$7,2,FALSE)*H4+(VLOOKUP($I$2,'Implementation and Revenue'!$C$3:$D$7,2,FALSE)*I4))</f>
        <v>0</v>
      </c>
      <c r="K4" s="132">
        <f>J4+K3</f>
        <v>0</v>
      </c>
      <c r="L4" s="133">
        <f>E4*VLOOKUP($E$2,'Implementation and Revenue'!$C$3:$D$7,2,FALSE)*'Implementation and Revenue'!$F$3/10^7+F4*VLOOKUP($F$2,'Implementation and Revenue'!$C$3:$D$7,2,FALSE)*'Implementation and Revenue'!$F$4/10^7+G4*VLOOKUP($G$2,'Implementation and Revenue'!$C$3:$D$7,2,FALSE)*'Implementation and Revenue'!$F$5/10^7+H4*VLOOKUP($H$2,'Implementation and Revenue'!$C$3:$D$7,2,FALSE)*'Implementation and Revenue'!$F$6/10^7+I4*VLOOKUP($I$2,'Implementation and Revenue'!$C$3:$D$7,2,FALSE)*'Implementation and Revenue'!$F$7/10^7</f>
        <v>0</v>
      </c>
      <c r="M4" s="133">
        <f>SUM($L$3:L4)</f>
        <v>0</v>
      </c>
      <c r="N4" s="134">
        <f>VLOOKUP(B4,'Implementation and Revenue'!$D$12:$G$40,3,FALSE)</f>
        <v>0.15</v>
      </c>
      <c r="O4" s="134">
        <f>VLOOKUP(B4,'Implementation and Revenue'!$D$12:$G$40,4,FALSE)</f>
        <v>0.25</v>
      </c>
      <c r="P4" s="135">
        <f t="shared" ref="P4:P12" si="1">M4*O4</f>
        <v>0</v>
      </c>
      <c r="Q4" s="137">
        <f>(L4*O4)+(M3*N4)</f>
        <v>0</v>
      </c>
    </row>
    <row r="5" spans="1:18" ht="18.95" customHeight="1">
      <c r="A5" s="121">
        <v>3</v>
      </c>
      <c r="B5" s="124">
        <f>'Implementation and Revenue'!D14</f>
        <v>45170</v>
      </c>
      <c r="C5" s="125" t="str">
        <f t="shared" si="0"/>
        <v>2023-2024</v>
      </c>
      <c r="D5" s="110" t="str">
        <f>'Implementation and Revenue'!E14</f>
        <v>3rd Slab</v>
      </c>
      <c r="E5" s="111">
        <v>1</v>
      </c>
      <c r="F5" s="111">
        <v>0</v>
      </c>
      <c r="G5" s="111"/>
      <c r="H5" s="111">
        <v>0</v>
      </c>
      <c r="I5" s="111"/>
      <c r="J5" s="132">
        <f>(VLOOKUP($E$2,'Implementation and Revenue'!$C$3:$D$7,2,FALSE)*E5)+(VLOOKUP($F$2,'Implementation and Revenue'!$C$3:$D$4,2,FALSE)*F5)+(VLOOKUP($G$2,'Implementation and Revenue'!$C$3:$D$7,2,FALSE)*'Inflow Calculation'!G5)+(VLOOKUP($H$2,'Implementation and Revenue'!$C$3:$D$7,2,FALSE)*H5+(VLOOKUP($I$2,'Implementation and Revenue'!$C$3:$D$7,2,FALSE)*I5))</f>
        <v>419</v>
      </c>
      <c r="K5" s="132">
        <f t="shared" ref="K5:K12" si="2">J5+K4</f>
        <v>419</v>
      </c>
      <c r="L5" s="133">
        <f>E5*VLOOKUP($E$2,'Implementation and Revenue'!$C$3:$D$7,2,FALSE)*'Implementation and Revenue'!$F$3/10^7+F5*VLOOKUP($F$2,'Implementation and Revenue'!$C$3:$D$7,2,FALSE)*'Implementation and Revenue'!$F$4/10^7+G5*VLOOKUP($G$2,'Implementation and Revenue'!$C$3:$D$7,2,FALSE)*'Implementation and Revenue'!$F$5/10^7+H5*VLOOKUP($H$2,'Implementation and Revenue'!$C$3:$D$7,2,FALSE)*'Implementation and Revenue'!$F$6/10^7+I5*VLOOKUP($I$2,'Implementation and Revenue'!$C$3:$D$7,2,FALSE)*'Implementation and Revenue'!$F$7/10^7</f>
        <v>0.46089999999999998</v>
      </c>
      <c r="M5" s="133">
        <f>SUM($L$3:L5)</f>
        <v>0.46089999999999998</v>
      </c>
      <c r="N5" s="134">
        <f>VLOOKUP(B5,'Implementation and Revenue'!$D$12:$G$40,3,FALSE)</f>
        <v>0.05</v>
      </c>
      <c r="O5" s="134">
        <f>VLOOKUP(B5,'Implementation and Revenue'!$D$12:$G$40,4,FALSE)</f>
        <v>0.3</v>
      </c>
      <c r="P5" s="135">
        <f t="shared" si="1"/>
        <v>0.13826999999999998</v>
      </c>
      <c r="Q5" s="137">
        <f t="shared" ref="Q5:Q12" si="3">(L5*O5)+(M4*N5)</f>
        <v>0.13826999999999998</v>
      </c>
      <c r="R5" s="317"/>
    </row>
    <row r="6" spans="1:18" ht="18.95" customHeight="1">
      <c r="A6" s="121">
        <v>4</v>
      </c>
      <c r="B6" s="124">
        <f>'Implementation and Revenue'!D15</f>
        <v>45261</v>
      </c>
      <c r="C6" s="125" t="str">
        <f t="shared" si="0"/>
        <v>2023-2024</v>
      </c>
      <c r="D6" s="110" t="str">
        <f>'Implementation and Revenue'!E15</f>
        <v>6th Slab</v>
      </c>
      <c r="E6" s="111">
        <v>2</v>
      </c>
      <c r="F6" s="111">
        <v>1</v>
      </c>
      <c r="G6" s="111">
        <v>1</v>
      </c>
      <c r="H6" s="111">
        <v>1</v>
      </c>
      <c r="I6" s="111"/>
      <c r="J6" s="132">
        <f>(VLOOKUP($E$2,'Implementation and Revenue'!$C$3:$D$7,2,FALSE)*E6)+(VLOOKUP($F$2,'Implementation and Revenue'!$C$3:$D$4,2,FALSE)*F6)+(VLOOKUP($G$2,'Implementation and Revenue'!$C$3:$D$7,2,FALSE)*'Inflow Calculation'!G6)+(VLOOKUP($H$2,'Implementation and Revenue'!$C$3:$D$7,2,FALSE)*H6+(VLOOKUP($I$2,'Implementation and Revenue'!$C$3:$D$7,2,FALSE)*I6))</f>
        <v>2411</v>
      </c>
      <c r="K6" s="132">
        <f t="shared" si="2"/>
        <v>2830</v>
      </c>
      <c r="L6" s="133">
        <f>E6*VLOOKUP($E$2,'Implementation and Revenue'!$C$3:$D$7,2,FALSE)*'Implementation and Revenue'!$F$3/10^7+F6*VLOOKUP($F$2,'Implementation and Revenue'!$C$3:$D$7,2,FALSE)*'Implementation and Revenue'!$F$4/10^7+G6*VLOOKUP($G$2,'Implementation and Revenue'!$C$3:$D$7,2,FALSE)*'Implementation and Revenue'!$F$5/10^7+H6*VLOOKUP($H$2,'Implementation and Revenue'!$C$3:$D$7,2,FALSE)*'Implementation and Revenue'!$F$6/10^7+I6*VLOOKUP($I$2,'Implementation and Revenue'!$C$3:$D$7,2,FALSE)*'Implementation and Revenue'!$F$7/10^7</f>
        <v>2.9922999999999997</v>
      </c>
      <c r="M6" s="133">
        <f>SUM($L$3:L6)</f>
        <v>3.4531999999999998</v>
      </c>
      <c r="N6" s="134">
        <f>VLOOKUP(B6,'Implementation and Revenue'!$D$12:$G$40,3,FALSE)</f>
        <v>0.05</v>
      </c>
      <c r="O6" s="134">
        <f>VLOOKUP(B6,'Implementation and Revenue'!$D$12:$G$40,4,FALSE)</f>
        <v>0.35</v>
      </c>
      <c r="P6" s="135">
        <f t="shared" si="1"/>
        <v>1.2086199999999998</v>
      </c>
      <c r="Q6" s="137">
        <f t="shared" si="3"/>
        <v>1.0703499999999999</v>
      </c>
      <c r="R6" s="317"/>
    </row>
    <row r="7" spans="1:18" ht="18.95" customHeight="1">
      <c r="A7" s="121">
        <v>5</v>
      </c>
      <c r="B7" s="124">
        <f>'Implementation and Revenue'!D16</f>
        <v>45352</v>
      </c>
      <c r="C7" s="125" t="str">
        <f t="shared" si="0"/>
        <v>2023-2024</v>
      </c>
      <c r="D7" s="110" t="str">
        <f>'Implementation and Revenue'!E16</f>
        <v>9th Slab</v>
      </c>
      <c r="E7" s="111">
        <v>2</v>
      </c>
      <c r="F7" s="111">
        <v>2</v>
      </c>
      <c r="G7" s="111">
        <v>2</v>
      </c>
      <c r="H7" s="111">
        <v>1</v>
      </c>
      <c r="I7" s="111"/>
      <c r="J7" s="132">
        <f>(VLOOKUP($E$2,'Implementation and Revenue'!$C$3:$D$7,2,FALSE)*E7)+(VLOOKUP($F$2,'Implementation and Revenue'!$C$3:$D$4,2,FALSE)*F7)+(VLOOKUP($G$2,'Implementation and Revenue'!$C$3:$D$7,2,FALSE)*'Inflow Calculation'!G7)+(VLOOKUP($H$2,'Implementation and Revenue'!$C$3:$D$7,2,FALSE)*H7+(VLOOKUP($I$2,'Implementation and Revenue'!$C$3:$D$7,2,FALSE)*I7))</f>
        <v>3741</v>
      </c>
      <c r="K7" s="132">
        <f t="shared" si="2"/>
        <v>6571</v>
      </c>
      <c r="L7" s="133">
        <f>E7*VLOOKUP($E$2,'Implementation and Revenue'!$C$3:$D$7,2,FALSE)*'Implementation and Revenue'!$F$3/10^7+F7*VLOOKUP($F$2,'Implementation and Revenue'!$C$3:$D$7,2,FALSE)*'Implementation and Revenue'!$F$4/10^7+G7*VLOOKUP($G$2,'Implementation and Revenue'!$C$3:$D$7,2,FALSE)*'Implementation and Revenue'!$F$5/10^7+H7*VLOOKUP($H$2,'Implementation and Revenue'!$C$3:$D$7,2,FALSE)*'Implementation and Revenue'!$F$6/10^7+I7*VLOOKUP($I$2,'Implementation and Revenue'!$C$3:$D$7,2,FALSE)*'Implementation and Revenue'!$F$7/10^7</f>
        <v>4.4552999999999994</v>
      </c>
      <c r="M7" s="133">
        <f>SUM($L$3:L7)</f>
        <v>7.9084999999999992</v>
      </c>
      <c r="N7" s="134">
        <f>VLOOKUP(B7,'Implementation and Revenue'!$D$12:$G$40,3,FALSE)</f>
        <v>0.05</v>
      </c>
      <c r="O7" s="134">
        <f>VLOOKUP(B7,'Implementation and Revenue'!$D$12:$G$40,4,FALSE)</f>
        <v>0.39999999999999997</v>
      </c>
      <c r="P7" s="135">
        <f t="shared" si="1"/>
        <v>3.1633999999999993</v>
      </c>
      <c r="Q7" s="137">
        <f t="shared" si="3"/>
        <v>1.9547799999999997</v>
      </c>
      <c r="R7" s="317"/>
    </row>
    <row r="8" spans="1:18" ht="18.95" customHeight="1">
      <c r="A8" s="121">
        <v>6</v>
      </c>
      <c r="B8" s="124">
        <f>'Implementation and Revenue'!D17</f>
        <v>45444</v>
      </c>
      <c r="C8" s="125" t="str">
        <f t="shared" si="0"/>
        <v>2024-2025</v>
      </c>
      <c r="D8" s="110" t="str">
        <f>'Implementation and Revenue'!E17</f>
        <v>12th Slab</v>
      </c>
      <c r="E8" s="111">
        <v>1</v>
      </c>
      <c r="F8" s="111">
        <v>2</v>
      </c>
      <c r="G8" s="111">
        <v>2</v>
      </c>
      <c r="H8" s="111">
        <v>2</v>
      </c>
      <c r="I8" s="111"/>
      <c r="J8" s="132">
        <f>(VLOOKUP($E$2,'Implementation and Revenue'!$C$3:$D$7,2,FALSE)*E8)+(VLOOKUP($F$2,'Implementation and Revenue'!$C$3:$D$4,2,FALSE)*F8)+(VLOOKUP($G$2,'Implementation and Revenue'!$C$3:$D$7,2,FALSE)*'Inflow Calculation'!G8)+(VLOOKUP($H$2,'Implementation and Revenue'!$C$3:$D$7,2,FALSE)*H8+(VLOOKUP($I$2,'Implementation and Revenue'!$C$3:$D$7,2,FALSE)*I8))</f>
        <v>3565</v>
      </c>
      <c r="K8" s="132">
        <f t="shared" si="2"/>
        <v>10136</v>
      </c>
      <c r="L8" s="133">
        <f>E8*VLOOKUP($E$2,'Implementation and Revenue'!$C$3:$D$7,2,FALSE)*'Implementation and Revenue'!$F$3/10^7+F8*VLOOKUP($F$2,'Implementation and Revenue'!$C$3:$D$7,2,FALSE)*'Implementation and Revenue'!$F$4/10^7+G8*VLOOKUP($G$2,'Implementation and Revenue'!$C$3:$D$7,2,FALSE)*'Implementation and Revenue'!$F$5/10^7+H8*VLOOKUP($H$2,'Implementation and Revenue'!$C$3:$D$7,2,FALSE)*'Implementation and Revenue'!$F$6/10^7+I8*VLOOKUP($I$2,'Implementation and Revenue'!$C$3:$D$7,2,FALSE)*'Implementation and Revenue'!$F$7/10^7</f>
        <v>4.6018999999999997</v>
      </c>
      <c r="M8" s="133">
        <f>SUM($L$3:L8)</f>
        <v>12.510399999999999</v>
      </c>
      <c r="N8" s="134">
        <f>VLOOKUP(B8,'Implementation and Revenue'!$D$12:$G$40,3,FALSE)</f>
        <v>0.05</v>
      </c>
      <c r="O8" s="134">
        <f>VLOOKUP(B8,'Implementation and Revenue'!$D$12:$G$40,4,FALSE)</f>
        <v>0.44999999999999996</v>
      </c>
      <c r="P8" s="135">
        <f t="shared" si="1"/>
        <v>5.6296799999999987</v>
      </c>
      <c r="Q8" s="137">
        <f t="shared" si="3"/>
        <v>2.4662799999999994</v>
      </c>
      <c r="R8" s="317"/>
    </row>
    <row r="9" spans="1:18" s="112" customFormat="1" ht="18.95" customHeight="1">
      <c r="A9" s="121">
        <v>7</v>
      </c>
      <c r="B9" s="124">
        <f>'Implementation and Revenue'!D18</f>
        <v>45536</v>
      </c>
      <c r="C9" s="125" t="str">
        <f t="shared" si="0"/>
        <v>2024-2025</v>
      </c>
      <c r="D9" s="110" t="str">
        <f>'Implementation and Revenue'!E18</f>
        <v>15th Slab</v>
      </c>
      <c r="E9" s="111">
        <v>1</v>
      </c>
      <c r="F9" s="111">
        <v>2</v>
      </c>
      <c r="G9" s="111">
        <v>1</v>
      </c>
      <c r="H9" s="111"/>
      <c r="I9" s="111"/>
      <c r="J9" s="132">
        <f>(VLOOKUP($E$2,'Implementation and Revenue'!$C$3:$D$7,2,FALSE)*E9)+(VLOOKUP($F$2,'Implementation and Revenue'!$C$3:$D$4,2,FALSE)*F9)+(VLOOKUP($G$2,'Implementation and Revenue'!$C$3:$D$7,2,FALSE)*'Inflow Calculation'!G9)+(VLOOKUP($H$2,'Implementation and Revenue'!$C$3:$D$7,2,FALSE)*H9+(VLOOKUP($I$2,'Implementation and Revenue'!$C$3:$D$7,2,FALSE)*I9))</f>
        <v>2372</v>
      </c>
      <c r="K9" s="132">
        <f t="shared" si="2"/>
        <v>12508</v>
      </c>
      <c r="L9" s="133">
        <f>E9*VLOOKUP($E$2,'Implementation and Revenue'!$C$3:$D$7,2,FALSE)*'Implementation and Revenue'!$F$3/10^7+F9*VLOOKUP($F$2,'Implementation and Revenue'!$C$3:$D$7,2,FALSE)*'Implementation and Revenue'!$F$4/10^7+G9*VLOOKUP($G$2,'Implementation and Revenue'!$C$3:$D$7,2,FALSE)*'Implementation and Revenue'!$F$5/10^7+H9*VLOOKUP($H$2,'Implementation and Revenue'!$C$3:$D$7,2,FALSE)*'Implementation and Revenue'!$F$6/10^7+I9*VLOOKUP($I$2,'Implementation and Revenue'!$C$3:$D$7,2,FALSE)*'Implementation and Revenue'!$F$7/10^7</f>
        <v>2.6092</v>
      </c>
      <c r="M9" s="133">
        <f>SUM($L$3:L9)</f>
        <v>15.119599999999998</v>
      </c>
      <c r="N9" s="134">
        <f>VLOOKUP(B9,'Implementation and Revenue'!$D$12:$G$40,3,FALSE)</f>
        <v>0.05</v>
      </c>
      <c r="O9" s="134">
        <f>VLOOKUP(B9,'Implementation and Revenue'!$D$12:$G$40,4,FALSE)</f>
        <v>0.49999999999999994</v>
      </c>
      <c r="P9" s="135">
        <f t="shared" si="1"/>
        <v>7.5597999999999983</v>
      </c>
      <c r="Q9" s="137">
        <f t="shared" si="3"/>
        <v>1.9301199999999996</v>
      </c>
      <c r="R9" s="317"/>
    </row>
    <row r="10" spans="1:18" ht="18.95" customHeight="1">
      <c r="A10" s="121">
        <v>8</v>
      </c>
      <c r="B10" s="124">
        <f>'Implementation and Revenue'!D19</f>
        <v>45627</v>
      </c>
      <c r="C10" s="125" t="str">
        <f t="shared" si="0"/>
        <v>2024-2025</v>
      </c>
      <c r="D10" s="110" t="str">
        <f>'Implementation and Revenue'!E19</f>
        <v>Finishing</v>
      </c>
      <c r="E10" s="111">
        <v>3</v>
      </c>
      <c r="F10" s="111">
        <v>1</v>
      </c>
      <c r="G10" s="111">
        <v>2</v>
      </c>
      <c r="H10" s="111">
        <v>0</v>
      </c>
      <c r="I10" s="111"/>
      <c r="J10" s="132">
        <f>(VLOOKUP($E$2,'Implementation and Revenue'!$C$3:$D$7,2,FALSE)*E10)+(VLOOKUP($F$2,'Implementation and Revenue'!$C$3:$D$4,2,FALSE)*F10)+(VLOOKUP($G$2,'Implementation and Revenue'!$C$3:$D$7,2,FALSE)*'Inflow Calculation'!G10)+(VLOOKUP($H$2,'Implementation and Revenue'!$C$3:$D$7,2,FALSE)*H10+(VLOOKUP($I$2,'Implementation and Revenue'!$C$3:$D$7,2,FALSE)*I10))</f>
        <v>3294</v>
      </c>
      <c r="K10" s="132">
        <f t="shared" si="2"/>
        <v>15802</v>
      </c>
      <c r="L10" s="133">
        <f>E10*VLOOKUP($E$2,'Implementation and Revenue'!$C$3:$D$7,2,FALSE)*'Implementation and Revenue'!$F$3/10^7+F10*VLOOKUP($F$2,'Implementation and Revenue'!$C$3:$D$7,2,FALSE)*'Implementation and Revenue'!$F$4/10^7+G10*VLOOKUP($G$2,'Implementation and Revenue'!$C$3:$D$7,2,FALSE)*'Implementation and Revenue'!$F$5/10^7+H10*VLOOKUP($H$2,'Implementation and Revenue'!$C$3:$D$7,2,FALSE)*'Implementation and Revenue'!$F$6/10^7+I10*VLOOKUP($I$2,'Implementation and Revenue'!$C$3:$D$7,2,FALSE)*'Implementation and Revenue'!$F$7/10^7</f>
        <v>3.6234000000000002</v>
      </c>
      <c r="M10" s="133">
        <f>SUM($L$3:L10)</f>
        <v>18.742999999999999</v>
      </c>
      <c r="N10" s="134">
        <f>VLOOKUP(B10,'Implementation and Revenue'!$D$12:$G$40,3,FALSE)</f>
        <v>0.05</v>
      </c>
      <c r="O10" s="134">
        <f>VLOOKUP(B10,'Implementation and Revenue'!$D$12:$G$40,4,FALSE)</f>
        <v>0.54999999999999993</v>
      </c>
      <c r="P10" s="135">
        <f>M10*O10</f>
        <v>10.308649999999998</v>
      </c>
      <c r="Q10" s="137">
        <f>(L10*O10)+(M9*N10)</f>
        <v>2.74885</v>
      </c>
      <c r="R10" s="317"/>
    </row>
    <row r="11" spans="1:18" ht="18.95" customHeight="1">
      <c r="A11" s="121">
        <v>9</v>
      </c>
      <c r="B11" s="124">
        <f>'Implementation and Revenue'!D20</f>
        <v>45717</v>
      </c>
      <c r="C11" s="125" t="str">
        <f t="shared" si="0"/>
        <v>2024-2025</v>
      </c>
      <c r="D11" s="110" t="str">
        <f>'Implementation and Revenue'!E20</f>
        <v>Internal Finishing</v>
      </c>
      <c r="E11" s="111">
        <v>1</v>
      </c>
      <c r="F11" s="111"/>
      <c r="G11" s="111"/>
      <c r="H11" s="111"/>
      <c r="I11" s="111"/>
      <c r="J11" s="132">
        <f>(VLOOKUP($E$2,'Implementation and Revenue'!$C$3:$D$7,2,FALSE)*E11)+(VLOOKUP($F$2,'Implementation and Revenue'!$C$3:$D$4,2,FALSE)*F11)+(VLOOKUP($G$2,'Implementation and Revenue'!$C$3:$D$7,2,FALSE)*'Inflow Calculation'!G11)+(VLOOKUP($H$2,'Implementation and Revenue'!$C$3:$D$7,2,FALSE)*H11+(VLOOKUP($I$2,'Implementation and Revenue'!$C$3:$D$7,2,FALSE)*I11))</f>
        <v>419</v>
      </c>
      <c r="K11" s="132">
        <f t="shared" si="2"/>
        <v>16221</v>
      </c>
      <c r="L11" s="133">
        <f>E11*VLOOKUP($E$2,'Implementation and Revenue'!$C$3:$D$7,2,FALSE)*'Implementation and Revenue'!$F$3/10^7+F11*VLOOKUP($F$2,'Implementation and Revenue'!$C$3:$D$7,2,FALSE)*'Implementation and Revenue'!$F$4/10^7+G11*VLOOKUP($G$2,'Implementation and Revenue'!$C$3:$D$7,2,FALSE)*'Implementation and Revenue'!$F$5/10^7+H11*VLOOKUP($H$2,'Implementation and Revenue'!$C$3:$D$7,2,FALSE)*'Implementation and Revenue'!$F$6/10^7+I11*VLOOKUP($I$2,'Implementation and Revenue'!$C$3:$D$7,2,FALSE)*'Implementation and Revenue'!$F$7/10^7</f>
        <v>0.46089999999999998</v>
      </c>
      <c r="M11" s="133">
        <f>SUM($L$3:L11)</f>
        <v>19.203899999999997</v>
      </c>
      <c r="N11" s="134">
        <f>VLOOKUP(B11,'Implementation and Revenue'!$D$12:$G$40,3,FALSE)</f>
        <v>0.1</v>
      </c>
      <c r="O11" s="134">
        <f>VLOOKUP(B11,'Implementation and Revenue'!$D$12:$G$40,4,FALSE)</f>
        <v>0.64999999999999991</v>
      </c>
      <c r="P11" s="135">
        <f t="shared" si="1"/>
        <v>12.482534999999997</v>
      </c>
      <c r="Q11" s="137">
        <f t="shared" si="3"/>
        <v>2.1738849999999998</v>
      </c>
      <c r="R11" s="317"/>
    </row>
    <row r="12" spans="1:18" ht="18.95" customHeight="1">
      <c r="A12" s="121">
        <v>10</v>
      </c>
      <c r="B12" s="124">
        <f>'Implementation and Revenue'!D21</f>
        <v>45809</v>
      </c>
      <c r="C12" s="125" t="str">
        <f t="shared" si="0"/>
        <v>2025-2026</v>
      </c>
      <c r="D12" s="110" t="str">
        <f>'Implementation and Revenue'!E21</f>
        <v>Project Complete</v>
      </c>
      <c r="E12" s="111"/>
      <c r="F12" s="111"/>
      <c r="G12" s="111"/>
      <c r="H12" s="111"/>
      <c r="I12" s="111"/>
      <c r="J12" s="132">
        <f>(VLOOKUP($E$2,'Implementation and Revenue'!$C$3:$D$7,2,FALSE)*E12)+(VLOOKUP($F$2,'Implementation and Revenue'!$C$3:$D$4,2,FALSE)*F12)+(VLOOKUP($G$2,'Implementation and Revenue'!$C$3:$D$7,2,FALSE)*'Inflow Calculation'!G12)+(VLOOKUP($H$2,'Implementation and Revenue'!$C$3:$D$7,2,FALSE)*H12+(VLOOKUP($I$2,'Implementation and Revenue'!$C$3:$D$7,2,FALSE)*I12))</f>
        <v>0</v>
      </c>
      <c r="K12" s="132">
        <f t="shared" si="2"/>
        <v>16221</v>
      </c>
      <c r="L12" s="133">
        <f>E12*VLOOKUP($E$2,'Implementation and Revenue'!$C$3:$D$7,2,FALSE)*'Implementation and Revenue'!$F$3/10^7+F12*VLOOKUP($F$2,'Implementation and Revenue'!$C$3:$D$7,2,FALSE)*'Implementation and Revenue'!$F$4/10^7+G12*VLOOKUP($G$2,'Implementation and Revenue'!$C$3:$D$7,2,FALSE)*'Implementation and Revenue'!$F$5/10^7+H12*VLOOKUP($H$2,'Implementation and Revenue'!$C$3:$D$7,2,FALSE)*'Implementation and Revenue'!$F$6/10^7+I12*VLOOKUP($I$2,'Implementation and Revenue'!$C$3:$D$7,2,FALSE)*'Implementation and Revenue'!$F$7/10^7</f>
        <v>0</v>
      </c>
      <c r="M12" s="133">
        <f>SUM($L$3:L12)</f>
        <v>19.203899999999997</v>
      </c>
      <c r="N12" s="134">
        <f>VLOOKUP(B12,'Implementation and Revenue'!$D$12:$G$40,3,FALSE)</f>
        <v>0.1</v>
      </c>
      <c r="O12" s="134">
        <f>VLOOKUP(B12,'Implementation and Revenue'!$D$12:$G$40,4,FALSE)</f>
        <v>0.74999999999999989</v>
      </c>
      <c r="P12" s="135">
        <f t="shared" si="1"/>
        <v>14.402924999999996</v>
      </c>
      <c r="Q12" s="137">
        <f t="shared" si="3"/>
        <v>1.9203899999999998</v>
      </c>
      <c r="R12" s="317"/>
    </row>
    <row r="13" spans="1:18" ht="18.95" customHeight="1">
      <c r="A13" s="121">
        <v>11</v>
      </c>
      <c r="B13" s="124">
        <f>'Implementation and Revenue'!D22</f>
        <v>45901</v>
      </c>
      <c r="C13" s="125" t="str">
        <f t="shared" si="0"/>
        <v>2025-2026</v>
      </c>
      <c r="D13" s="110" t="str">
        <f>'Implementation and Revenue'!E22</f>
        <v>Ready to Occupy</v>
      </c>
      <c r="E13" s="111"/>
      <c r="F13" s="111"/>
      <c r="G13" s="111">
        <v>2</v>
      </c>
      <c r="H13" s="111">
        <v>1</v>
      </c>
      <c r="I13" s="111"/>
      <c r="J13" s="132">
        <f>(VLOOKUP($E$2,'Implementation and Revenue'!$C$3:$D$7,2,FALSE)*E13)+(VLOOKUP($F$2,'Implementation and Revenue'!$C$3:$D$4,2,FALSE)*F13)+(VLOOKUP($G$2,'Implementation and Revenue'!$C$3:$D$7,2,FALSE)*'Inflow Calculation'!G13)+(VLOOKUP($H$2,'Implementation and Revenue'!$C$3:$D$7,2,FALSE)*H13+(VLOOKUP($I$2,'Implementation and Revenue'!$C$3:$D$7,2,FALSE)*I13))</f>
        <v>1657</v>
      </c>
      <c r="K13" s="132">
        <f t="shared" ref="K13:K30" si="4">J13+K12</f>
        <v>17878</v>
      </c>
      <c r="L13" s="133">
        <f>E13*VLOOKUP($E$2,'Implementation and Revenue'!$C$3:$D$7,2,FALSE)*'Implementation and Revenue'!$F$3/10^7+F13*VLOOKUP($F$2,'Implementation and Revenue'!$C$3:$D$7,2,FALSE)*'Implementation and Revenue'!$F$4/10^7+G13*VLOOKUP($G$2,'Implementation and Revenue'!$C$3:$D$7,2,FALSE)*'Implementation and Revenue'!$F$5/10^7+H13*VLOOKUP($H$2,'Implementation and Revenue'!$C$3:$D$7,2,FALSE)*'Implementation and Revenue'!$F$6/10^7+I13*VLOOKUP($I$2,'Implementation and Revenue'!$C$3:$D$7,2,FALSE)*'Implementation and Revenue'!$F$7/10^7</f>
        <v>2.1629</v>
      </c>
      <c r="M13" s="133">
        <f>SUM($L$3:L13)</f>
        <v>21.366799999999998</v>
      </c>
      <c r="N13" s="134">
        <f>VLOOKUP(B13,'Implementation and Revenue'!$D$12:$G$40,3,FALSE)</f>
        <v>0.25</v>
      </c>
      <c r="O13" s="134">
        <f>VLOOKUP(B13,'Implementation and Revenue'!$D$12:$G$40,4,FALSE)</f>
        <v>0.99999999999999989</v>
      </c>
      <c r="P13" s="135">
        <f t="shared" ref="P13:P31" si="5">M13*O13</f>
        <v>21.366799999999994</v>
      </c>
      <c r="Q13" s="137">
        <f t="shared" ref="Q13:Q22" si="6">(L13*O13)+(M12*N13)</f>
        <v>6.9638749999999989</v>
      </c>
      <c r="R13" s="317"/>
    </row>
    <row r="14" spans="1:18" ht="18.95" customHeight="1">
      <c r="A14" s="121">
        <v>12</v>
      </c>
      <c r="B14" s="124">
        <f>'Implementation and Revenue'!D23</f>
        <v>45992</v>
      </c>
      <c r="C14" s="125" t="str">
        <f t="shared" si="0"/>
        <v>2025-2026</v>
      </c>
      <c r="D14" s="110" t="str">
        <f>'Implementation and Revenue'!E23</f>
        <v>Ready to Occupy</v>
      </c>
      <c r="E14" s="111"/>
      <c r="F14" s="111">
        <v>1</v>
      </c>
      <c r="G14" s="111">
        <v>6</v>
      </c>
      <c r="H14" s="111"/>
      <c r="I14" s="111"/>
      <c r="J14" s="132">
        <f>(VLOOKUP($E$2,'Implementation and Revenue'!$C$3:$D$7,2,FALSE)*E14)+(VLOOKUP($F$2,'Implementation and Revenue'!$C$3:$D$4,2,FALSE)*F14)+(VLOOKUP($G$2,'Implementation and Revenue'!$C$3:$D$7,2,FALSE)*'Inflow Calculation'!G14)+(VLOOKUP($H$2,'Implementation and Revenue'!$C$3:$D$7,2,FALSE)*H14+(VLOOKUP($I$2,'Implementation and Revenue'!$C$3:$D$7,2,FALSE)*I14))</f>
        <v>4865</v>
      </c>
      <c r="K14" s="132">
        <f t="shared" si="4"/>
        <v>22743</v>
      </c>
      <c r="L14" s="133">
        <f>E14*VLOOKUP($E$2,'Implementation and Revenue'!$C$3:$D$7,2,FALSE)*'Implementation and Revenue'!$F$3/10^7+F14*VLOOKUP($F$2,'Implementation and Revenue'!$C$3:$D$7,2,FALSE)*'Implementation and Revenue'!$F$4/10^7+G14*VLOOKUP($G$2,'Implementation and Revenue'!$C$3:$D$7,2,FALSE)*'Implementation and Revenue'!$F$5/10^7+H14*VLOOKUP($H$2,'Implementation and Revenue'!$C$3:$D$7,2,FALSE)*'Implementation and Revenue'!$F$6/10^7+I14*VLOOKUP($I$2,'Implementation and Revenue'!$C$3:$D$7,2,FALSE)*'Implementation and Revenue'!$F$7/10^7</f>
        <v>5.3514999999999997</v>
      </c>
      <c r="M14" s="133">
        <f>SUM($L$3:L14)</f>
        <v>26.718299999999999</v>
      </c>
      <c r="N14" s="134">
        <f>VLOOKUP(B14,'Implementation and Revenue'!$D$12:$G$40,3,FALSE)</f>
        <v>0</v>
      </c>
      <c r="O14" s="134">
        <f>VLOOKUP(B14,'Implementation and Revenue'!$D$12:$G$40,4,FALSE)</f>
        <v>0.99999999999999989</v>
      </c>
      <c r="P14" s="135">
        <f t="shared" si="5"/>
        <v>26.718299999999996</v>
      </c>
      <c r="Q14" s="137">
        <f t="shared" si="6"/>
        <v>5.3514999999999988</v>
      </c>
      <c r="R14" s="317"/>
    </row>
    <row r="15" spans="1:18" ht="18.95" customHeight="1">
      <c r="A15" s="121">
        <v>13</v>
      </c>
      <c r="B15" s="124">
        <f>'Implementation and Revenue'!D24</f>
        <v>46082</v>
      </c>
      <c r="C15" s="125" t="str">
        <f t="shared" si="0"/>
        <v>2025-2026</v>
      </c>
      <c r="D15" s="110" t="str">
        <f>'Implementation and Revenue'!E24</f>
        <v>Ready to Occupy</v>
      </c>
      <c r="E15" s="111"/>
      <c r="F15" s="111">
        <v>2</v>
      </c>
      <c r="G15" s="111">
        <v>5</v>
      </c>
      <c r="H15" s="111">
        <v>1</v>
      </c>
      <c r="I15" s="111">
        <v>4</v>
      </c>
      <c r="J15" s="132">
        <f>(VLOOKUP($E$2,'Implementation and Revenue'!$C$3:$D$7,2,FALSE)*E15)+(VLOOKUP($F$2,'Implementation and Revenue'!$C$3:$D$4,2,FALSE)*F15)+(VLOOKUP($G$2,'Implementation and Revenue'!$C$3:$D$7,2,FALSE)*'Inflow Calculation'!G15)+(VLOOKUP($H$2,'Implementation and Revenue'!$C$3:$D$7,2,FALSE)*H15+(VLOOKUP($I$2,'Implementation and Revenue'!$C$3:$D$7,2,FALSE)*I15))</f>
        <v>9920</v>
      </c>
      <c r="K15" s="132">
        <f t="shared" si="4"/>
        <v>32663</v>
      </c>
      <c r="L15" s="133">
        <f>E15*VLOOKUP($E$2,'Implementation and Revenue'!$C$3:$D$7,2,FALSE)*'Implementation and Revenue'!$F$3/10^7+F15*VLOOKUP($F$2,'Implementation and Revenue'!$C$3:$D$7,2,FALSE)*'Implementation and Revenue'!$F$4/10^7+G15*VLOOKUP($G$2,'Implementation and Revenue'!$C$3:$D$7,2,FALSE)*'Implementation and Revenue'!$F$5/10^7+H15*VLOOKUP($H$2,'Implementation and Revenue'!$C$3:$D$7,2,FALSE)*'Implementation and Revenue'!$F$6/10^7+I15*VLOOKUP($I$2,'Implementation and Revenue'!$C$3:$D$7,2,FALSE)*'Implementation and Revenue'!$F$7/10^7</f>
        <v>15.6586</v>
      </c>
      <c r="M15" s="133">
        <f>SUM($L$3:L15)</f>
        <v>42.376899999999999</v>
      </c>
      <c r="N15" s="134">
        <f>VLOOKUP(B15,'Implementation and Revenue'!$D$12:$G$40,3,FALSE)</f>
        <v>0</v>
      </c>
      <c r="O15" s="134">
        <f>VLOOKUP(B15,'Implementation and Revenue'!$D$12:$G$40,4,FALSE)</f>
        <v>0.99999999999999989</v>
      </c>
      <c r="P15" s="135">
        <f t="shared" si="5"/>
        <v>42.376899999999992</v>
      </c>
      <c r="Q15" s="137">
        <f t="shared" si="6"/>
        <v>15.658599999999998</v>
      </c>
      <c r="R15" s="317"/>
    </row>
    <row r="16" spans="1:18" ht="18.95" customHeight="1">
      <c r="A16" s="121">
        <v>14</v>
      </c>
      <c r="B16" s="124">
        <f>'Implementation and Revenue'!D25</f>
        <v>46174</v>
      </c>
      <c r="C16" s="125" t="str">
        <f t="shared" si="0"/>
        <v>2026-2027</v>
      </c>
      <c r="D16" s="110" t="str">
        <f>'Implementation and Revenue'!E25</f>
        <v>Ready to Occupy</v>
      </c>
      <c r="E16" s="111"/>
      <c r="F16" s="111">
        <v>2</v>
      </c>
      <c r="G16" s="111">
        <v>5</v>
      </c>
      <c r="H16" s="111"/>
      <c r="I16" s="111"/>
      <c r="J16" s="132">
        <f>(VLOOKUP($E$2,'Implementation and Revenue'!$C$3:$D$7,2,FALSE)*E16)+(VLOOKUP($F$2,'Implementation and Revenue'!$C$3:$D$4,2,FALSE)*F16)+(VLOOKUP($G$2,'Implementation and Revenue'!$C$3:$D$7,2,FALSE)*'Inflow Calculation'!G16)+(VLOOKUP($H$2,'Implementation and Revenue'!$C$3:$D$7,2,FALSE)*H16+(VLOOKUP($I$2,'Implementation and Revenue'!$C$3:$D$7,2,FALSE)*I16))</f>
        <v>4781</v>
      </c>
      <c r="K16" s="132">
        <f t="shared" si="4"/>
        <v>37444</v>
      </c>
      <c r="L16" s="133">
        <f>E16*VLOOKUP($E$2,'Implementation and Revenue'!$C$3:$D$7,2,FALSE)*'Implementation and Revenue'!$F$3/10^7+F16*VLOOKUP($F$2,'Implementation and Revenue'!$C$3:$D$7,2,FALSE)*'Implementation and Revenue'!$F$4/10^7+G16*VLOOKUP($G$2,'Implementation and Revenue'!$C$3:$D$7,2,FALSE)*'Implementation and Revenue'!$F$5/10^7+H16*VLOOKUP($H$2,'Implementation and Revenue'!$C$3:$D$7,2,FALSE)*'Implementation and Revenue'!$F$6/10^7+I16*VLOOKUP($I$2,'Implementation and Revenue'!$C$3:$D$7,2,FALSE)*'Implementation and Revenue'!$F$7/10^7</f>
        <v>5.2591000000000001</v>
      </c>
      <c r="M16" s="133">
        <f>SUM($L$3:L16)</f>
        <v>47.635999999999996</v>
      </c>
      <c r="N16" s="134">
        <f>VLOOKUP(B16,'Implementation and Revenue'!$D$12:$G$40,3,FALSE)</f>
        <v>0</v>
      </c>
      <c r="O16" s="134">
        <f>VLOOKUP(B16,'Implementation and Revenue'!$D$12:$G$40,4,FALSE)</f>
        <v>0.99999999999999989</v>
      </c>
      <c r="P16" s="135">
        <f t="shared" si="5"/>
        <v>47.635999999999989</v>
      </c>
      <c r="Q16" s="137">
        <f t="shared" si="6"/>
        <v>5.2590999999999992</v>
      </c>
      <c r="R16" s="317"/>
    </row>
    <row r="17" spans="1:18" ht="18.95" customHeight="1">
      <c r="A17" s="121">
        <v>15</v>
      </c>
      <c r="B17" s="124">
        <f>'Implementation and Revenue'!D26</f>
        <v>46266</v>
      </c>
      <c r="C17" s="125" t="str">
        <f t="shared" si="0"/>
        <v>2026-2027</v>
      </c>
      <c r="D17" s="110">
        <f>'Implementation and Revenue'!E26</f>
        <v>0</v>
      </c>
      <c r="E17" s="111"/>
      <c r="F17" s="111"/>
      <c r="G17" s="111"/>
      <c r="H17" s="111"/>
      <c r="I17" s="111"/>
      <c r="J17" s="132">
        <f>(VLOOKUP($E$2,'Implementation and Revenue'!$C$3:$D$7,2,FALSE)*E17)+(VLOOKUP($F$2,'Implementation and Revenue'!$C$3:$D$4,2,FALSE)*F17)+(VLOOKUP($G$2,'Implementation and Revenue'!$C$3:$D$7,2,FALSE)*'Inflow Calculation'!G17)+(VLOOKUP($H$2,'Implementation and Revenue'!$C$3:$D$7,2,FALSE)*H17+(VLOOKUP($I$2,'Implementation and Revenue'!$C$3:$D$7,2,FALSE)*I17))</f>
        <v>0</v>
      </c>
      <c r="K17" s="132">
        <f t="shared" si="4"/>
        <v>37444</v>
      </c>
      <c r="L17" s="133">
        <f>E17*VLOOKUP($E$2,'Implementation and Revenue'!$C$3:$D$7,2,FALSE)*'Implementation and Revenue'!$F$3/10^7+F17*VLOOKUP($F$2,'Implementation and Revenue'!$C$3:$D$7,2,FALSE)*'Implementation and Revenue'!$F$4/10^7+G17*VLOOKUP($G$2,'Implementation and Revenue'!$C$3:$D$7,2,FALSE)*'Implementation and Revenue'!$F$5/10^7+H17*VLOOKUP($H$2,'Implementation and Revenue'!$C$3:$D$7,2,FALSE)*'Implementation and Revenue'!$F$6/10^7+I17*VLOOKUP($I$2,'Implementation and Revenue'!$C$3:$D$7,2,FALSE)*'Implementation and Revenue'!$F$7/10^7</f>
        <v>0</v>
      </c>
      <c r="M17" s="133">
        <f>SUM($L$3:L17)</f>
        <v>47.635999999999996</v>
      </c>
      <c r="N17" s="134">
        <f>VLOOKUP(B17,'Implementation and Revenue'!$D$12:$G$40,3,FALSE)</f>
        <v>0</v>
      </c>
      <c r="O17" s="134">
        <f>VLOOKUP(B17,'Implementation and Revenue'!$D$12:$G$40,4,FALSE)</f>
        <v>0.99999999999999989</v>
      </c>
      <c r="P17" s="135">
        <f t="shared" si="5"/>
        <v>47.635999999999989</v>
      </c>
      <c r="Q17" s="137">
        <f t="shared" si="6"/>
        <v>0</v>
      </c>
      <c r="R17" s="317"/>
    </row>
    <row r="18" spans="1:18" ht="18.95" customHeight="1">
      <c r="A18" s="121">
        <v>16</v>
      </c>
      <c r="B18" s="124">
        <f>'Implementation and Revenue'!D27</f>
        <v>46357</v>
      </c>
      <c r="C18" s="125" t="str">
        <f t="shared" si="0"/>
        <v>2026-2027</v>
      </c>
      <c r="D18" s="110">
        <f>'Implementation and Revenue'!E27</f>
        <v>0</v>
      </c>
      <c r="E18" s="111"/>
      <c r="F18" s="111"/>
      <c r="G18" s="111"/>
      <c r="H18" s="111"/>
      <c r="I18" s="111"/>
      <c r="J18" s="132">
        <f>(VLOOKUP($E$2,'Implementation and Revenue'!$C$3:$D$7,2,FALSE)*E18)+(VLOOKUP($F$2,'Implementation and Revenue'!$C$3:$D$4,2,FALSE)*F18)+(VLOOKUP($G$2,'Implementation and Revenue'!$C$3:$D$7,2,FALSE)*'Inflow Calculation'!G18)+(VLOOKUP($H$2,'Implementation and Revenue'!$C$3:$D$7,2,FALSE)*H18+(VLOOKUP($I$2,'Implementation and Revenue'!$C$3:$D$7,2,FALSE)*I18))</f>
        <v>0</v>
      </c>
      <c r="K18" s="132">
        <f t="shared" si="4"/>
        <v>37444</v>
      </c>
      <c r="L18" s="133">
        <f>E18*VLOOKUP($E$2,'Implementation and Revenue'!$C$3:$D$7,2,FALSE)*'Implementation and Revenue'!$F$3/10^7+F18*VLOOKUP($F$2,'Implementation and Revenue'!$C$3:$D$7,2,FALSE)*'Implementation and Revenue'!$F$4/10^7+G18*VLOOKUP($G$2,'Implementation and Revenue'!$C$3:$D$7,2,FALSE)*'Implementation and Revenue'!$F$5/10^7+H18*VLOOKUP($H$2,'Implementation and Revenue'!$C$3:$D$7,2,FALSE)*'Implementation and Revenue'!$F$6/10^7+I18*VLOOKUP($I$2,'Implementation and Revenue'!$C$3:$D$7,2,FALSE)*'Implementation and Revenue'!$F$7/10^7</f>
        <v>0</v>
      </c>
      <c r="M18" s="133">
        <f>SUM($L$3:L18)</f>
        <v>47.635999999999996</v>
      </c>
      <c r="N18" s="134">
        <f>VLOOKUP(B18,'Implementation and Revenue'!$D$12:$G$40,3,FALSE)</f>
        <v>0</v>
      </c>
      <c r="O18" s="134">
        <f>VLOOKUP(B18,'Implementation and Revenue'!$D$12:$G$40,4,FALSE)</f>
        <v>0.99999999999999989</v>
      </c>
      <c r="P18" s="135">
        <f t="shared" si="5"/>
        <v>47.635999999999989</v>
      </c>
      <c r="Q18" s="137">
        <f t="shared" si="6"/>
        <v>0</v>
      </c>
      <c r="R18" s="317"/>
    </row>
    <row r="19" spans="1:18" ht="18.95" customHeight="1">
      <c r="A19" s="121">
        <v>17</v>
      </c>
      <c r="B19" s="124">
        <f>'Implementation and Revenue'!D28</f>
        <v>46447</v>
      </c>
      <c r="C19" s="125" t="str">
        <f t="shared" si="0"/>
        <v>2026-2027</v>
      </c>
      <c r="D19" s="110">
        <f>'Implementation and Revenue'!E28</f>
        <v>0</v>
      </c>
      <c r="E19" s="111"/>
      <c r="F19" s="111"/>
      <c r="G19" s="111"/>
      <c r="H19" s="111"/>
      <c r="I19" s="111"/>
      <c r="J19" s="132">
        <f>(VLOOKUP($E$2,'Implementation and Revenue'!$C$3:$D$7,2,FALSE)*E19)+(VLOOKUP($F$2,'Implementation and Revenue'!$C$3:$D$4,2,FALSE)*F19)+(VLOOKUP($G$2,'Implementation and Revenue'!$C$3:$D$7,2,FALSE)*'Inflow Calculation'!G19)+(VLOOKUP($H$2,'Implementation and Revenue'!$C$3:$D$7,2,FALSE)*H19+(VLOOKUP($I$2,'Implementation and Revenue'!$C$3:$D$7,2,FALSE)*I19))</f>
        <v>0</v>
      </c>
      <c r="K19" s="132">
        <f t="shared" si="4"/>
        <v>37444</v>
      </c>
      <c r="L19" s="133">
        <f>E19*VLOOKUP($E$2,'Implementation and Revenue'!$C$3:$D$7,2,FALSE)*'Implementation and Revenue'!$F$3/10^7+F19*VLOOKUP($F$2,'Implementation and Revenue'!$C$3:$D$7,2,FALSE)*'Implementation and Revenue'!$F$4/10^7+G19*VLOOKUP($G$2,'Implementation and Revenue'!$C$3:$D$7,2,FALSE)*'Implementation and Revenue'!$F$5/10^7+H19*VLOOKUP($H$2,'Implementation and Revenue'!$C$3:$D$7,2,FALSE)*'Implementation and Revenue'!$F$6/10^7+I19*VLOOKUP($I$2,'Implementation and Revenue'!$C$3:$D$7,2,FALSE)*'Implementation and Revenue'!$F$7/10^7</f>
        <v>0</v>
      </c>
      <c r="M19" s="133">
        <f>SUM($L$3:L19)</f>
        <v>47.635999999999996</v>
      </c>
      <c r="N19" s="134">
        <f>VLOOKUP(B19,'Implementation and Revenue'!$D$12:$G$40,3,FALSE)</f>
        <v>0</v>
      </c>
      <c r="O19" s="134">
        <f>VLOOKUP(B19,'Implementation and Revenue'!$D$12:$G$40,4,FALSE)</f>
        <v>0.99999999999999989</v>
      </c>
      <c r="P19" s="135">
        <f t="shared" si="5"/>
        <v>47.635999999999989</v>
      </c>
      <c r="Q19" s="137">
        <f t="shared" si="6"/>
        <v>0</v>
      </c>
      <c r="R19" s="87"/>
    </row>
    <row r="20" spans="1:18" ht="18.95" customHeight="1">
      <c r="A20" s="121">
        <v>18</v>
      </c>
      <c r="B20" s="124">
        <f>'Implementation and Revenue'!D29</f>
        <v>46539</v>
      </c>
      <c r="C20" s="125" t="str">
        <f t="shared" si="0"/>
        <v>2027-2028</v>
      </c>
      <c r="D20" s="110">
        <f>'Implementation and Revenue'!E29</f>
        <v>0</v>
      </c>
      <c r="E20" s="111"/>
      <c r="F20" s="111"/>
      <c r="G20" s="111"/>
      <c r="H20" s="111"/>
      <c r="I20" s="111"/>
      <c r="J20" s="132">
        <f>(VLOOKUP($E$2,'Implementation and Revenue'!$C$3:$D$7,2,FALSE)*E20)+(VLOOKUP($F$2,'Implementation and Revenue'!$C$3:$D$4,2,FALSE)*F20)+(VLOOKUP($G$2,'Implementation and Revenue'!$C$3:$D$7,2,FALSE)*'Inflow Calculation'!G20)+(VLOOKUP($H$2,'Implementation and Revenue'!$C$3:$D$7,2,FALSE)*H20+(VLOOKUP($I$2,'Implementation and Revenue'!$C$3:$D$7,2,FALSE)*I20))</f>
        <v>0</v>
      </c>
      <c r="K20" s="132">
        <f t="shared" si="4"/>
        <v>37444</v>
      </c>
      <c r="L20" s="133">
        <f>E20*VLOOKUP($E$2,'Implementation and Revenue'!$C$3:$D$7,2,FALSE)*'Implementation and Revenue'!$F$3/10^7+F20*VLOOKUP($F$2,'Implementation and Revenue'!$C$3:$D$7,2,FALSE)*'Implementation and Revenue'!$F$4/10^7+G20*VLOOKUP($G$2,'Implementation and Revenue'!$C$3:$D$7,2,FALSE)*'Implementation and Revenue'!$F$5/10^7+H20*VLOOKUP($H$2,'Implementation and Revenue'!$C$3:$D$7,2,FALSE)*'Implementation and Revenue'!$F$6/10^7+I20*VLOOKUP($I$2,'Implementation and Revenue'!$C$3:$D$7,2,FALSE)*'Implementation and Revenue'!$F$7/10^7</f>
        <v>0</v>
      </c>
      <c r="M20" s="133">
        <f>SUM($L$3:L20)</f>
        <v>47.635999999999996</v>
      </c>
      <c r="N20" s="134">
        <f>VLOOKUP(B20,'Implementation and Revenue'!$D$12:$G$40,3,FALSE)</f>
        <v>0</v>
      </c>
      <c r="O20" s="134">
        <f>VLOOKUP(B20,'Implementation and Revenue'!$D$12:$G$40,4,FALSE)</f>
        <v>0.99999999999999989</v>
      </c>
      <c r="P20" s="135">
        <f t="shared" si="5"/>
        <v>47.635999999999989</v>
      </c>
      <c r="Q20" s="137">
        <f t="shared" si="6"/>
        <v>0</v>
      </c>
      <c r="R20" s="87"/>
    </row>
    <row r="21" spans="1:18" ht="18.95" customHeight="1">
      <c r="A21" s="121">
        <v>19</v>
      </c>
      <c r="B21" s="124">
        <f>'Implementation and Revenue'!D30</f>
        <v>46631</v>
      </c>
      <c r="C21" s="125" t="str">
        <f t="shared" si="0"/>
        <v>2027-2028</v>
      </c>
      <c r="D21" s="110">
        <f>'Implementation and Revenue'!E30</f>
        <v>0</v>
      </c>
      <c r="E21" s="111"/>
      <c r="F21" s="111"/>
      <c r="G21" s="111"/>
      <c r="H21" s="111"/>
      <c r="I21" s="111"/>
      <c r="J21" s="132">
        <f>(VLOOKUP($E$2,'Implementation and Revenue'!$C$3:$D$7,2,FALSE)*E21)+(VLOOKUP($F$2,'Implementation and Revenue'!$C$3:$D$4,2,FALSE)*F21)+(VLOOKUP($G$2,'Implementation and Revenue'!$C$3:$D$7,2,FALSE)*'Inflow Calculation'!G21)+(VLOOKUP($H$2,'Implementation and Revenue'!$C$3:$D$7,2,FALSE)*H21+(VLOOKUP($I$2,'Implementation and Revenue'!$C$3:$D$7,2,FALSE)*I21))</f>
        <v>0</v>
      </c>
      <c r="K21" s="132">
        <f t="shared" si="4"/>
        <v>37444</v>
      </c>
      <c r="L21" s="133">
        <f>E21*VLOOKUP($E$2,'Implementation and Revenue'!$C$3:$D$7,2,FALSE)*'Implementation and Revenue'!$F$3/10^7+F21*VLOOKUP($F$2,'Implementation and Revenue'!$C$3:$D$7,2,FALSE)*'Implementation and Revenue'!$F$4/10^7+G21*VLOOKUP($G$2,'Implementation and Revenue'!$C$3:$D$7,2,FALSE)*'Implementation and Revenue'!$F$5/10^7+H21*VLOOKUP($H$2,'Implementation and Revenue'!$C$3:$D$7,2,FALSE)*'Implementation and Revenue'!$F$6/10^7+I21*VLOOKUP($I$2,'Implementation and Revenue'!$C$3:$D$7,2,FALSE)*'Implementation and Revenue'!$F$7/10^7</f>
        <v>0</v>
      </c>
      <c r="M21" s="133">
        <f>SUM($L$3:L21)</f>
        <v>47.635999999999996</v>
      </c>
      <c r="N21" s="134">
        <f>VLOOKUP(B21,'Implementation and Revenue'!$D$12:$G$40,3,FALSE)</f>
        <v>0</v>
      </c>
      <c r="O21" s="134">
        <f>VLOOKUP(B21,'Implementation and Revenue'!$D$12:$G$40,4,FALSE)</f>
        <v>0.99999999999999989</v>
      </c>
      <c r="P21" s="135">
        <f t="shared" si="5"/>
        <v>47.635999999999989</v>
      </c>
      <c r="Q21" s="137">
        <f t="shared" si="6"/>
        <v>0</v>
      </c>
      <c r="R21" s="87"/>
    </row>
    <row r="22" spans="1:18" ht="18.95" customHeight="1">
      <c r="A22" s="121">
        <v>20</v>
      </c>
      <c r="B22" s="124">
        <f>'Implementation and Revenue'!D31</f>
        <v>46722</v>
      </c>
      <c r="C22" s="125" t="str">
        <f t="shared" si="0"/>
        <v>2027-2028</v>
      </c>
      <c r="D22" s="110">
        <f>'Implementation and Revenue'!E31</f>
        <v>0</v>
      </c>
      <c r="E22" s="111"/>
      <c r="F22" s="111"/>
      <c r="G22" s="111"/>
      <c r="H22" s="111"/>
      <c r="I22" s="111"/>
      <c r="J22" s="132">
        <f>(VLOOKUP($E$2,'Implementation and Revenue'!$C$3:$D$7,2,FALSE)*E22)+(VLOOKUP($F$2,'Implementation and Revenue'!$C$3:$D$4,2,FALSE)*F22)+(VLOOKUP($G$2,'Implementation and Revenue'!$C$3:$D$7,2,FALSE)*'Inflow Calculation'!G22)+(VLOOKUP($H$2,'Implementation and Revenue'!$C$3:$D$7,2,FALSE)*H22+(VLOOKUP($I$2,'Implementation and Revenue'!$C$3:$D$7,2,FALSE)*I22))</f>
        <v>0</v>
      </c>
      <c r="K22" s="132">
        <f t="shared" si="4"/>
        <v>37444</v>
      </c>
      <c r="L22" s="133">
        <f>E22*VLOOKUP($E$2,'Implementation and Revenue'!$C$3:$D$7,2,FALSE)*'Implementation and Revenue'!$F$3/10^7+F22*VLOOKUP($F$2,'Implementation and Revenue'!$C$3:$D$7,2,FALSE)*'Implementation and Revenue'!$F$4/10^7+G22*VLOOKUP($G$2,'Implementation and Revenue'!$C$3:$D$7,2,FALSE)*'Implementation and Revenue'!$F$5/10^7+H22*VLOOKUP($H$2,'Implementation and Revenue'!$C$3:$D$7,2,FALSE)*'Implementation and Revenue'!$F$6/10^7+I22*VLOOKUP($I$2,'Implementation and Revenue'!$C$3:$D$7,2,FALSE)*'Implementation and Revenue'!$F$7/10^7</f>
        <v>0</v>
      </c>
      <c r="M22" s="133">
        <f>SUM($L$3:L22)</f>
        <v>47.635999999999996</v>
      </c>
      <c r="N22" s="134">
        <f>VLOOKUP(B22,'Implementation and Revenue'!$D$12:$G$40,3,FALSE)</f>
        <v>0</v>
      </c>
      <c r="O22" s="134">
        <f>VLOOKUP(B22,'Implementation and Revenue'!$D$12:$G$40,4,FALSE)</f>
        <v>0.99999999999999989</v>
      </c>
      <c r="P22" s="135">
        <f t="shared" si="5"/>
        <v>47.635999999999989</v>
      </c>
      <c r="Q22" s="137">
        <f t="shared" si="6"/>
        <v>0</v>
      </c>
      <c r="R22" s="87"/>
    </row>
    <row r="23" spans="1:18" ht="18.95" customHeight="1">
      <c r="A23" s="121">
        <v>21</v>
      </c>
      <c r="B23" s="124">
        <f>'Implementation and Revenue'!D32</f>
        <v>46813</v>
      </c>
      <c r="C23" s="125" t="str">
        <f t="shared" si="0"/>
        <v>2027-2028</v>
      </c>
      <c r="D23" s="110">
        <f>'Implementation and Revenue'!E32</f>
        <v>0</v>
      </c>
      <c r="E23" s="111"/>
      <c r="F23" s="111"/>
      <c r="G23" s="111"/>
      <c r="H23" s="111"/>
      <c r="I23" s="111"/>
      <c r="J23" s="132">
        <f>(VLOOKUP($E$2,'Implementation and Revenue'!$C$3:$D$7,2,FALSE)*E23)+(VLOOKUP($F$2,'Implementation and Revenue'!$C$3:$D$4,2,FALSE)*F23)+(VLOOKUP($G$2,'Implementation and Revenue'!$C$3:$D$7,2,FALSE)*'Inflow Calculation'!G23)+(VLOOKUP($H$2,'Implementation and Revenue'!$C$3:$D$7,2,FALSE)*H23+(VLOOKUP($I$2,'Implementation and Revenue'!$C$3:$D$7,2,FALSE)*I23))</f>
        <v>0</v>
      </c>
      <c r="K23" s="132">
        <f t="shared" si="4"/>
        <v>37444</v>
      </c>
      <c r="L23" s="133">
        <f>E23*VLOOKUP($E$2,'Implementation and Revenue'!$C$3:$D$7,2,FALSE)*'Implementation and Revenue'!$F$3/10^7+F23*VLOOKUP($F$2,'Implementation and Revenue'!$C$3:$D$7,2,FALSE)*'Implementation and Revenue'!$F$4/10^7+G23*VLOOKUP($G$2,'Implementation and Revenue'!$C$3:$D$7,2,FALSE)*'Implementation and Revenue'!$F$5/10^7+H23*VLOOKUP($H$2,'Implementation and Revenue'!$C$3:$D$7,2,FALSE)*'Implementation and Revenue'!$F$6/10^7+I23*VLOOKUP($I$2,'Implementation and Revenue'!$C$3:$D$7,2,FALSE)*'Implementation and Revenue'!$F$7/10^7</f>
        <v>0</v>
      </c>
      <c r="M23" s="133">
        <f>SUM($L$3:L23)</f>
        <v>47.635999999999996</v>
      </c>
      <c r="N23" s="134">
        <f>VLOOKUP(B23,'Implementation and Revenue'!$D$12:$G$40,3,FALSE)</f>
        <v>0</v>
      </c>
      <c r="O23" s="134">
        <f>VLOOKUP(B23,'Implementation and Revenue'!$D$12:$G$40,4,FALSE)</f>
        <v>0.99999999999999989</v>
      </c>
      <c r="P23" s="135">
        <f t="shared" si="5"/>
        <v>47.635999999999989</v>
      </c>
      <c r="Q23" s="137">
        <f>(L23*O23)+(M22*N23)</f>
        <v>0</v>
      </c>
      <c r="R23" s="87"/>
    </row>
    <row r="24" spans="1:18" ht="18.95" customHeight="1">
      <c r="A24" s="121">
        <v>22</v>
      </c>
      <c r="B24" s="124">
        <f>'Implementation and Revenue'!D33</f>
        <v>46905</v>
      </c>
      <c r="C24" s="125" t="str">
        <f t="shared" si="0"/>
        <v>2028-2029</v>
      </c>
      <c r="D24" s="110">
        <f>'Implementation and Revenue'!E33</f>
        <v>0</v>
      </c>
      <c r="E24" s="111"/>
      <c r="F24" s="111"/>
      <c r="G24" s="111"/>
      <c r="H24" s="111"/>
      <c r="I24" s="111"/>
      <c r="J24" s="132">
        <f>(VLOOKUP($E$2,'Implementation and Revenue'!$C$3:$D$7,2,FALSE)*E24)+(VLOOKUP($F$2,'Implementation and Revenue'!$C$3:$D$4,2,FALSE)*F24)+(VLOOKUP($G$2,'Implementation and Revenue'!$C$3:$D$7,2,FALSE)*'Inflow Calculation'!G24)+(VLOOKUP($H$2,'Implementation and Revenue'!$C$3:$D$7,2,FALSE)*H24+(VLOOKUP($I$2,'Implementation and Revenue'!$C$3:$D$7,2,FALSE)*I24))</f>
        <v>0</v>
      </c>
      <c r="K24" s="132">
        <f t="shared" si="4"/>
        <v>37444</v>
      </c>
      <c r="L24" s="133">
        <f>E24*VLOOKUP($E$2,'Implementation and Revenue'!$C$3:$D$7,2,FALSE)*'Implementation and Revenue'!$F$3/10^7+F24*VLOOKUP($F$2,'Implementation and Revenue'!$C$3:$D$7,2,FALSE)*'Implementation and Revenue'!$F$4/10^7+G24*VLOOKUP($G$2,'Implementation and Revenue'!$C$3:$D$7,2,FALSE)*'Implementation and Revenue'!$F$5/10^7+H24*VLOOKUP($H$2,'Implementation and Revenue'!$C$3:$D$7,2,FALSE)*'Implementation and Revenue'!$F$6/10^7+I24*VLOOKUP($I$2,'Implementation and Revenue'!$C$3:$D$7,2,FALSE)*'Implementation and Revenue'!$F$7/10^7</f>
        <v>0</v>
      </c>
      <c r="M24" s="133">
        <f>SUM($L$3:L24)</f>
        <v>47.635999999999996</v>
      </c>
      <c r="N24" s="134">
        <f>VLOOKUP(B24,'Implementation and Revenue'!$D$12:$G$40,3,FALSE)</f>
        <v>0</v>
      </c>
      <c r="O24" s="134">
        <f>VLOOKUP(B24,'Implementation and Revenue'!$D$12:$G$40,4,FALSE)</f>
        <v>0.99999999999999989</v>
      </c>
      <c r="P24" s="135">
        <f t="shared" si="5"/>
        <v>47.635999999999989</v>
      </c>
      <c r="Q24" s="137">
        <f t="shared" ref="Q24:Q31" si="7">(L24*O24)+(M23*N24)</f>
        <v>0</v>
      </c>
      <c r="R24" s="87"/>
    </row>
    <row r="25" spans="1:18" ht="18.95" customHeight="1">
      <c r="A25" s="121">
        <v>23</v>
      </c>
      <c r="B25" s="124">
        <f>'Implementation and Revenue'!D34</f>
        <v>46997</v>
      </c>
      <c r="C25" s="125" t="str">
        <f t="shared" si="0"/>
        <v>2028-2029</v>
      </c>
      <c r="D25" s="110">
        <f>'Implementation and Revenue'!E34</f>
        <v>0</v>
      </c>
      <c r="E25" s="111"/>
      <c r="F25" s="111"/>
      <c r="G25" s="111"/>
      <c r="H25" s="111"/>
      <c r="I25" s="111"/>
      <c r="J25" s="132">
        <f>(VLOOKUP($E$2,'Implementation and Revenue'!$C$3:$D$7,2,FALSE)*E25)+(VLOOKUP($F$2,'Implementation and Revenue'!$C$3:$D$4,2,FALSE)*F25)+(VLOOKUP($G$2,'Implementation and Revenue'!$C$3:$D$7,2,FALSE)*'Inflow Calculation'!G25)+(VLOOKUP($H$2,'Implementation and Revenue'!$C$3:$D$7,2,FALSE)*H25+(VLOOKUP($I$2,'Implementation and Revenue'!$C$3:$D$7,2,FALSE)*I25))</f>
        <v>0</v>
      </c>
      <c r="K25" s="132">
        <f t="shared" si="4"/>
        <v>37444</v>
      </c>
      <c r="L25" s="133">
        <f>E25*VLOOKUP($E$2,'Implementation and Revenue'!$C$3:$D$7,2,FALSE)*'Implementation and Revenue'!$F$3/10^7+F25*VLOOKUP($F$2,'Implementation and Revenue'!$C$3:$D$7,2,FALSE)*'Implementation and Revenue'!$F$4/10^7+G25*VLOOKUP($G$2,'Implementation and Revenue'!$C$3:$D$7,2,FALSE)*'Implementation and Revenue'!$F$5/10^7+H25*VLOOKUP($H$2,'Implementation and Revenue'!$C$3:$D$7,2,FALSE)*'Implementation and Revenue'!$F$6/10^7+I25*VLOOKUP($I$2,'Implementation and Revenue'!$C$3:$D$7,2,FALSE)*'Implementation and Revenue'!$F$7/10^7</f>
        <v>0</v>
      </c>
      <c r="M25" s="133">
        <f>SUM($L$3:L25)</f>
        <v>47.635999999999996</v>
      </c>
      <c r="N25" s="134">
        <f>VLOOKUP(B25,'Implementation and Revenue'!$D$12:$G$40,3,FALSE)</f>
        <v>0</v>
      </c>
      <c r="O25" s="134">
        <f>VLOOKUP(B25,'Implementation and Revenue'!$D$12:$G$40,4,FALSE)</f>
        <v>0.99999999999999989</v>
      </c>
      <c r="P25" s="135">
        <f t="shared" si="5"/>
        <v>47.635999999999989</v>
      </c>
      <c r="Q25" s="137">
        <f t="shared" si="7"/>
        <v>0</v>
      </c>
      <c r="R25" s="87"/>
    </row>
    <row r="26" spans="1:18" ht="18.95" customHeight="1">
      <c r="A26" s="121">
        <v>24</v>
      </c>
      <c r="B26" s="124">
        <f>'Implementation and Revenue'!D35</f>
        <v>47088</v>
      </c>
      <c r="C26" s="125" t="str">
        <f t="shared" si="0"/>
        <v>2028-2029</v>
      </c>
      <c r="D26" s="110">
        <f>'Implementation and Revenue'!E35</f>
        <v>0</v>
      </c>
      <c r="E26" s="111"/>
      <c r="F26" s="111"/>
      <c r="G26" s="111"/>
      <c r="H26" s="111"/>
      <c r="I26" s="111"/>
      <c r="J26" s="132">
        <f>(VLOOKUP($E$2,'Implementation and Revenue'!$C$3:$D$7,2,FALSE)*E26)+(VLOOKUP($F$2,'Implementation and Revenue'!$C$3:$D$4,2,FALSE)*F26)+(VLOOKUP($G$2,'Implementation and Revenue'!$C$3:$D$7,2,FALSE)*'Inflow Calculation'!G26)+(VLOOKUP($H$2,'Implementation and Revenue'!$C$3:$D$7,2,FALSE)*H26+(VLOOKUP($I$2,'Implementation and Revenue'!$C$3:$D$7,2,FALSE)*I26))</f>
        <v>0</v>
      </c>
      <c r="K26" s="132">
        <f t="shared" si="4"/>
        <v>37444</v>
      </c>
      <c r="L26" s="133">
        <f>E26*VLOOKUP($E$2,'Implementation and Revenue'!$C$3:$D$7,2,FALSE)*'Implementation and Revenue'!$F$3/10^7+F26*VLOOKUP($F$2,'Implementation and Revenue'!$C$3:$D$7,2,FALSE)*'Implementation and Revenue'!$F$4/10^7+G26*VLOOKUP($G$2,'Implementation and Revenue'!$C$3:$D$7,2,FALSE)*'Implementation and Revenue'!$F$5/10^7+H26*VLOOKUP($H$2,'Implementation and Revenue'!$C$3:$D$7,2,FALSE)*'Implementation and Revenue'!$F$6/10^7+I26*VLOOKUP($I$2,'Implementation and Revenue'!$C$3:$D$7,2,FALSE)*'Implementation and Revenue'!$F$7/10^7</f>
        <v>0</v>
      </c>
      <c r="M26" s="133">
        <f>SUM($L$3:L26)</f>
        <v>47.635999999999996</v>
      </c>
      <c r="N26" s="134">
        <f>VLOOKUP(B26,'Implementation and Revenue'!$D$12:$G$40,3,FALSE)</f>
        <v>0</v>
      </c>
      <c r="O26" s="134">
        <f>VLOOKUP(B26,'Implementation and Revenue'!$D$12:$G$40,4,FALSE)</f>
        <v>0.99999999999999989</v>
      </c>
      <c r="P26" s="135">
        <f t="shared" si="5"/>
        <v>47.635999999999989</v>
      </c>
      <c r="Q26" s="137">
        <f t="shared" si="7"/>
        <v>0</v>
      </c>
      <c r="R26" s="87"/>
    </row>
    <row r="27" spans="1:18" ht="18.95" customHeight="1">
      <c r="A27" s="121">
        <v>25</v>
      </c>
      <c r="B27" s="124">
        <f>'Implementation and Revenue'!D36</f>
        <v>47178</v>
      </c>
      <c r="C27" s="125" t="str">
        <f t="shared" si="0"/>
        <v>2028-2029</v>
      </c>
      <c r="D27" s="110">
        <f>'Implementation and Revenue'!E36</f>
        <v>0</v>
      </c>
      <c r="E27" s="111"/>
      <c r="F27" s="111"/>
      <c r="G27" s="111"/>
      <c r="H27" s="111"/>
      <c r="I27" s="111"/>
      <c r="J27" s="132">
        <f>(VLOOKUP($E$2,'Implementation and Revenue'!$C$3:$D$7,2,FALSE)*E27)+(VLOOKUP($F$2,'Implementation and Revenue'!$C$3:$D$4,2,FALSE)*F27)+(VLOOKUP($G$2,'Implementation and Revenue'!$C$3:$D$7,2,FALSE)*'Inflow Calculation'!G27)+(VLOOKUP($H$2,'Implementation and Revenue'!$C$3:$D$7,2,FALSE)*H27+(VLOOKUP($I$2,'Implementation and Revenue'!$C$3:$D$7,2,FALSE)*I27))</f>
        <v>0</v>
      </c>
      <c r="K27" s="132">
        <f t="shared" si="4"/>
        <v>37444</v>
      </c>
      <c r="L27" s="133">
        <f>E27*VLOOKUP($E$2,'Implementation and Revenue'!$C$3:$D$7,2,FALSE)*'Implementation and Revenue'!$F$3/10^7+F27*VLOOKUP($F$2,'Implementation and Revenue'!$C$3:$D$7,2,FALSE)*'Implementation and Revenue'!$F$4/10^7+G27*VLOOKUP($G$2,'Implementation and Revenue'!$C$3:$D$7,2,FALSE)*'Implementation and Revenue'!$F$5/10^7+H27*VLOOKUP($H$2,'Implementation and Revenue'!$C$3:$D$7,2,FALSE)*'Implementation and Revenue'!$F$6/10^7+I27*VLOOKUP($I$2,'Implementation and Revenue'!$C$3:$D$7,2,FALSE)*'Implementation and Revenue'!$F$7/10^7</f>
        <v>0</v>
      </c>
      <c r="M27" s="133">
        <f>SUM($L$3:L27)</f>
        <v>47.635999999999996</v>
      </c>
      <c r="N27" s="134">
        <f>VLOOKUP(B27,'Implementation and Revenue'!$D$12:$G$40,3,FALSE)</f>
        <v>0</v>
      </c>
      <c r="O27" s="134">
        <f>VLOOKUP(B27,'Implementation and Revenue'!$D$12:$G$40,4,FALSE)</f>
        <v>0.99999999999999989</v>
      </c>
      <c r="P27" s="135">
        <f t="shared" si="5"/>
        <v>47.635999999999989</v>
      </c>
      <c r="Q27" s="137">
        <f t="shared" si="7"/>
        <v>0</v>
      </c>
      <c r="R27" s="87"/>
    </row>
    <row r="28" spans="1:18" ht="18.95" customHeight="1">
      <c r="A28" s="121">
        <v>26</v>
      </c>
      <c r="B28" s="124">
        <f>'Implementation and Revenue'!D37</f>
        <v>47270</v>
      </c>
      <c r="C28" s="125" t="str">
        <f t="shared" si="0"/>
        <v>2029-2030</v>
      </c>
      <c r="D28" s="110">
        <f>'Implementation and Revenue'!E37</f>
        <v>0</v>
      </c>
      <c r="E28" s="111"/>
      <c r="F28" s="111"/>
      <c r="G28" s="111"/>
      <c r="H28" s="111"/>
      <c r="I28" s="111"/>
      <c r="J28" s="132">
        <f>(VLOOKUP($E$2,'Implementation and Revenue'!$C$3:$D$7,2,FALSE)*E28)+(VLOOKUP($F$2,'Implementation and Revenue'!$C$3:$D$4,2,FALSE)*F28)+(VLOOKUP($G$2,'Implementation and Revenue'!$C$3:$D$7,2,FALSE)*'Inflow Calculation'!G28)+(VLOOKUP($H$2,'Implementation and Revenue'!$C$3:$D$7,2,FALSE)*H28+(VLOOKUP($I$2,'Implementation and Revenue'!$C$3:$D$7,2,FALSE)*I28))</f>
        <v>0</v>
      </c>
      <c r="K28" s="132">
        <f>J28+K27</f>
        <v>37444</v>
      </c>
      <c r="L28" s="133">
        <f>E28*VLOOKUP($E$2,'Implementation and Revenue'!$C$3:$D$7,2,FALSE)*'Implementation and Revenue'!$F$3/10^7+F28*VLOOKUP($F$2,'Implementation and Revenue'!$C$3:$D$7,2,FALSE)*'Implementation and Revenue'!$F$4/10^7+G28*VLOOKUP($G$2,'Implementation and Revenue'!$C$3:$D$7,2,FALSE)*'Implementation and Revenue'!$F$5/10^7+H28*VLOOKUP($H$2,'Implementation and Revenue'!$C$3:$D$7,2,FALSE)*'Implementation and Revenue'!$F$6/10^7+I28*VLOOKUP($I$2,'Implementation and Revenue'!$C$3:$D$7,2,FALSE)*'Implementation and Revenue'!$F$7/10^7</f>
        <v>0</v>
      </c>
      <c r="M28" s="133">
        <f>SUM($L$3:L28)</f>
        <v>47.635999999999996</v>
      </c>
      <c r="N28" s="134">
        <f>VLOOKUP(B28,'Implementation and Revenue'!$D$12:$G$40,3,FALSE)</f>
        <v>0</v>
      </c>
      <c r="O28" s="134">
        <f>VLOOKUP(B28,'Implementation and Revenue'!$D$12:$G$40,4,FALSE)</f>
        <v>0.99999999999999989</v>
      </c>
      <c r="P28" s="135">
        <f t="shared" si="5"/>
        <v>47.635999999999989</v>
      </c>
      <c r="Q28" s="137">
        <f t="shared" si="7"/>
        <v>0</v>
      </c>
      <c r="R28" s="87"/>
    </row>
    <row r="29" spans="1:18" ht="18.95" customHeight="1">
      <c r="A29" s="121">
        <v>27</v>
      </c>
      <c r="B29" s="124">
        <f>'Implementation and Revenue'!D38</f>
        <v>47362</v>
      </c>
      <c r="C29" s="125" t="str">
        <f t="shared" si="0"/>
        <v>2029-2030</v>
      </c>
      <c r="D29" s="110">
        <f>'Implementation and Revenue'!E38</f>
        <v>0</v>
      </c>
      <c r="E29" s="111"/>
      <c r="F29" s="111"/>
      <c r="G29" s="111"/>
      <c r="H29" s="111"/>
      <c r="I29" s="111"/>
      <c r="J29" s="132">
        <f>(VLOOKUP($E$2,'Implementation and Revenue'!$C$3:$D$7,2,FALSE)*E29)+(VLOOKUP($F$2,'Implementation and Revenue'!$C$3:$D$4,2,FALSE)*F29)+(VLOOKUP($G$2,'Implementation and Revenue'!$C$3:$D$7,2,FALSE)*'Inflow Calculation'!G29)+(VLOOKUP($H$2,'Implementation and Revenue'!$C$3:$D$7,2,FALSE)*H29+(VLOOKUP($I$2,'Implementation and Revenue'!$C$3:$D$7,2,FALSE)*I29))</f>
        <v>0</v>
      </c>
      <c r="K29" s="132">
        <f t="shared" si="4"/>
        <v>37444</v>
      </c>
      <c r="L29" s="133">
        <f>E29*VLOOKUP($E$2,'Implementation and Revenue'!$C$3:$D$7,2,FALSE)*'Implementation and Revenue'!$F$3/10^7+F29*VLOOKUP($F$2,'Implementation and Revenue'!$C$3:$D$7,2,FALSE)*'Implementation and Revenue'!$F$4/10^7+G29*VLOOKUP($G$2,'Implementation and Revenue'!$C$3:$D$7,2,FALSE)*'Implementation and Revenue'!$F$5/10^7+H29*VLOOKUP($H$2,'Implementation and Revenue'!$C$3:$D$7,2,FALSE)*'Implementation and Revenue'!$F$6/10^7+I29*VLOOKUP($I$2,'Implementation and Revenue'!$C$3:$D$7,2,FALSE)*'Implementation and Revenue'!$F$7/10^7</f>
        <v>0</v>
      </c>
      <c r="M29" s="133">
        <f>SUM($L$3:L29)</f>
        <v>47.635999999999996</v>
      </c>
      <c r="N29" s="134">
        <f>VLOOKUP(B29,'Implementation and Revenue'!$D$12:$G$40,3,FALSE)</f>
        <v>0</v>
      </c>
      <c r="O29" s="134">
        <f>VLOOKUP(B29,'Implementation and Revenue'!$D$12:$G$40,4,FALSE)</f>
        <v>0.99999999999999989</v>
      </c>
      <c r="P29" s="135">
        <f t="shared" si="5"/>
        <v>47.635999999999989</v>
      </c>
      <c r="Q29" s="137">
        <f t="shared" si="7"/>
        <v>0</v>
      </c>
      <c r="R29" s="87"/>
    </row>
    <row r="30" spans="1:18" ht="18.95" customHeight="1">
      <c r="A30" s="121">
        <v>28</v>
      </c>
      <c r="B30" s="124">
        <f>'Implementation and Revenue'!D39</f>
        <v>47453</v>
      </c>
      <c r="C30" s="125" t="str">
        <f t="shared" si="0"/>
        <v>2029-2030</v>
      </c>
      <c r="D30" s="110">
        <f>'Implementation and Revenue'!E39</f>
        <v>0</v>
      </c>
      <c r="E30" s="111"/>
      <c r="F30" s="111"/>
      <c r="G30" s="111"/>
      <c r="H30" s="111"/>
      <c r="I30" s="111"/>
      <c r="J30" s="132">
        <f>(VLOOKUP($E$2,'Implementation and Revenue'!$C$3:$D$7,2,FALSE)*E30)+(VLOOKUP($F$2,'Implementation and Revenue'!$C$3:$D$4,2,FALSE)*F30)+(VLOOKUP($G$2,'Implementation and Revenue'!$C$3:$D$7,2,FALSE)*'Inflow Calculation'!G30)+(VLOOKUP($H$2,'Implementation and Revenue'!$C$3:$D$7,2,FALSE)*H30+(VLOOKUP($I$2,'Implementation and Revenue'!$C$3:$D$7,2,FALSE)*I30))</f>
        <v>0</v>
      </c>
      <c r="K30" s="132">
        <f t="shared" si="4"/>
        <v>37444</v>
      </c>
      <c r="L30" s="133">
        <f>E30*VLOOKUP($E$2,'Implementation and Revenue'!$C$3:$D$7,2,FALSE)*'Implementation and Revenue'!$F$3/10^7+F30*VLOOKUP($F$2,'Implementation and Revenue'!$C$3:$D$7,2,FALSE)*'Implementation and Revenue'!$F$4/10^7+G30*VLOOKUP($G$2,'Implementation and Revenue'!$C$3:$D$7,2,FALSE)*'Implementation and Revenue'!$F$5/10^7+H30*VLOOKUP($H$2,'Implementation and Revenue'!$C$3:$D$7,2,FALSE)*'Implementation and Revenue'!$F$6/10^7+I30*VLOOKUP($I$2,'Implementation and Revenue'!$C$3:$D$7,2,FALSE)*'Implementation and Revenue'!$F$7/10^7</f>
        <v>0</v>
      </c>
      <c r="M30" s="133">
        <f>SUM($L$3:L30)</f>
        <v>47.635999999999996</v>
      </c>
      <c r="N30" s="134">
        <f>VLOOKUP(B30,'Implementation and Revenue'!$D$12:$G$40,3,FALSE)</f>
        <v>0</v>
      </c>
      <c r="O30" s="134">
        <f>VLOOKUP(B30,'Implementation and Revenue'!$D$12:$G$40,4,FALSE)</f>
        <v>0.99999999999999989</v>
      </c>
      <c r="P30" s="135">
        <f t="shared" si="5"/>
        <v>47.635999999999989</v>
      </c>
      <c r="Q30" s="137">
        <f t="shared" si="7"/>
        <v>0</v>
      </c>
      <c r="R30" s="87"/>
    </row>
    <row r="31" spans="1:18" ht="18.95" customHeight="1">
      <c r="A31" s="121">
        <v>29</v>
      </c>
      <c r="B31" s="124">
        <f>'Implementation and Revenue'!D40</f>
        <v>47543</v>
      </c>
      <c r="C31" s="125" t="str">
        <f t="shared" si="0"/>
        <v>2029-2030</v>
      </c>
      <c r="D31" s="110">
        <f>'Implementation and Revenue'!E40</f>
        <v>0</v>
      </c>
      <c r="E31" s="111"/>
      <c r="F31" s="111"/>
      <c r="G31" s="111"/>
      <c r="H31" s="111"/>
      <c r="I31" s="111"/>
      <c r="J31" s="132">
        <f>(VLOOKUP($E$2,'Implementation and Revenue'!$C$3:$D$7,2,FALSE)*E31)+(VLOOKUP($F$2,'Implementation and Revenue'!$C$3:$D$4,2,FALSE)*F31)+(VLOOKUP($G$2,'Implementation and Revenue'!$C$3:$D$7,2,FALSE)*'Inflow Calculation'!G31)+(VLOOKUP($H$2,'Implementation and Revenue'!$C$3:$D$7,2,FALSE)*H31+(VLOOKUP($I$2,'Implementation and Revenue'!$C$3:$D$7,2,FALSE)*I31))</f>
        <v>0</v>
      </c>
      <c r="K31" s="132">
        <f>J31+K30</f>
        <v>37444</v>
      </c>
      <c r="L31" s="133">
        <f>E31*VLOOKUP($E$2,'Implementation and Revenue'!$C$3:$D$7,2,FALSE)*'Implementation and Revenue'!$F$3/10^7+F31*VLOOKUP($F$2,'Implementation and Revenue'!$C$3:$D$7,2,FALSE)*'Implementation and Revenue'!$F$4/10^7+G31*VLOOKUP($G$2,'Implementation and Revenue'!$C$3:$D$7,2,FALSE)*'Implementation and Revenue'!$F$5/10^7+H31*VLOOKUP($H$2,'Implementation and Revenue'!$C$3:$D$7,2,FALSE)*'Implementation and Revenue'!$F$6/10^7+I31*VLOOKUP($I$2,'Implementation and Revenue'!$C$3:$D$7,2,FALSE)*'Implementation and Revenue'!$F$7/10^7</f>
        <v>0</v>
      </c>
      <c r="M31" s="133">
        <f>SUM($L$3:L31)</f>
        <v>47.635999999999996</v>
      </c>
      <c r="N31" s="134">
        <f>VLOOKUP(B31,'Implementation and Revenue'!$D$12:$G$40,3,FALSE)</f>
        <v>0</v>
      </c>
      <c r="O31" s="134">
        <f>VLOOKUP(B31,'Implementation and Revenue'!$D$12:$G$40,4,FALSE)</f>
        <v>0.99999999999999989</v>
      </c>
      <c r="P31" s="135">
        <f t="shared" si="5"/>
        <v>47.635999999999989</v>
      </c>
      <c r="Q31" s="137">
        <f t="shared" si="7"/>
        <v>0</v>
      </c>
      <c r="R31" s="87"/>
    </row>
    <row r="32" spans="1:18" ht="17.100000000000001" customHeight="1">
      <c r="A32" s="113"/>
      <c r="B32" s="114"/>
      <c r="C32" s="114"/>
      <c r="D32" s="115"/>
      <c r="E32" s="116">
        <f>SUM(E3:E31)</f>
        <v>11</v>
      </c>
      <c r="F32" s="116">
        <f>SUM(F3:F31)</f>
        <v>13</v>
      </c>
      <c r="G32" s="116">
        <f>SUM(G3:G31)</f>
        <v>26</v>
      </c>
      <c r="H32" s="116">
        <f>SUM(H3:H31)</f>
        <v>6</v>
      </c>
      <c r="I32" s="116">
        <f>SUM(I3:I31)</f>
        <v>4</v>
      </c>
      <c r="J32" s="117"/>
      <c r="K32" s="117"/>
      <c r="L32" s="118"/>
      <c r="M32" s="118"/>
      <c r="N32" s="119"/>
      <c r="O32" s="119"/>
      <c r="P32" s="118"/>
      <c r="Q32" s="120">
        <f>SUM(Q3:Q31)</f>
        <v>47.635999999999989</v>
      </c>
      <c r="R32" s="87">
        <f>Q32*36.4%</f>
        <v>17.339503999999994</v>
      </c>
    </row>
  </sheetData>
  <sheetProtection formatCells="0" formatColumns="0" formatRows="0" sort="0" autoFilter="0" pivotTables="0"/>
  <mergeCells count="1">
    <mergeCell ref="A1:Q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workbookViewId="0">
      <pane ySplit="3" topLeftCell="A4" activePane="bottomLeft" state="frozen"/>
      <selection activeCell="B1" sqref="B1"/>
      <selection pane="bottomLeft" activeCell="G11" sqref="G11"/>
    </sheetView>
  </sheetViews>
  <sheetFormatPr defaultColWidth="8.85546875" defaultRowHeight="15" customHeight="1"/>
  <cols>
    <col min="1" max="1" width="39.85546875" style="138" customWidth="1"/>
    <col min="2" max="2" width="13.7109375" style="138" bestFit="1" customWidth="1"/>
    <col min="3" max="32" width="11.140625" style="138" customWidth="1"/>
    <col min="33" max="16384" width="8.85546875" style="138"/>
  </cols>
  <sheetData>
    <row r="1" spans="1:35">
      <c r="A1" s="526" t="str">
        <f>'Project Brief'!B1</f>
        <v>Shreeji Angarika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</row>
    <row r="2" spans="1:35" ht="14.25">
      <c r="A2" s="527" t="s">
        <v>23</v>
      </c>
      <c r="B2" s="150" t="s">
        <v>130</v>
      </c>
      <c r="C2" s="151" t="str">
        <f>IF(MONTH(C3)&lt;4,YEAR(C3)-1 &amp; "-" &amp; YEAR(C3),YEAR(C3) &amp; "-" &amp; YEAR(C3)+1)</f>
        <v>2022-2023</v>
      </c>
      <c r="D2" s="151" t="str">
        <f t="shared" ref="D2:R2" si="0">IF(MONTH(D3)&lt;4,YEAR(D3)-1 &amp; "-" &amp; YEAR(D3),YEAR(D3) &amp; "-" &amp; YEAR(D3)+1)</f>
        <v>2023-2024</v>
      </c>
      <c r="E2" s="151" t="str">
        <f t="shared" si="0"/>
        <v>2023-2024</v>
      </c>
      <c r="F2" s="151" t="str">
        <f t="shared" si="0"/>
        <v>2023-2024</v>
      </c>
      <c r="G2" s="151" t="str">
        <f t="shared" si="0"/>
        <v>2023-2024</v>
      </c>
      <c r="H2" s="151" t="str">
        <f t="shared" si="0"/>
        <v>2024-2025</v>
      </c>
      <c r="I2" s="151" t="str">
        <f t="shared" si="0"/>
        <v>2024-2025</v>
      </c>
      <c r="J2" s="151" t="str">
        <f t="shared" si="0"/>
        <v>2024-2025</v>
      </c>
      <c r="K2" s="151" t="str">
        <f t="shared" si="0"/>
        <v>2024-2025</v>
      </c>
      <c r="L2" s="151" t="str">
        <f t="shared" si="0"/>
        <v>2025-2026</v>
      </c>
      <c r="M2" s="151" t="str">
        <f t="shared" si="0"/>
        <v>2025-2026</v>
      </c>
      <c r="N2" s="151" t="str">
        <f t="shared" si="0"/>
        <v>2025-2026</v>
      </c>
      <c r="O2" s="151" t="str">
        <f t="shared" si="0"/>
        <v>2025-2026</v>
      </c>
      <c r="P2" s="151" t="str">
        <f t="shared" si="0"/>
        <v>2026-2027</v>
      </c>
      <c r="Q2" s="151" t="str">
        <f t="shared" si="0"/>
        <v>2026-2027</v>
      </c>
      <c r="R2" s="151" t="str">
        <f t="shared" si="0"/>
        <v>2026-2027</v>
      </c>
      <c r="S2" s="151" t="str">
        <f t="shared" ref="S2:AE2" si="1">IF(MONTH(S3)&lt;4,YEAR(S3)-1 &amp; "-" &amp; YEAR(S3),YEAR(S3) &amp; "-" &amp; YEAR(S3)+1)</f>
        <v>2026-2027</v>
      </c>
      <c r="T2" s="151" t="str">
        <f t="shared" si="1"/>
        <v>2027-2028</v>
      </c>
      <c r="U2" s="151" t="str">
        <f t="shared" si="1"/>
        <v>2027-2028</v>
      </c>
      <c r="V2" s="151" t="str">
        <f t="shared" si="1"/>
        <v>2027-2028</v>
      </c>
      <c r="W2" s="151" t="str">
        <f t="shared" si="1"/>
        <v>2027-2028</v>
      </c>
      <c r="X2" s="151" t="str">
        <f t="shared" si="1"/>
        <v>2028-2029</v>
      </c>
      <c r="Y2" s="151" t="str">
        <f t="shared" si="1"/>
        <v>2028-2029</v>
      </c>
      <c r="Z2" s="151" t="str">
        <f t="shared" si="1"/>
        <v>2028-2029</v>
      </c>
      <c r="AA2" s="151" t="str">
        <f t="shared" si="1"/>
        <v>2028-2029</v>
      </c>
      <c r="AB2" s="151" t="str">
        <f t="shared" si="1"/>
        <v>2029-2030</v>
      </c>
      <c r="AC2" s="151" t="str">
        <f t="shared" si="1"/>
        <v>2029-2030</v>
      </c>
      <c r="AD2" s="151" t="str">
        <f t="shared" si="1"/>
        <v>2029-2030</v>
      </c>
      <c r="AE2" s="151" t="str">
        <f t="shared" si="1"/>
        <v>2029-2030</v>
      </c>
      <c r="AF2" s="151"/>
    </row>
    <row r="3" spans="1:35" s="139" customFormat="1">
      <c r="A3" s="527"/>
      <c r="B3" s="527"/>
      <c r="C3" s="235">
        <v>44986</v>
      </c>
      <c r="D3" s="235">
        <v>45078</v>
      </c>
      <c r="E3" s="235">
        <v>45170</v>
      </c>
      <c r="F3" s="235">
        <v>45261</v>
      </c>
      <c r="G3" s="235">
        <v>45352</v>
      </c>
      <c r="H3" s="235">
        <v>45444</v>
      </c>
      <c r="I3" s="235">
        <v>45536</v>
      </c>
      <c r="J3" s="235">
        <v>45627</v>
      </c>
      <c r="K3" s="235">
        <v>45717</v>
      </c>
      <c r="L3" s="235">
        <v>45809</v>
      </c>
      <c r="M3" s="235">
        <v>45901</v>
      </c>
      <c r="N3" s="235">
        <v>45992</v>
      </c>
      <c r="O3" s="235">
        <v>46082</v>
      </c>
      <c r="P3" s="235">
        <v>46174</v>
      </c>
      <c r="Q3" s="235">
        <v>46266</v>
      </c>
      <c r="R3" s="235">
        <v>46357</v>
      </c>
      <c r="S3" s="235">
        <v>46447</v>
      </c>
      <c r="T3" s="235">
        <v>46539</v>
      </c>
      <c r="U3" s="235">
        <v>46631</v>
      </c>
      <c r="V3" s="235">
        <v>46722</v>
      </c>
      <c r="W3" s="235">
        <v>46813</v>
      </c>
      <c r="X3" s="235">
        <v>46905</v>
      </c>
      <c r="Y3" s="235">
        <v>46997</v>
      </c>
      <c r="Z3" s="235">
        <v>47088</v>
      </c>
      <c r="AA3" s="235">
        <v>47178</v>
      </c>
      <c r="AB3" s="235">
        <v>47270</v>
      </c>
      <c r="AC3" s="235">
        <v>47362</v>
      </c>
      <c r="AD3" s="235">
        <v>47453</v>
      </c>
      <c r="AE3" s="235">
        <v>47543</v>
      </c>
      <c r="AF3" s="152" t="s">
        <v>2</v>
      </c>
    </row>
    <row r="4" spans="1:35" s="139" customFormat="1">
      <c r="A4" s="527"/>
      <c r="B4" s="527"/>
      <c r="C4" s="236" t="s">
        <v>24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153"/>
    </row>
    <row r="5" spans="1:35" ht="14.25">
      <c r="A5" s="154" t="s">
        <v>25</v>
      </c>
      <c r="B5" s="528"/>
      <c r="C5" s="155"/>
      <c r="D5" s="155">
        <f>C31</f>
        <v>0</v>
      </c>
      <c r="E5" s="155">
        <f t="shared" ref="E5:M5" si="2">+D31</f>
        <v>0.22887499999999994</v>
      </c>
      <c r="F5" s="155">
        <f t="shared" si="2"/>
        <v>2.0082499999999559E-2</v>
      </c>
      <c r="G5" s="155">
        <f t="shared" si="2"/>
        <v>3.7432499999999536E-2</v>
      </c>
      <c r="H5" s="155">
        <f t="shared" si="2"/>
        <v>4.3274999999999952E-2</v>
      </c>
      <c r="I5" s="155">
        <f t="shared" si="2"/>
        <v>3.7204999999999266E-2</v>
      </c>
      <c r="J5" s="155">
        <f t="shared" si="2"/>
        <v>0.26459999999999928</v>
      </c>
      <c r="K5" s="155">
        <f t="shared" si="2"/>
        <v>0.48034999999999906</v>
      </c>
      <c r="L5" s="155">
        <f t="shared" si="2"/>
        <v>0.671391249999999</v>
      </c>
      <c r="M5" s="155">
        <f t="shared" si="2"/>
        <v>0.8313437499999986</v>
      </c>
      <c r="N5" s="155">
        <f t="shared" ref="N5:AE5" si="3">+M31</f>
        <v>4.760718749999997</v>
      </c>
      <c r="O5" s="155">
        <f t="shared" si="3"/>
        <v>5.6992187499999964</v>
      </c>
      <c r="P5" s="155">
        <f t="shared" si="3"/>
        <v>17.066318749999994</v>
      </c>
      <c r="Q5" s="155">
        <f t="shared" si="3"/>
        <v>21.455418749999993</v>
      </c>
      <c r="R5" s="155">
        <f t="shared" si="3"/>
        <v>21.455418749999993</v>
      </c>
      <c r="S5" s="155">
        <f t="shared" si="3"/>
        <v>21.455418749999993</v>
      </c>
      <c r="T5" s="155">
        <f t="shared" si="3"/>
        <v>21.455418749999993</v>
      </c>
      <c r="U5" s="155">
        <f t="shared" si="3"/>
        <v>21.455418749999993</v>
      </c>
      <c r="V5" s="155">
        <f t="shared" si="3"/>
        <v>21.455418749999993</v>
      </c>
      <c r="W5" s="155">
        <f t="shared" si="3"/>
        <v>21.455418749999993</v>
      </c>
      <c r="X5" s="155">
        <f t="shared" si="3"/>
        <v>21.455418749999993</v>
      </c>
      <c r="Y5" s="155">
        <f t="shared" si="3"/>
        <v>21.455418749999993</v>
      </c>
      <c r="Z5" s="155">
        <f t="shared" si="3"/>
        <v>21.455418749999993</v>
      </c>
      <c r="AA5" s="155">
        <f t="shared" si="3"/>
        <v>21.455418749999993</v>
      </c>
      <c r="AB5" s="155">
        <f t="shared" si="3"/>
        <v>21.455418749999993</v>
      </c>
      <c r="AC5" s="155">
        <f t="shared" si="3"/>
        <v>21.455418749999993</v>
      </c>
      <c r="AD5" s="155">
        <f t="shared" si="3"/>
        <v>21.455418749999993</v>
      </c>
      <c r="AE5" s="155">
        <f t="shared" si="3"/>
        <v>21.455418749999993</v>
      </c>
      <c r="AF5" s="155"/>
      <c r="AH5" s="140"/>
    </row>
    <row r="6" spans="1:35" ht="14.25">
      <c r="A6" s="157" t="s">
        <v>136</v>
      </c>
      <c r="B6" s="528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158">
        <f>SUM(C6:AE6)</f>
        <v>0</v>
      </c>
      <c r="AH6" s="141"/>
    </row>
    <row r="7" spans="1:35" ht="14.25">
      <c r="A7" s="157" t="s">
        <v>137</v>
      </c>
      <c r="B7" s="528"/>
      <c r="C7" s="158">
        <f>VLOOKUP(C3,'Inflow Calculation'!$B$3:$Q$31,16,FALSE)</f>
        <v>0</v>
      </c>
      <c r="D7" s="158">
        <f>VLOOKUP(D3,'Inflow Calculation'!$B$3:$Q$31,16,FALSE)</f>
        <v>0</v>
      </c>
      <c r="E7" s="158">
        <f>VLOOKUP(E3,'Inflow Calculation'!$B$3:$Q$31,16,FALSE)</f>
        <v>0.13826999999999998</v>
      </c>
      <c r="F7" s="158">
        <f>VLOOKUP(F3,'Inflow Calculation'!$B$3:$Q$31,16,FALSE)</f>
        <v>1.0703499999999999</v>
      </c>
      <c r="G7" s="158">
        <f>VLOOKUP(G3,'Inflow Calculation'!$B$3:$Q$31,16,FALSE)</f>
        <v>1.9547799999999997</v>
      </c>
      <c r="H7" s="158">
        <f>VLOOKUP(H3,'Inflow Calculation'!$B$3:$Q$31,16,FALSE)</f>
        <v>2.4662799999999994</v>
      </c>
      <c r="I7" s="158">
        <f>VLOOKUP(I3,'Inflow Calculation'!$B$3:$Q$31,16,FALSE)</f>
        <v>1.9301199999999996</v>
      </c>
      <c r="J7" s="158">
        <f>VLOOKUP(J3,'Inflow Calculation'!$B$3:$Q$31,16,FALSE)</f>
        <v>2.74885</v>
      </c>
      <c r="K7" s="158">
        <f>VLOOKUP(K3,'Inflow Calculation'!$B$3:$Q$31,16,FALSE)</f>
        <v>2.1738849999999998</v>
      </c>
      <c r="L7" s="158">
        <f>VLOOKUP(L3,'Inflow Calculation'!$B$3:$Q$31,16,FALSE)</f>
        <v>1.9203899999999998</v>
      </c>
      <c r="M7" s="158">
        <f>VLOOKUP(M3,'Inflow Calculation'!$B$3:$Q$31,16,FALSE)</f>
        <v>6.9638749999999989</v>
      </c>
      <c r="N7" s="158">
        <f>VLOOKUP(N3,'Inflow Calculation'!$B$3:$Q$31,16,FALSE)</f>
        <v>5.3514999999999988</v>
      </c>
      <c r="O7" s="158">
        <f>VLOOKUP(O3,'Inflow Calculation'!$B$3:$Q$31,16,FALSE)</f>
        <v>15.658599999999998</v>
      </c>
      <c r="P7" s="158">
        <f>VLOOKUP(P3,'Inflow Calculation'!$B$3:$Q$31,16,FALSE)</f>
        <v>5.2590999999999992</v>
      </c>
      <c r="Q7" s="158">
        <f>VLOOKUP(Q3,'Inflow Calculation'!$B$3:$Q$31,16,FALSE)</f>
        <v>0</v>
      </c>
      <c r="R7" s="158">
        <f>VLOOKUP(R3,'Inflow Calculation'!$B$3:$Q$31,16,FALSE)</f>
        <v>0</v>
      </c>
      <c r="S7" s="158">
        <f>VLOOKUP(S3,'Inflow Calculation'!$B$3:$Q$31,16,FALSE)</f>
        <v>0</v>
      </c>
      <c r="T7" s="158">
        <f>VLOOKUP(T3,'Inflow Calculation'!$B$3:$Q$31,16,FALSE)</f>
        <v>0</v>
      </c>
      <c r="U7" s="158">
        <f>VLOOKUP(U3,'Inflow Calculation'!$B$3:$Q$31,16,FALSE)</f>
        <v>0</v>
      </c>
      <c r="V7" s="158">
        <f>VLOOKUP(V3,'Inflow Calculation'!$B$3:$Q$31,16,FALSE)</f>
        <v>0</v>
      </c>
      <c r="W7" s="158">
        <f>VLOOKUP(W3,'Inflow Calculation'!$B$3:$Q$31,16,FALSE)</f>
        <v>0</v>
      </c>
      <c r="X7" s="158">
        <f>VLOOKUP(X3,'Inflow Calculation'!$B$3:$Q$31,16,FALSE)</f>
        <v>0</v>
      </c>
      <c r="Y7" s="158">
        <f>VLOOKUP(Y3,'Inflow Calculation'!$B$3:$Q$31,16,FALSE)</f>
        <v>0</v>
      </c>
      <c r="Z7" s="158">
        <f>VLOOKUP(Z3,'Inflow Calculation'!$B$3:$Q$31,16,FALSE)</f>
        <v>0</v>
      </c>
      <c r="AA7" s="158">
        <f>VLOOKUP(AA3,'Inflow Calculation'!$B$3:$Q$31,16,FALSE)</f>
        <v>0</v>
      </c>
      <c r="AB7" s="158">
        <f>VLOOKUP(AB3,'Inflow Calculation'!$B$3:$Q$31,16,FALSE)</f>
        <v>0</v>
      </c>
      <c r="AC7" s="158">
        <f>VLOOKUP(AC3,'Inflow Calculation'!$B$3:$Q$31,16,FALSE)</f>
        <v>0</v>
      </c>
      <c r="AD7" s="158">
        <f>VLOOKUP(AD3,'Inflow Calculation'!$B$3:$Q$31,16,FALSE)</f>
        <v>0</v>
      </c>
      <c r="AE7" s="158">
        <f>VLOOKUP(AE3,'Inflow Calculation'!$B$3:$Q$31,16,FALSE)</f>
        <v>0</v>
      </c>
      <c r="AF7" s="158">
        <f>SUM(C7:AE7)</f>
        <v>47.635999999999989</v>
      </c>
      <c r="AH7" s="141"/>
    </row>
    <row r="8" spans="1:35">
      <c r="A8" s="159" t="s">
        <v>1</v>
      </c>
      <c r="B8" s="160">
        <f>SUM(C8:AE8)</f>
        <v>47.635999999999989</v>
      </c>
      <c r="C8" s="160">
        <f>SUM(C6:C6)</f>
        <v>0</v>
      </c>
      <c r="D8" s="160">
        <f t="shared" ref="D8:AE8" si="4">SUM(D6:D7)</f>
        <v>0</v>
      </c>
      <c r="E8" s="160">
        <f t="shared" si="4"/>
        <v>0.13826999999999998</v>
      </c>
      <c r="F8" s="160">
        <f t="shared" si="4"/>
        <v>1.0703499999999999</v>
      </c>
      <c r="G8" s="160">
        <f t="shared" si="4"/>
        <v>1.9547799999999997</v>
      </c>
      <c r="H8" s="160">
        <f t="shared" si="4"/>
        <v>2.4662799999999994</v>
      </c>
      <c r="I8" s="160">
        <f t="shared" si="4"/>
        <v>1.9301199999999996</v>
      </c>
      <c r="J8" s="160">
        <f t="shared" si="4"/>
        <v>2.74885</v>
      </c>
      <c r="K8" s="160">
        <f t="shared" si="4"/>
        <v>2.1738849999999998</v>
      </c>
      <c r="L8" s="160">
        <f t="shared" si="4"/>
        <v>1.9203899999999998</v>
      </c>
      <c r="M8" s="160">
        <f t="shared" si="4"/>
        <v>6.9638749999999989</v>
      </c>
      <c r="N8" s="160">
        <f t="shared" si="4"/>
        <v>5.3514999999999988</v>
      </c>
      <c r="O8" s="160">
        <f t="shared" si="4"/>
        <v>15.658599999999998</v>
      </c>
      <c r="P8" s="160">
        <f t="shared" si="4"/>
        <v>5.2590999999999992</v>
      </c>
      <c r="Q8" s="160">
        <f t="shared" si="4"/>
        <v>0</v>
      </c>
      <c r="R8" s="160">
        <f t="shared" si="4"/>
        <v>0</v>
      </c>
      <c r="S8" s="160">
        <f t="shared" si="4"/>
        <v>0</v>
      </c>
      <c r="T8" s="160">
        <f t="shared" si="4"/>
        <v>0</v>
      </c>
      <c r="U8" s="160">
        <f t="shared" si="4"/>
        <v>0</v>
      </c>
      <c r="V8" s="160">
        <f t="shared" si="4"/>
        <v>0</v>
      </c>
      <c r="W8" s="160">
        <f t="shared" si="4"/>
        <v>0</v>
      </c>
      <c r="X8" s="160">
        <f t="shared" si="4"/>
        <v>0</v>
      </c>
      <c r="Y8" s="160">
        <f t="shared" si="4"/>
        <v>0</v>
      </c>
      <c r="Z8" s="160">
        <f t="shared" si="4"/>
        <v>0</v>
      </c>
      <c r="AA8" s="160">
        <f t="shared" si="4"/>
        <v>0</v>
      </c>
      <c r="AB8" s="160">
        <f t="shared" si="4"/>
        <v>0</v>
      </c>
      <c r="AC8" s="160">
        <f t="shared" si="4"/>
        <v>0</v>
      </c>
      <c r="AD8" s="160">
        <f t="shared" si="4"/>
        <v>0</v>
      </c>
      <c r="AE8" s="160">
        <f t="shared" si="4"/>
        <v>0</v>
      </c>
      <c r="AF8" s="160">
        <f>SUM(C8:AE8)</f>
        <v>47.635999999999989</v>
      </c>
      <c r="AH8" s="143"/>
    </row>
    <row r="9" spans="1:35" s="331" customFormat="1">
      <c r="A9" s="324" t="str">
        <f>'Project Brief'!A6</f>
        <v>Land Acquisition Cost</v>
      </c>
      <c r="B9" s="325">
        <f>'Project Brief'!B6</f>
        <v>5.25</v>
      </c>
      <c r="C9" s="326">
        <f>'Project Brief'!C6</f>
        <v>1.94</v>
      </c>
      <c r="D9" s="332"/>
      <c r="E9" s="333"/>
      <c r="F9" s="333">
        <v>0.56000000000000005</v>
      </c>
      <c r="G9" s="333">
        <v>0.55000000000000004</v>
      </c>
      <c r="H9" s="333">
        <v>0.55000000000000004</v>
      </c>
      <c r="I9" s="333">
        <v>0.55000000000000004</v>
      </c>
      <c r="J9" s="333">
        <v>0.55000000000000004</v>
      </c>
      <c r="K9" s="333">
        <v>0.55000000000000004</v>
      </c>
      <c r="L9" s="333"/>
      <c r="M9" s="333"/>
      <c r="N9" s="333"/>
      <c r="O9" s="333"/>
      <c r="P9" s="333"/>
      <c r="Q9" s="333"/>
      <c r="R9" s="334"/>
      <c r="S9" s="333"/>
      <c r="T9" s="333"/>
      <c r="U9" s="333"/>
      <c r="V9" s="333"/>
      <c r="W9" s="333"/>
      <c r="X9" s="333"/>
      <c r="Y9" s="333"/>
      <c r="Z9" s="333"/>
      <c r="AA9" s="335"/>
      <c r="AB9" s="335"/>
      <c r="AC9" s="335"/>
      <c r="AD9" s="335"/>
      <c r="AE9" s="335"/>
      <c r="AF9" s="336">
        <f t="shared" ref="AF9:AF20" si="5">+SUM(C9:AE9)</f>
        <v>5.2499999999999991</v>
      </c>
      <c r="AH9" s="329"/>
      <c r="AI9" s="330"/>
    </row>
    <row r="10" spans="1:35">
      <c r="A10" s="161" t="str">
        <f>'Project Brief'!A7</f>
        <v>Rent and Hardship Compensation</v>
      </c>
      <c r="B10" s="162">
        <f>'Project Brief'!B7</f>
        <v>0</v>
      </c>
      <c r="C10" s="238">
        <f>'Project Brief'!C7</f>
        <v>0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>
        <f t="shared" si="5"/>
        <v>0</v>
      </c>
      <c r="AG10" s="142"/>
      <c r="AH10" s="141"/>
      <c r="AI10" s="144"/>
    </row>
    <row r="11" spans="1:35">
      <c r="A11" s="161" t="str">
        <f>'Project Brief'!A8</f>
        <v>Fungible FSI Premium</v>
      </c>
      <c r="B11" s="162">
        <f>'Project Brief'!B8</f>
        <v>0</v>
      </c>
      <c r="C11" s="238">
        <f>'Project Brief'!C8</f>
        <v>0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>
        <f t="shared" si="5"/>
        <v>0</v>
      </c>
      <c r="AG11" s="142"/>
      <c r="AH11" s="141"/>
      <c r="AI11" s="144"/>
    </row>
    <row r="12" spans="1:35" s="331" customFormat="1">
      <c r="A12" s="324" t="str">
        <f>'Project Brief'!A9</f>
        <v>TDR</v>
      </c>
      <c r="B12" s="325">
        <f>'Project Brief'!B9</f>
        <v>1</v>
      </c>
      <c r="C12" s="326">
        <f>'Project Brief'!C9</f>
        <v>0.2</v>
      </c>
      <c r="D12" s="327"/>
      <c r="E12" s="327"/>
      <c r="F12" s="327"/>
      <c r="G12" s="327">
        <v>0.8</v>
      </c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>
        <f t="shared" si="5"/>
        <v>1</v>
      </c>
      <c r="AG12" s="328"/>
      <c r="AH12" s="329"/>
      <c r="AI12" s="330"/>
    </row>
    <row r="13" spans="1:35">
      <c r="A13" s="161" t="str">
        <f>'Project Brief'!A10</f>
        <v>Approvals and Other Premiums</v>
      </c>
      <c r="B13" s="162">
        <f>'Project Brief'!B10</f>
        <v>1.87</v>
      </c>
      <c r="C13" s="238">
        <f>'Project Brief'!C10</f>
        <v>1.87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>
        <f>B13-SUM(C13:AA13)</f>
        <v>0</v>
      </c>
      <c r="AC13" s="164"/>
      <c r="AD13" s="164"/>
      <c r="AE13" s="164"/>
      <c r="AF13" s="164">
        <f t="shared" si="5"/>
        <v>1.87</v>
      </c>
      <c r="AG13" s="142"/>
      <c r="AH13" s="141"/>
      <c r="AI13" s="144"/>
    </row>
    <row r="14" spans="1:35">
      <c r="A14" s="161" t="str">
        <f>'Project Brief'!A11</f>
        <v>Construction Cost - Rehab Building</v>
      </c>
      <c r="B14" s="162">
        <f>'Project Brief'!B11</f>
        <v>0</v>
      </c>
      <c r="C14" s="238">
        <f>'Project Brief'!C11</f>
        <v>0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>
        <f t="shared" si="5"/>
        <v>0</v>
      </c>
      <c r="AG14" s="142"/>
      <c r="AH14" s="141"/>
      <c r="AI14" s="144"/>
    </row>
    <row r="15" spans="1:35">
      <c r="A15" s="161" t="str">
        <f>'Project Brief'!A12</f>
        <v>Construction Cost - Sale Building</v>
      </c>
      <c r="B15" s="162">
        <f>'Project Brief'!B12</f>
        <v>19.28</v>
      </c>
      <c r="C15" s="238">
        <f>'Project Brief'!C12</f>
        <v>0</v>
      </c>
      <c r="D15" s="164">
        <v>3</v>
      </c>
      <c r="E15" s="164">
        <v>3</v>
      </c>
      <c r="F15" s="164">
        <v>3</v>
      </c>
      <c r="G15" s="164">
        <v>3</v>
      </c>
      <c r="H15" s="164">
        <v>3</v>
      </c>
      <c r="I15" s="164">
        <v>2</v>
      </c>
      <c r="J15" s="164">
        <v>1</v>
      </c>
      <c r="K15" s="164">
        <v>0.78</v>
      </c>
      <c r="L15" s="337">
        <f>B15-SUM(C15:K15)</f>
        <v>0.5</v>
      </c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>
        <f t="shared" si="5"/>
        <v>19.28</v>
      </c>
      <c r="AG15" s="144"/>
      <c r="AH15" s="141"/>
      <c r="AI15" s="144"/>
    </row>
    <row r="16" spans="1:35">
      <c r="A16" s="165" t="str">
        <f>'Project Brief'!A13</f>
        <v>Selling and Marketing</v>
      </c>
      <c r="B16" s="166">
        <f>'Project Brief'!B13</f>
        <v>1.3</v>
      </c>
      <c r="C16" s="239">
        <f>'Project Brief'!C13</f>
        <v>0</v>
      </c>
      <c r="D16" s="167">
        <v>0.1</v>
      </c>
      <c r="E16" s="167">
        <v>0.1</v>
      </c>
      <c r="F16" s="167">
        <v>0.1</v>
      </c>
      <c r="G16" s="167">
        <v>0.1</v>
      </c>
      <c r="H16" s="167">
        <v>0.1</v>
      </c>
      <c r="I16" s="167">
        <v>0.1</v>
      </c>
      <c r="J16" s="167">
        <v>0.1</v>
      </c>
      <c r="K16" s="167">
        <v>0.1</v>
      </c>
      <c r="L16" s="167">
        <v>0.1</v>
      </c>
      <c r="M16" s="167">
        <v>0.1</v>
      </c>
      <c r="N16" s="167">
        <v>0.1</v>
      </c>
      <c r="O16" s="167">
        <v>0.1</v>
      </c>
      <c r="P16" s="167">
        <v>0.1</v>
      </c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>
        <f t="shared" si="5"/>
        <v>1.3</v>
      </c>
      <c r="AG16" s="144"/>
      <c r="AH16" s="141"/>
      <c r="AI16" s="144"/>
    </row>
    <row r="17" spans="1:35">
      <c r="A17" s="165" t="str">
        <f>'Project Brief'!A14</f>
        <v>Professional Fees and Admin expenses</v>
      </c>
      <c r="B17" s="166">
        <f>'Project Brief'!B14</f>
        <v>1.35</v>
      </c>
      <c r="C17" s="239">
        <f>'Project Brief'!C14</f>
        <v>0.4</v>
      </c>
      <c r="D17" s="167">
        <v>0.08</v>
      </c>
      <c r="E17" s="167">
        <v>0.08</v>
      </c>
      <c r="F17" s="167">
        <v>0.08</v>
      </c>
      <c r="G17" s="167">
        <v>0.08</v>
      </c>
      <c r="H17" s="167">
        <v>7.0000000000000007E-2</v>
      </c>
      <c r="I17" s="167">
        <v>7.0000000000000007E-2</v>
      </c>
      <c r="J17" s="167">
        <v>7.0000000000000007E-2</v>
      </c>
      <c r="K17" s="167">
        <v>7.0000000000000007E-2</v>
      </c>
      <c r="L17" s="167">
        <v>7.0000000000000007E-2</v>
      </c>
      <c r="M17" s="167">
        <v>7.0000000000000007E-2</v>
      </c>
      <c r="N17" s="167">
        <v>7.0000000000000007E-2</v>
      </c>
      <c r="O17" s="167">
        <v>7.0000000000000007E-2</v>
      </c>
      <c r="P17" s="167">
        <v>7.0000000000000007E-2</v>
      </c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>
        <f t="shared" si="5"/>
        <v>1.3500000000000005</v>
      </c>
      <c r="AG17" s="144"/>
      <c r="AH17" s="141"/>
      <c r="AI17" s="144"/>
    </row>
    <row r="18" spans="1:35">
      <c r="A18" s="168" t="str">
        <f>'Project Brief'!A15</f>
        <v>Contingency</v>
      </c>
      <c r="B18" s="169">
        <f>'Project Brief'!B15</f>
        <v>0</v>
      </c>
      <c r="C18" s="240"/>
      <c r="D18" s="240"/>
      <c r="E18" s="240"/>
      <c r="F18" s="240"/>
      <c r="G18" s="240"/>
      <c r="H18" s="240"/>
      <c r="I18" s="240"/>
      <c r="J18" s="240"/>
      <c r="K18" s="24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67">
        <f t="shared" si="5"/>
        <v>0</v>
      </c>
      <c r="AG18" s="144"/>
      <c r="AH18" s="141"/>
      <c r="AI18" s="144"/>
    </row>
    <row r="19" spans="1:35">
      <c r="A19" s="171" t="str">
        <f>'Project Brief'!A16</f>
        <v>Finance Cost</v>
      </c>
      <c r="B19" s="172">
        <f>'Project Brief'!B16</f>
        <v>3.57058125</v>
      </c>
      <c r="C19" s="241">
        <f>'Project Brief'!C16</f>
        <v>0</v>
      </c>
      <c r="D19" s="173">
        <f>VLOOKUP(D3,'Loan - SBI'!$C$3:$F$31,4,FALSE)</f>
        <v>9.1124999999999998E-2</v>
      </c>
      <c r="E19" s="173">
        <f>VLOOKUP(E3,'Loan - SBI'!$C$3:$F$31,4,FALSE)</f>
        <v>0.1670625</v>
      </c>
      <c r="F19" s="173">
        <f>VLOOKUP(F3,'Loan - SBI'!$C$3:$F$31,4,FALSE)</f>
        <v>0.24299999999999999</v>
      </c>
      <c r="G19" s="173">
        <f>VLOOKUP(G3,'Loan - SBI'!$C$3:$F$31,4,FALSE)</f>
        <v>0.31893749999999998</v>
      </c>
      <c r="H19" s="173">
        <f>VLOOKUP(H3,'Loan - SBI'!$C$3:$F$31,4,FALSE)</f>
        <v>0.35235</v>
      </c>
      <c r="I19" s="173">
        <f>VLOOKUP(I3,'Loan - SBI'!$C$3:$F$31,4,FALSE)</f>
        <v>0.38272499999999998</v>
      </c>
      <c r="J19" s="173">
        <f>VLOOKUP(J3,'Loan - SBI'!$C$3:$F$31,4,FALSE)</f>
        <v>0.41309999999999997</v>
      </c>
      <c r="K19" s="173">
        <f>VLOOKUP(K3,'Loan - SBI'!$C$3:$F$31,4,FALSE)</f>
        <v>0.43284374999999997</v>
      </c>
      <c r="L19" s="173">
        <f>VLOOKUP(L3,'Loan - SBI'!$C$3:$F$31,4,FALSE)</f>
        <v>0.44043749999999998</v>
      </c>
      <c r="M19" s="173">
        <f>VLOOKUP(M3,'Loan - SBI'!$C$3:$F$31,4,FALSE)</f>
        <v>0.36449999999999999</v>
      </c>
      <c r="N19" s="173">
        <f>VLOOKUP(N3,'Loan - SBI'!$C$3:$F$31,4,FALSE)</f>
        <v>0.24299999999999999</v>
      </c>
      <c r="O19" s="173">
        <f>VLOOKUP(O3,'Loan - SBI'!$C$3:$F$31,4,FALSE)</f>
        <v>0.1215</v>
      </c>
      <c r="P19" s="173">
        <f>VLOOKUP(P3,'Loan - SBI'!$C$3:$F$31,4,FALSE)</f>
        <v>0</v>
      </c>
      <c r="Q19" s="173">
        <f>VLOOKUP(Q3,'Loan - SBI'!$C$3:$F$31,4,FALSE)</f>
        <v>0</v>
      </c>
      <c r="R19" s="173">
        <f>VLOOKUP(R3,'Loan - SBI'!$C$3:$F$31,4,FALSE)</f>
        <v>0</v>
      </c>
      <c r="S19" s="173">
        <f>VLOOKUP(S3,'Loan - SBI'!$C$3:$F$31,4,FALSE)</f>
        <v>0</v>
      </c>
      <c r="T19" s="173">
        <f>VLOOKUP(T3,'Loan - SBI'!$C$3:$F$31,4,FALSE)</f>
        <v>0</v>
      </c>
      <c r="U19" s="173">
        <f>VLOOKUP(U3,'Loan - SBI'!$C$3:$F$31,4,FALSE)</f>
        <v>0</v>
      </c>
      <c r="V19" s="173">
        <f>VLOOKUP(V3,'Loan - SBI'!$C$3:$F$31,4,FALSE)</f>
        <v>0</v>
      </c>
      <c r="W19" s="173">
        <f>VLOOKUP(W3,'Loan - SBI'!$C$3:$F$31,4,FALSE)</f>
        <v>0</v>
      </c>
      <c r="X19" s="173">
        <f>VLOOKUP(X3,'Loan - SBI'!$C$3:$F$31,4,FALSE)</f>
        <v>0</v>
      </c>
      <c r="Y19" s="173">
        <f>VLOOKUP(Y3,'Loan - SBI'!$C$3:$F$31,4,FALSE)</f>
        <v>0</v>
      </c>
      <c r="Z19" s="173">
        <f>VLOOKUP(Z3,'Loan - SBI'!$C$3:$F$31,4,FALSE)</f>
        <v>0</v>
      </c>
      <c r="AA19" s="173">
        <f>VLOOKUP(AA3,'Loan - SBI'!$C$3:$F$31,4,FALSE)</f>
        <v>0</v>
      </c>
      <c r="AB19" s="173">
        <f>VLOOKUP(AB3,'Loan - SBI'!$C$3:$F$31,4,FALSE)</f>
        <v>0</v>
      </c>
      <c r="AC19" s="173">
        <f>VLOOKUP(AC3,'Loan - SBI'!$C$3:$F$31,4,FALSE)</f>
        <v>0</v>
      </c>
      <c r="AD19" s="173">
        <f>VLOOKUP(AD3,'Loan - SBI'!$C$3:$F$31,4,FALSE)</f>
        <v>0</v>
      </c>
      <c r="AE19" s="173">
        <f>VLOOKUP(AE3,'Loan - SBI'!$C$3:$F$31,4,FALSE)</f>
        <v>0</v>
      </c>
      <c r="AF19" s="167">
        <f t="shared" si="5"/>
        <v>3.57058125</v>
      </c>
      <c r="AG19" s="144">
        <f>AF19-B19</f>
        <v>0</v>
      </c>
      <c r="AH19" s="141"/>
      <c r="AI19" s="144"/>
    </row>
    <row r="20" spans="1:35" ht="14.25">
      <c r="A20" s="174" t="s">
        <v>44</v>
      </c>
      <c r="B20" s="175"/>
      <c r="C20" s="242"/>
      <c r="D20" s="176"/>
      <c r="E20" s="176"/>
      <c r="F20" s="176"/>
      <c r="G20" s="176"/>
      <c r="H20" s="176"/>
      <c r="I20" s="176"/>
      <c r="J20" s="176">
        <v>1</v>
      </c>
      <c r="K20" s="176">
        <v>1</v>
      </c>
      <c r="L20" s="176">
        <v>1.3</v>
      </c>
      <c r="M20" s="176"/>
      <c r="N20" s="176"/>
      <c r="O20" s="176"/>
      <c r="P20" s="176">
        <v>-3.3</v>
      </c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67">
        <f t="shared" si="5"/>
        <v>0</v>
      </c>
      <c r="AG20" s="144">
        <f>AG19-AG21</f>
        <v>0</v>
      </c>
      <c r="AH20" s="141"/>
      <c r="AI20" s="144"/>
    </row>
    <row r="21" spans="1:35">
      <c r="A21" s="177" t="s">
        <v>41</v>
      </c>
      <c r="B21" s="197">
        <f>+SUM(B9:B20)</f>
        <v>33.620581250000001</v>
      </c>
      <c r="C21" s="197">
        <f>+SUM(C9:C20)</f>
        <v>4.41</v>
      </c>
      <c r="D21" s="178">
        <f t="shared" ref="D21:AE21" si="6">+SUM(D9:D20)</f>
        <v>3.2711250000000001</v>
      </c>
      <c r="E21" s="178">
        <f t="shared" si="6"/>
        <v>3.3470625000000003</v>
      </c>
      <c r="F21" s="178">
        <f t="shared" si="6"/>
        <v>3.9830000000000001</v>
      </c>
      <c r="G21" s="178">
        <f t="shared" si="6"/>
        <v>4.848937499999999</v>
      </c>
      <c r="H21" s="178">
        <f t="shared" si="6"/>
        <v>4.0723500000000001</v>
      </c>
      <c r="I21" s="178">
        <f t="shared" si="6"/>
        <v>3.1027249999999995</v>
      </c>
      <c r="J21" s="178">
        <f t="shared" si="6"/>
        <v>3.1331000000000002</v>
      </c>
      <c r="K21" s="178">
        <f t="shared" si="6"/>
        <v>2.93284375</v>
      </c>
      <c r="L21" s="178">
        <f t="shared" si="6"/>
        <v>2.4104375</v>
      </c>
      <c r="M21" s="178">
        <f t="shared" si="6"/>
        <v>0.53449999999999998</v>
      </c>
      <c r="N21" s="178">
        <f t="shared" si="6"/>
        <v>0.41300000000000003</v>
      </c>
      <c r="O21" s="178">
        <f t="shared" si="6"/>
        <v>0.29149999999999998</v>
      </c>
      <c r="P21" s="178">
        <f t="shared" si="6"/>
        <v>-3.13</v>
      </c>
      <c r="Q21" s="178">
        <f t="shared" si="6"/>
        <v>0</v>
      </c>
      <c r="R21" s="178">
        <f t="shared" si="6"/>
        <v>0</v>
      </c>
      <c r="S21" s="178">
        <f t="shared" si="6"/>
        <v>0</v>
      </c>
      <c r="T21" s="178">
        <f t="shared" si="6"/>
        <v>0</v>
      </c>
      <c r="U21" s="178">
        <f t="shared" si="6"/>
        <v>0</v>
      </c>
      <c r="V21" s="178">
        <f t="shared" si="6"/>
        <v>0</v>
      </c>
      <c r="W21" s="178">
        <f t="shared" si="6"/>
        <v>0</v>
      </c>
      <c r="X21" s="178">
        <f t="shared" si="6"/>
        <v>0</v>
      </c>
      <c r="Y21" s="178">
        <f t="shared" si="6"/>
        <v>0</v>
      </c>
      <c r="Z21" s="178">
        <f t="shared" si="6"/>
        <v>0</v>
      </c>
      <c r="AA21" s="178">
        <f t="shared" si="6"/>
        <v>0</v>
      </c>
      <c r="AB21" s="178">
        <f t="shared" si="6"/>
        <v>0</v>
      </c>
      <c r="AC21" s="178">
        <f t="shared" si="6"/>
        <v>0</v>
      </c>
      <c r="AD21" s="178">
        <f t="shared" si="6"/>
        <v>0</v>
      </c>
      <c r="AE21" s="178">
        <f t="shared" si="6"/>
        <v>0</v>
      </c>
      <c r="AF21" s="178">
        <f>SUM(C21:AE21)</f>
        <v>33.620581249999994</v>
      </c>
      <c r="AG21" s="144">
        <f>AF21-B21</f>
        <v>0</v>
      </c>
      <c r="AH21" s="145"/>
      <c r="AI21" s="144"/>
    </row>
    <row r="22" spans="1:35">
      <c r="A22" s="179" t="s">
        <v>26</v>
      </c>
      <c r="B22" s="180"/>
      <c r="C22" s="181">
        <f t="shared" ref="C22:AE22" si="7">C5+C8-C21</f>
        <v>-4.41</v>
      </c>
      <c r="D22" s="181">
        <f t="shared" si="7"/>
        <v>-3.2711250000000001</v>
      </c>
      <c r="E22" s="181">
        <f t="shared" si="7"/>
        <v>-2.9799175000000004</v>
      </c>
      <c r="F22" s="181">
        <f t="shared" si="7"/>
        <v>-2.8925675000000006</v>
      </c>
      <c r="G22" s="181">
        <f t="shared" si="7"/>
        <v>-2.856725</v>
      </c>
      <c r="H22" s="181">
        <f t="shared" si="7"/>
        <v>-1.5627950000000008</v>
      </c>
      <c r="I22" s="181">
        <f t="shared" si="7"/>
        <v>-1.1354000000000006</v>
      </c>
      <c r="J22" s="181">
        <f t="shared" si="7"/>
        <v>-0.11965000000000092</v>
      </c>
      <c r="K22" s="181">
        <f>K5+K8-K21</f>
        <v>-0.27860875000000096</v>
      </c>
      <c r="L22" s="181">
        <f t="shared" si="7"/>
        <v>0.18134374999999858</v>
      </c>
      <c r="M22" s="181">
        <f t="shared" si="7"/>
        <v>7.260718749999997</v>
      </c>
      <c r="N22" s="181">
        <f t="shared" si="7"/>
        <v>9.6992187499999964</v>
      </c>
      <c r="O22" s="181">
        <f t="shared" si="7"/>
        <v>21.066318749999994</v>
      </c>
      <c r="P22" s="181">
        <f t="shared" si="7"/>
        <v>25.455418749999993</v>
      </c>
      <c r="Q22" s="181">
        <f t="shared" si="7"/>
        <v>21.455418749999993</v>
      </c>
      <c r="R22" s="181">
        <f t="shared" si="7"/>
        <v>21.455418749999993</v>
      </c>
      <c r="S22" s="181">
        <f t="shared" si="7"/>
        <v>21.455418749999993</v>
      </c>
      <c r="T22" s="181">
        <f t="shared" si="7"/>
        <v>21.455418749999993</v>
      </c>
      <c r="U22" s="181">
        <f t="shared" si="7"/>
        <v>21.455418749999993</v>
      </c>
      <c r="V22" s="181">
        <f t="shared" si="7"/>
        <v>21.455418749999993</v>
      </c>
      <c r="W22" s="181">
        <f t="shared" si="7"/>
        <v>21.455418749999993</v>
      </c>
      <c r="X22" s="181">
        <f t="shared" si="7"/>
        <v>21.455418749999993</v>
      </c>
      <c r="Y22" s="181">
        <f t="shared" si="7"/>
        <v>21.455418749999993</v>
      </c>
      <c r="Z22" s="181">
        <f t="shared" si="7"/>
        <v>21.455418749999993</v>
      </c>
      <c r="AA22" s="181">
        <f t="shared" si="7"/>
        <v>21.455418749999993</v>
      </c>
      <c r="AB22" s="181">
        <f t="shared" si="7"/>
        <v>21.455418749999993</v>
      </c>
      <c r="AC22" s="181">
        <f t="shared" si="7"/>
        <v>21.455418749999993</v>
      </c>
      <c r="AD22" s="181">
        <f t="shared" si="7"/>
        <v>21.455418749999993</v>
      </c>
      <c r="AE22" s="181">
        <f t="shared" si="7"/>
        <v>21.455418749999993</v>
      </c>
      <c r="AF22" s="181"/>
      <c r="AG22" s="144"/>
      <c r="AH22" s="140"/>
      <c r="AI22" s="144"/>
    </row>
    <row r="23" spans="1:35" ht="14.25">
      <c r="A23" s="182"/>
      <c r="B23" s="156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44"/>
      <c r="AH23" s="140"/>
      <c r="AI23" s="144"/>
    </row>
    <row r="24" spans="1:35">
      <c r="A24" s="183" t="s">
        <v>27</v>
      </c>
      <c r="B24" s="158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46"/>
      <c r="AH24" s="147"/>
      <c r="AI24" s="144"/>
    </row>
    <row r="25" spans="1:35">
      <c r="A25" s="161" t="s">
        <v>138</v>
      </c>
      <c r="B25" s="529"/>
      <c r="C25" s="243">
        <v>4.41</v>
      </c>
      <c r="D25" s="243">
        <f>C27</f>
        <v>4.41</v>
      </c>
      <c r="E25" s="243">
        <f t="shared" ref="E25:M25" si="8">D27</f>
        <v>4.91</v>
      </c>
      <c r="F25" s="243">
        <f t="shared" si="8"/>
        <v>5.41</v>
      </c>
      <c r="G25" s="243">
        <f t="shared" si="8"/>
        <v>5.84</v>
      </c>
      <c r="H25" s="243">
        <f t="shared" si="8"/>
        <v>6.24</v>
      </c>
      <c r="I25" s="243">
        <f t="shared" si="8"/>
        <v>6.74</v>
      </c>
      <c r="J25" s="243">
        <f>I27</f>
        <v>7.1400000000000006</v>
      </c>
      <c r="K25" s="243">
        <f t="shared" si="8"/>
        <v>7.5400000000000009</v>
      </c>
      <c r="L25" s="243">
        <f t="shared" si="8"/>
        <v>7.8400000000000007</v>
      </c>
      <c r="M25" s="243">
        <f t="shared" si="8"/>
        <v>8.24</v>
      </c>
      <c r="N25" s="243">
        <f t="shared" ref="N25:V25" si="9">M27</f>
        <v>8.24</v>
      </c>
      <c r="O25" s="243">
        <f t="shared" si="9"/>
        <v>8.24</v>
      </c>
      <c r="P25" s="243">
        <f t="shared" si="9"/>
        <v>8.24</v>
      </c>
      <c r="Q25" s="243">
        <f t="shared" si="9"/>
        <v>8.24</v>
      </c>
      <c r="R25" s="243">
        <f t="shared" si="9"/>
        <v>8.24</v>
      </c>
      <c r="S25" s="243">
        <f t="shared" si="9"/>
        <v>8.24</v>
      </c>
      <c r="T25" s="243">
        <f t="shared" si="9"/>
        <v>8.24</v>
      </c>
      <c r="U25" s="243">
        <f t="shared" si="9"/>
        <v>8.24</v>
      </c>
      <c r="V25" s="243">
        <f t="shared" si="9"/>
        <v>8.24</v>
      </c>
      <c r="W25" s="243">
        <f t="shared" ref="W25" si="10">V27</f>
        <v>8.24</v>
      </c>
      <c r="X25" s="243">
        <f t="shared" ref="X25" si="11">W27</f>
        <v>8.24</v>
      </c>
      <c r="Y25" s="243">
        <f t="shared" ref="Y25" si="12">X27</f>
        <v>8.24</v>
      </c>
      <c r="Z25" s="243">
        <f t="shared" ref="Z25" si="13">Y27</f>
        <v>8.24</v>
      </c>
      <c r="AA25" s="243">
        <f t="shared" ref="AA25" si="14">Z27</f>
        <v>8.24</v>
      </c>
      <c r="AB25" s="243">
        <f t="shared" ref="AB25" si="15">AA27</f>
        <v>8.24</v>
      </c>
      <c r="AC25" s="243">
        <f t="shared" ref="AC25" si="16">AB27</f>
        <v>8.24</v>
      </c>
      <c r="AD25" s="243">
        <f t="shared" ref="AD25" si="17">AC27</f>
        <v>8.24</v>
      </c>
      <c r="AE25" s="243">
        <f t="shared" ref="AE25" si="18">AD27</f>
        <v>8.24</v>
      </c>
      <c r="AF25" s="199">
        <f>C25</f>
        <v>4.41</v>
      </c>
      <c r="AG25" s="145"/>
      <c r="AH25" s="145"/>
      <c r="AI25" s="144"/>
    </row>
    <row r="26" spans="1:35" ht="14.25">
      <c r="A26" s="161" t="s">
        <v>139</v>
      </c>
      <c r="B26" s="530"/>
      <c r="C26" s="243"/>
      <c r="D26" s="243">
        <v>0.5</v>
      </c>
      <c r="E26" s="243">
        <v>0.5</v>
      </c>
      <c r="F26" s="243">
        <v>0.43</v>
      </c>
      <c r="G26" s="243">
        <v>0.4</v>
      </c>
      <c r="H26" s="243">
        <v>0.5</v>
      </c>
      <c r="I26" s="243">
        <v>0.4</v>
      </c>
      <c r="J26" s="243">
        <v>0.4</v>
      </c>
      <c r="K26" s="243">
        <v>0.3</v>
      </c>
      <c r="L26" s="243">
        <v>0.4</v>
      </c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185">
        <f>SUM(D26:AE26)</f>
        <v>3.8299999999999996</v>
      </c>
      <c r="AG26" s="144"/>
      <c r="AH26" s="140"/>
      <c r="AI26" s="144"/>
    </row>
    <row r="27" spans="1:35">
      <c r="A27" s="161" t="s">
        <v>46</v>
      </c>
      <c r="B27" s="530"/>
      <c r="C27" s="185">
        <f>C25+C26</f>
        <v>4.41</v>
      </c>
      <c r="D27" s="185">
        <f>D25+D26</f>
        <v>4.91</v>
      </c>
      <c r="E27" s="185">
        <f t="shared" ref="E27:AE27" si="19">E25+E26</f>
        <v>5.41</v>
      </c>
      <c r="F27" s="185">
        <f t="shared" si="19"/>
        <v>5.84</v>
      </c>
      <c r="G27" s="185">
        <f t="shared" si="19"/>
        <v>6.24</v>
      </c>
      <c r="H27" s="185">
        <f t="shared" si="19"/>
        <v>6.74</v>
      </c>
      <c r="I27" s="185">
        <f t="shared" si="19"/>
        <v>7.1400000000000006</v>
      </c>
      <c r="J27" s="185">
        <f t="shared" si="19"/>
        <v>7.5400000000000009</v>
      </c>
      <c r="K27" s="185">
        <f t="shared" si="19"/>
        <v>7.8400000000000007</v>
      </c>
      <c r="L27" s="185">
        <f t="shared" si="19"/>
        <v>8.24</v>
      </c>
      <c r="M27" s="185">
        <f t="shared" si="19"/>
        <v>8.24</v>
      </c>
      <c r="N27" s="185">
        <f t="shared" si="19"/>
        <v>8.24</v>
      </c>
      <c r="O27" s="185">
        <f t="shared" si="19"/>
        <v>8.24</v>
      </c>
      <c r="P27" s="185">
        <f t="shared" si="19"/>
        <v>8.24</v>
      </c>
      <c r="Q27" s="185">
        <f t="shared" si="19"/>
        <v>8.24</v>
      </c>
      <c r="R27" s="185">
        <f t="shared" si="19"/>
        <v>8.24</v>
      </c>
      <c r="S27" s="185">
        <f t="shared" si="19"/>
        <v>8.24</v>
      </c>
      <c r="T27" s="185">
        <f t="shared" si="19"/>
        <v>8.24</v>
      </c>
      <c r="U27" s="185">
        <f t="shared" si="19"/>
        <v>8.24</v>
      </c>
      <c r="V27" s="185">
        <f t="shared" si="19"/>
        <v>8.24</v>
      </c>
      <c r="W27" s="185">
        <f t="shared" si="19"/>
        <v>8.24</v>
      </c>
      <c r="X27" s="185">
        <f t="shared" si="19"/>
        <v>8.24</v>
      </c>
      <c r="Y27" s="185">
        <f t="shared" si="19"/>
        <v>8.24</v>
      </c>
      <c r="Z27" s="185">
        <f t="shared" si="19"/>
        <v>8.24</v>
      </c>
      <c r="AA27" s="185">
        <f t="shared" si="19"/>
        <v>8.24</v>
      </c>
      <c r="AB27" s="185">
        <f t="shared" si="19"/>
        <v>8.24</v>
      </c>
      <c r="AC27" s="185">
        <f t="shared" si="19"/>
        <v>8.24</v>
      </c>
      <c r="AD27" s="185">
        <f t="shared" si="19"/>
        <v>8.24</v>
      </c>
      <c r="AE27" s="185">
        <f t="shared" si="19"/>
        <v>8.24</v>
      </c>
      <c r="AF27" s="199">
        <f>SUM(AF25:AF26)</f>
        <v>8.24</v>
      </c>
      <c r="AG27" s="144"/>
      <c r="AH27" s="145"/>
      <c r="AI27" s="144"/>
    </row>
    <row r="28" spans="1:35">
      <c r="A28" s="186" t="s">
        <v>28</v>
      </c>
      <c r="B28" s="530"/>
      <c r="C28" s="244">
        <v>0</v>
      </c>
      <c r="D28" s="244">
        <v>3</v>
      </c>
      <c r="E28" s="244">
        <v>2.5</v>
      </c>
      <c r="F28" s="244">
        <v>2.5</v>
      </c>
      <c r="G28" s="244">
        <v>2.5</v>
      </c>
      <c r="H28" s="244">
        <v>1.1000000000000001</v>
      </c>
      <c r="I28" s="244">
        <v>1</v>
      </c>
      <c r="J28" s="244">
        <v>1</v>
      </c>
      <c r="K28" s="244">
        <v>0.65</v>
      </c>
      <c r="L28" s="244">
        <v>0.25</v>
      </c>
      <c r="M28" s="244">
        <v>0</v>
      </c>
      <c r="N28" s="244">
        <v>0</v>
      </c>
      <c r="O28" s="244">
        <v>0</v>
      </c>
      <c r="P28" s="244">
        <v>0</v>
      </c>
      <c r="Q28" s="244">
        <v>0</v>
      </c>
      <c r="R28" s="244">
        <v>0</v>
      </c>
      <c r="S28" s="244">
        <v>0</v>
      </c>
      <c r="T28" s="244">
        <v>0</v>
      </c>
      <c r="U28" s="244">
        <v>0</v>
      </c>
      <c r="V28" s="244">
        <v>0</v>
      </c>
      <c r="W28" s="244">
        <v>0</v>
      </c>
      <c r="X28" s="244">
        <v>0</v>
      </c>
      <c r="Y28" s="244">
        <v>0</v>
      </c>
      <c r="Z28" s="244">
        <v>0</v>
      </c>
      <c r="AA28" s="244">
        <v>0</v>
      </c>
      <c r="AB28" s="244"/>
      <c r="AC28" s="244"/>
      <c r="AD28" s="244"/>
      <c r="AE28" s="244"/>
      <c r="AF28" s="187">
        <f>+SUM(C28:AE28)</f>
        <v>14.5</v>
      </c>
      <c r="AH28" s="145"/>
      <c r="AI28" s="144"/>
    </row>
    <row r="29" spans="1:35">
      <c r="A29" s="188" t="s">
        <v>29</v>
      </c>
      <c r="B29" s="530"/>
      <c r="C29" s="245">
        <v>0</v>
      </c>
      <c r="D29" s="245">
        <v>0</v>
      </c>
      <c r="E29" s="245">
        <v>0</v>
      </c>
      <c r="F29" s="245">
        <v>0</v>
      </c>
      <c r="G29" s="245">
        <v>0</v>
      </c>
      <c r="H29" s="245">
        <v>0</v>
      </c>
      <c r="I29" s="245">
        <v>0</v>
      </c>
      <c r="J29" s="245">
        <v>0</v>
      </c>
      <c r="K29" s="245">
        <v>0</v>
      </c>
      <c r="L29" s="245">
        <v>0</v>
      </c>
      <c r="M29" s="245">
        <v>-2.5</v>
      </c>
      <c r="N29" s="245">
        <v>-4</v>
      </c>
      <c r="O29" s="245">
        <v>-4</v>
      </c>
      <c r="P29" s="245">
        <v>-4</v>
      </c>
      <c r="Q29" s="245">
        <v>0</v>
      </c>
      <c r="R29" s="245">
        <v>0</v>
      </c>
      <c r="S29" s="245">
        <v>0</v>
      </c>
      <c r="T29" s="245">
        <v>0</v>
      </c>
      <c r="U29" s="245">
        <v>0</v>
      </c>
      <c r="V29" s="245">
        <v>0</v>
      </c>
      <c r="W29" s="245">
        <v>0</v>
      </c>
      <c r="X29" s="245">
        <v>0</v>
      </c>
      <c r="Y29" s="245">
        <v>0</v>
      </c>
      <c r="Z29" s="245">
        <v>0</v>
      </c>
      <c r="AA29" s="245">
        <v>0</v>
      </c>
      <c r="AB29" s="245">
        <v>0</v>
      </c>
      <c r="AC29" s="245">
        <v>0</v>
      </c>
      <c r="AD29" s="245">
        <v>0</v>
      </c>
      <c r="AE29" s="245">
        <v>0</v>
      </c>
      <c r="AF29" s="189">
        <f>+SUM(C29:AE29)</f>
        <v>-14.5</v>
      </c>
      <c r="AH29" s="140"/>
      <c r="AI29" s="144"/>
    </row>
    <row r="30" spans="1:35">
      <c r="A30" s="190" t="s">
        <v>142</v>
      </c>
      <c r="B30" s="530"/>
      <c r="C30" s="191">
        <f>C27+C28+C29</f>
        <v>4.41</v>
      </c>
      <c r="D30" s="191">
        <f>D26+D28+D29</f>
        <v>3.5</v>
      </c>
      <c r="E30" s="191">
        <f t="shared" ref="E30:AE30" si="20">E26+E28+E29</f>
        <v>3</v>
      </c>
      <c r="F30" s="191">
        <f t="shared" si="20"/>
        <v>2.93</v>
      </c>
      <c r="G30" s="191">
        <f t="shared" si="20"/>
        <v>2.9</v>
      </c>
      <c r="H30" s="191">
        <f t="shared" si="20"/>
        <v>1.6</v>
      </c>
      <c r="I30" s="191">
        <f t="shared" si="20"/>
        <v>1.4</v>
      </c>
      <c r="J30" s="191">
        <v>0.6</v>
      </c>
      <c r="K30" s="191">
        <f t="shared" si="20"/>
        <v>0.95</v>
      </c>
      <c r="L30" s="191">
        <f t="shared" si="20"/>
        <v>0.65</v>
      </c>
      <c r="M30" s="191">
        <f t="shared" si="20"/>
        <v>-2.5</v>
      </c>
      <c r="N30" s="191">
        <f t="shared" si="20"/>
        <v>-4</v>
      </c>
      <c r="O30" s="191">
        <f t="shared" si="20"/>
        <v>-4</v>
      </c>
      <c r="P30" s="191">
        <f t="shared" si="20"/>
        <v>-4</v>
      </c>
      <c r="Q30" s="191">
        <f t="shared" si="20"/>
        <v>0</v>
      </c>
      <c r="R30" s="191">
        <f t="shared" si="20"/>
        <v>0</v>
      </c>
      <c r="S30" s="191">
        <f t="shared" si="20"/>
        <v>0</v>
      </c>
      <c r="T30" s="191">
        <f t="shared" si="20"/>
        <v>0</v>
      </c>
      <c r="U30" s="191">
        <f t="shared" si="20"/>
        <v>0</v>
      </c>
      <c r="V30" s="191">
        <f t="shared" si="20"/>
        <v>0</v>
      </c>
      <c r="W30" s="191">
        <f t="shared" si="20"/>
        <v>0</v>
      </c>
      <c r="X30" s="191">
        <f t="shared" si="20"/>
        <v>0</v>
      </c>
      <c r="Y30" s="191">
        <f t="shared" si="20"/>
        <v>0</v>
      </c>
      <c r="Z30" s="191">
        <f t="shared" si="20"/>
        <v>0</v>
      </c>
      <c r="AA30" s="191">
        <f t="shared" si="20"/>
        <v>0</v>
      </c>
      <c r="AB30" s="191">
        <f t="shared" si="20"/>
        <v>0</v>
      </c>
      <c r="AC30" s="191">
        <f t="shared" si="20"/>
        <v>0</v>
      </c>
      <c r="AD30" s="191">
        <f t="shared" si="20"/>
        <v>0</v>
      </c>
      <c r="AE30" s="191">
        <f t="shared" si="20"/>
        <v>0</v>
      </c>
      <c r="AF30" s="191">
        <f>+SUM(C30:AE30)</f>
        <v>7.4399999999999977</v>
      </c>
      <c r="AG30" s="144"/>
      <c r="AH30" s="140"/>
      <c r="AI30" s="144"/>
    </row>
    <row r="31" spans="1:35">
      <c r="A31" s="192" t="s">
        <v>30</v>
      </c>
      <c r="B31" s="530"/>
      <c r="C31" s="193">
        <f>+C30+C22</f>
        <v>0</v>
      </c>
      <c r="D31" s="193">
        <f t="shared" ref="D31:AE31" si="21">+D30+D22</f>
        <v>0.22887499999999994</v>
      </c>
      <c r="E31" s="193">
        <f t="shared" si="21"/>
        <v>2.0082499999999559E-2</v>
      </c>
      <c r="F31" s="193">
        <f t="shared" si="21"/>
        <v>3.7432499999999536E-2</v>
      </c>
      <c r="G31" s="193">
        <f t="shared" si="21"/>
        <v>4.3274999999999952E-2</v>
      </c>
      <c r="H31" s="193">
        <f t="shared" si="21"/>
        <v>3.7204999999999266E-2</v>
      </c>
      <c r="I31" s="193">
        <f t="shared" si="21"/>
        <v>0.26459999999999928</v>
      </c>
      <c r="J31" s="193">
        <f t="shared" si="21"/>
        <v>0.48034999999999906</v>
      </c>
      <c r="K31" s="193">
        <f t="shared" si="21"/>
        <v>0.671391249999999</v>
      </c>
      <c r="L31" s="193">
        <f t="shared" si="21"/>
        <v>0.8313437499999986</v>
      </c>
      <c r="M31" s="193">
        <f t="shared" si="21"/>
        <v>4.760718749999997</v>
      </c>
      <c r="N31" s="193">
        <f t="shared" si="21"/>
        <v>5.6992187499999964</v>
      </c>
      <c r="O31" s="193">
        <f t="shared" si="21"/>
        <v>17.066318749999994</v>
      </c>
      <c r="P31" s="193">
        <f t="shared" si="21"/>
        <v>21.455418749999993</v>
      </c>
      <c r="Q31" s="193">
        <f t="shared" si="21"/>
        <v>21.455418749999993</v>
      </c>
      <c r="R31" s="193">
        <f t="shared" si="21"/>
        <v>21.455418749999993</v>
      </c>
      <c r="S31" s="193">
        <f t="shared" si="21"/>
        <v>21.455418749999993</v>
      </c>
      <c r="T31" s="193">
        <f t="shared" si="21"/>
        <v>21.455418749999993</v>
      </c>
      <c r="U31" s="193">
        <f t="shared" si="21"/>
        <v>21.455418749999993</v>
      </c>
      <c r="V31" s="193">
        <f t="shared" si="21"/>
        <v>21.455418749999993</v>
      </c>
      <c r="W31" s="193">
        <f t="shared" si="21"/>
        <v>21.455418749999993</v>
      </c>
      <c r="X31" s="193">
        <f t="shared" si="21"/>
        <v>21.455418749999993</v>
      </c>
      <c r="Y31" s="193">
        <f t="shared" si="21"/>
        <v>21.455418749999993</v>
      </c>
      <c r="Z31" s="193">
        <f t="shared" si="21"/>
        <v>21.455418749999993</v>
      </c>
      <c r="AA31" s="193">
        <f t="shared" si="21"/>
        <v>21.455418749999993</v>
      </c>
      <c r="AB31" s="193">
        <f t="shared" si="21"/>
        <v>21.455418749999993</v>
      </c>
      <c r="AC31" s="193">
        <f t="shared" si="21"/>
        <v>21.455418749999993</v>
      </c>
      <c r="AD31" s="193">
        <f t="shared" si="21"/>
        <v>21.455418749999993</v>
      </c>
      <c r="AE31" s="193">
        <f t="shared" si="21"/>
        <v>21.455418749999993</v>
      </c>
      <c r="AF31" s="193"/>
      <c r="AG31" s="148"/>
      <c r="AH31" s="143"/>
      <c r="AI31" s="144"/>
    </row>
    <row r="32" spans="1:35" ht="14.25">
      <c r="A32" s="157" t="s">
        <v>140</v>
      </c>
      <c r="B32" s="530"/>
      <c r="C32" s="184">
        <f>+C28-C29</f>
        <v>0</v>
      </c>
      <c r="D32" s="184">
        <f>SUM($D$28:D28)+SUM($D$29:D29)</f>
        <v>3</v>
      </c>
      <c r="E32" s="184">
        <f>SUM($D$28:E28)+SUM($D$29:E29)</f>
        <v>5.5</v>
      </c>
      <c r="F32" s="184">
        <f>SUM($D$28:F28)+SUM($D$29:F29)</f>
        <v>8</v>
      </c>
      <c r="G32" s="184">
        <f>SUM($D$28:G28)+SUM($D$29:G29)</f>
        <v>10.5</v>
      </c>
      <c r="H32" s="184">
        <f>SUM($D$28:H28)+SUM($D$29:H29)</f>
        <v>11.6</v>
      </c>
      <c r="I32" s="184">
        <f>SUM($D$28:I28)+SUM($D$29:I29)</f>
        <v>12.6</v>
      </c>
      <c r="J32" s="184">
        <f>SUM($D$28:J28)+SUM($D$29:J29)</f>
        <v>13.6</v>
      </c>
      <c r="K32" s="184">
        <f>SUM($D$28:K28)+SUM($D$29:K29)</f>
        <v>14.25</v>
      </c>
      <c r="L32" s="184">
        <f>SUM($D$28:L28)+SUM($D$29:L29)</f>
        <v>14.5</v>
      </c>
      <c r="M32" s="184">
        <f>SUM($D$28:M28)+SUM($D$29:M29)</f>
        <v>12</v>
      </c>
      <c r="N32" s="184">
        <f>SUM($D$28:N28)+SUM($D$29:N29)</f>
        <v>8</v>
      </c>
      <c r="O32" s="184">
        <f>SUM($D$28:O28)+SUM($D$29:O29)</f>
        <v>4</v>
      </c>
      <c r="P32" s="184">
        <f>SUM($D$28:P28)+SUM($D$29:P29)</f>
        <v>0</v>
      </c>
      <c r="Q32" s="184">
        <f>SUM($D$28:Q28)+SUM($D$29:Q29)</f>
        <v>0</v>
      </c>
      <c r="R32" s="184">
        <f>SUM($D$28:R28)+SUM($D$29:R29)</f>
        <v>0</v>
      </c>
      <c r="S32" s="184">
        <f>SUM($D$28:S28)+SUM($D$29:S29)</f>
        <v>0</v>
      </c>
      <c r="T32" s="184">
        <f>SUM($D$28:T28)+SUM($D$29:T29)</f>
        <v>0</v>
      </c>
      <c r="U32" s="184">
        <f>SUM($D$28:U28)+SUM($D$29:U29)</f>
        <v>0</v>
      </c>
      <c r="V32" s="184">
        <f>SUM($D$28:V28)+SUM($D$29:V29)</f>
        <v>0</v>
      </c>
      <c r="W32" s="184">
        <f>SUM($D$28:W28)+SUM($D$29:W29)</f>
        <v>0</v>
      </c>
      <c r="X32" s="184">
        <f>SUM($D$28:X28)+SUM($D$29:X29)</f>
        <v>0</v>
      </c>
      <c r="Y32" s="184">
        <f>SUM($D$28:Y28)+SUM($D$29:Y29)</f>
        <v>0</v>
      </c>
      <c r="Z32" s="184">
        <f>SUM($D$28:Z28)+SUM($D$29:Z29)</f>
        <v>0</v>
      </c>
      <c r="AA32" s="184">
        <f>SUM($D$28:AA28)+SUM($D$29:AA29)</f>
        <v>0</v>
      </c>
      <c r="AB32" s="184">
        <f>SUM($D$28:AB28)+SUM($D$29:AB29)</f>
        <v>0</v>
      </c>
      <c r="AC32" s="184">
        <f>SUM($D$28:AC28)+SUM($D$29:AC29)</f>
        <v>0</v>
      </c>
      <c r="AD32" s="184">
        <f>SUM($D$28:AD28)+SUM($D$29:AD29)</f>
        <v>0</v>
      </c>
      <c r="AE32" s="184">
        <f>SUM($D$28:AE28)+SUM($D$29:AE29)</f>
        <v>0</v>
      </c>
      <c r="AF32" s="184"/>
      <c r="AG32" s="144"/>
      <c r="AH32" s="140"/>
    </row>
    <row r="33" spans="1:34" ht="14.25">
      <c r="A33" s="194" t="s">
        <v>141</v>
      </c>
      <c r="B33" s="530"/>
      <c r="C33" s="195">
        <f t="shared" ref="C33:AE33" si="22">C32/C27</f>
        <v>0</v>
      </c>
      <c r="D33" s="195">
        <f t="shared" si="22"/>
        <v>0.61099796334012213</v>
      </c>
      <c r="E33" s="195">
        <f t="shared" si="22"/>
        <v>1.0166358595194085</v>
      </c>
      <c r="F33" s="195">
        <f t="shared" si="22"/>
        <v>1.3698630136986301</v>
      </c>
      <c r="G33" s="195">
        <f t="shared" si="22"/>
        <v>1.6826923076923077</v>
      </c>
      <c r="H33" s="195">
        <f t="shared" si="22"/>
        <v>1.7210682492581602</v>
      </c>
      <c r="I33" s="195">
        <f t="shared" si="22"/>
        <v>1.7647058823529409</v>
      </c>
      <c r="J33" s="195">
        <f t="shared" si="22"/>
        <v>1.8037135278514587</v>
      </c>
      <c r="K33" s="195">
        <f t="shared" si="22"/>
        <v>1.8176020408163263</v>
      </c>
      <c r="L33" s="195">
        <f t="shared" si="22"/>
        <v>1.7597087378640777</v>
      </c>
      <c r="M33" s="195">
        <f t="shared" si="22"/>
        <v>1.4563106796116505</v>
      </c>
      <c r="N33" s="195">
        <f t="shared" si="22"/>
        <v>0.970873786407767</v>
      </c>
      <c r="O33" s="195">
        <f t="shared" si="22"/>
        <v>0.4854368932038835</v>
      </c>
      <c r="P33" s="195">
        <f t="shared" si="22"/>
        <v>0</v>
      </c>
      <c r="Q33" s="195">
        <f t="shared" si="22"/>
        <v>0</v>
      </c>
      <c r="R33" s="195">
        <f t="shared" si="22"/>
        <v>0</v>
      </c>
      <c r="S33" s="195">
        <f t="shared" si="22"/>
        <v>0</v>
      </c>
      <c r="T33" s="195">
        <f t="shared" si="22"/>
        <v>0</v>
      </c>
      <c r="U33" s="195">
        <f t="shared" si="22"/>
        <v>0</v>
      </c>
      <c r="V33" s="195">
        <f t="shared" si="22"/>
        <v>0</v>
      </c>
      <c r="W33" s="195">
        <f t="shared" si="22"/>
        <v>0</v>
      </c>
      <c r="X33" s="195">
        <f t="shared" si="22"/>
        <v>0</v>
      </c>
      <c r="Y33" s="195">
        <f t="shared" si="22"/>
        <v>0</v>
      </c>
      <c r="Z33" s="195">
        <f t="shared" si="22"/>
        <v>0</v>
      </c>
      <c r="AA33" s="195">
        <f t="shared" si="22"/>
        <v>0</v>
      </c>
      <c r="AB33" s="195">
        <f t="shared" si="22"/>
        <v>0</v>
      </c>
      <c r="AC33" s="195">
        <f t="shared" si="22"/>
        <v>0</v>
      </c>
      <c r="AD33" s="195">
        <f t="shared" si="22"/>
        <v>0</v>
      </c>
      <c r="AE33" s="195">
        <f t="shared" si="22"/>
        <v>0</v>
      </c>
      <c r="AF33" s="195"/>
      <c r="AH33" s="140"/>
    </row>
    <row r="34" spans="1:34">
      <c r="A34" s="201" t="s">
        <v>146</v>
      </c>
      <c r="B34" s="530"/>
      <c r="C34" s="202">
        <f>C32/SUM($C$22:C22)*-1</f>
        <v>0</v>
      </c>
      <c r="D34" s="202">
        <f>D32/SUM($C$22:D22)*-1</f>
        <v>0.39056778792169117</v>
      </c>
      <c r="E34" s="202">
        <f>E32/SUM($C$22:E22)*-1</f>
        <v>0.51589701476192407</v>
      </c>
      <c r="F34" s="202">
        <f>F32/SUM($C$22:F22)*-1</f>
        <v>0.59024864962176127</v>
      </c>
      <c r="G34" s="202">
        <f>G32/SUM($C$22:G22)*-1</f>
        <v>0.63984068576296582</v>
      </c>
      <c r="H34" s="202">
        <f>H32/SUM($C$22:H22)*-1</f>
        <v>0.64540789500771423</v>
      </c>
      <c r="I34" s="202">
        <f>I32/SUM($C$22:I22)*-1</f>
        <v>0.6593913817546404</v>
      </c>
      <c r="J34" s="202">
        <f>J32/SUM($C$22:J22)*-1</f>
        <v>0.70729523022979801</v>
      </c>
      <c r="K34" s="202">
        <f>K32/SUM($C$22:K22)*-1</f>
        <v>0.73051490855971868</v>
      </c>
      <c r="L34" s="202">
        <f>L32/SUM($C$22:L22)*-1</f>
        <v>0.75030613784055156</v>
      </c>
      <c r="M34" s="202">
        <f>M32/SUM($C$22:M22)*-1</f>
        <v>0.99463508341103013</v>
      </c>
      <c r="N34" s="202">
        <f>N32/SUM($C$22:N22)*-1</f>
        <v>3.3819381253282734</v>
      </c>
      <c r="O34" s="202">
        <f>O32/SUM($C$22:O22)*-1</f>
        <v>-0.21389446407037571</v>
      </c>
      <c r="P34" s="202">
        <f>P32/SUM($C$22:P22)*-1</f>
        <v>0</v>
      </c>
      <c r="Q34" s="202">
        <f>Q32/SUM($C$22:Q22)*-1</f>
        <v>0</v>
      </c>
      <c r="R34" s="202">
        <f>R32/SUM($C$22:R22)*-1</f>
        <v>0</v>
      </c>
      <c r="S34" s="202">
        <f>S32/SUM($C$22:S22)*-1</f>
        <v>0</v>
      </c>
      <c r="T34" s="202">
        <f>T32/SUM($C$22:T22)*-1</f>
        <v>0</v>
      </c>
      <c r="U34" s="202">
        <f>U32/SUM($C$22:U22)*-1</f>
        <v>0</v>
      </c>
      <c r="V34" s="202">
        <f>V32/SUM($C$22:V22)*-1</f>
        <v>0</v>
      </c>
      <c r="W34" s="202">
        <f>W32/SUM($C$22:W22)*-1</f>
        <v>0</v>
      </c>
      <c r="X34" s="202">
        <f>X32/SUM($C$22:X22)*-1</f>
        <v>0</v>
      </c>
      <c r="Y34" s="202">
        <f>Y32/SUM($C$22:Y22)*-1</f>
        <v>0</v>
      </c>
      <c r="Z34" s="202">
        <f>Z32/SUM($C$22:Z22)*-1</f>
        <v>0</v>
      </c>
      <c r="AA34" s="202">
        <f>AA32/SUM($C$22:AA22)*-1</f>
        <v>0</v>
      </c>
      <c r="AB34" s="202"/>
      <c r="AC34" s="202"/>
      <c r="AD34" s="202"/>
      <c r="AE34" s="202"/>
      <c r="AF34" s="202"/>
      <c r="AH34" s="140"/>
    </row>
    <row r="35" spans="1:34" ht="15" customHeight="1">
      <c r="A35" s="196" t="s">
        <v>143</v>
      </c>
      <c r="B35" s="530"/>
      <c r="C35" s="198">
        <f>IF(C32=0,0,C32/SUM($C$15:C15))</f>
        <v>0</v>
      </c>
      <c r="D35" s="198">
        <f>IF(D32=0,0,D32/SUM($C$15:D15))</f>
        <v>1</v>
      </c>
      <c r="E35" s="198">
        <f>IF(E32=0,0,E32/SUM($C$15:E15))</f>
        <v>0.91666666666666663</v>
      </c>
      <c r="F35" s="198">
        <f>IF(F32=0,0,F32/SUM($C$15:F15))</f>
        <v>0.88888888888888884</v>
      </c>
      <c r="G35" s="198">
        <f>IF(G32=0,0,G32/SUM($C$15:G15))</f>
        <v>0.875</v>
      </c>
      <c r="H35" s="198">
        <f>IF(H32=0,0,H32/SUM($C$15:H15))</f>
        <v>0.77333333333333332</v>
      </c>
      <c r="I35" s="198">
        <f>IF(I32=0,0,I32/SUM($C$15:I15))</f>
        <v>0.74117647058823533</v>
      </c>
      <c r="J35" s="198">
        <f>IF(J32=0,0,J32/SUM($C$15:J15))</f>
        <v>0.75555555555555554</v>
      </c>
      <c r="K35" s="198">
        <f>IF(K32=0,0,K32/SUM($C$15:K15))</f>
        <v>0.7587859424920127</v>
      </c>
      <c r="L35" s="198">
        <f>IF(L32=0,0,L32/SUM($C$15:L15))</f>
        <v>0.75207468879668049</v>
      </c>
      <c r="M35" s="198">
        <f>IF(M32=0,0,M32/SUM($C$15:M15))</f>
        <v>0.62240663900414939</v>
      </c>
      <c r="N35" s="198">
        <f>IF(N32=0,0,N32/SUM($C$15:N15))</f>
        <v>0.41493775933609955</v>
      </c>
      <c r="O35" s="198">
        <f>IF(O32=0,0,O32/SUM($C$15:O15))</f>
        <v>0.20746887966804978</v>
      </c>
      <c r="P35" s="198">
        <f>IF(P32=0,0,P32/SUM($C$15:P15))</f>
        <v>0</v>
      </c>
      <c r="Q35" s="198">
        <f>IF(Q32=0,0,Q32/SUM($C$15:Q15))</f>
        <v>0</v>
      </c>
      <c r="R35" s="198">
        <f>IF(R32=0,0,R32/SUM($C$15:R15))</f>
        <v>0</v>
      </c>
      <c r="S35" s="198">
        <f>IF(S32=0,0,S32/SUM($C$15:S15))</f>
        <v>0</v>
      </c>
      <c r="T35" s="198">
        <f>IF(T32=0,0,T32/SUM($C$15:T15))</f>
        <v>0</v>
      </c>
      <c r="U35" s="198">
        <f>IF(U32=0,0,U32/SUM($C$15:U15))</f>
        <v>0</v>
      </c>
      <c r="V35" s="198">
        <f>IF(V32=0,0,V32/SUM($C$15:V15))</f>
        <v>0</v>
      </c>
      <c r="W35" s="198">
        <f>IF(W32=0,0,W32/SUM($C$15:W15))</f>
        <v>0</v>
      </c>
      <c r="X35" s="198">
        <f>IF(X32=0,0,X32/SUM($C$15:X15))</f>
        <v>0</v>
      </c>
      <c r="Y35" s="198">
        <f>IF(Y32=0,0,Y32/SUM($C$15:Y15))</f>
        <v>0</v>
      </c>
      <c r="Z35" s="198">
        <f>IF(Z32=0,0,Z32/SUM($C$15:Z15))</f>
        <v>0</v>
      </c>
      <c r="AA35" s="198">
        <f>IF(AA32=0,0,AA32/SUM($C$15:AA15))</f>
        <v>0</v>
      </c>
      <c r="AB35" s="198">
        <f>IF(AB32=0,0,AB32/SUM($C$15:AB15))</f>
        <v>0</v>
      </c>
      <c r="AC35" s="198">
        <f>IF(AC32=0,0,AC32/SUM($C$15:AC15))</f>
        <v>0</v>
      </c>
      <c r="AD35" s="198">
        <f>IF(AD32=0,0,AD32/SUM($C$15:AD15))</f>
        <v>0</v>
      </c>
      <c r="AE35" s="198">
        <f>IF(AE32=0,0,AE32/SUM($C$15:AE15))</f>
        <v>0</v>
      </c>
      <c r="AF35" s="196"/>
    </row>
    <row r="36" spans="1:34" ht="15" customHeight="1">
      <c r="A36" s="196" t="s">
        <v>145</v>
      </c>
      <c r="B36" s="531"/>
      <c r="C36" s="200">
        <f>(C32/'Project Brief'!$B$24)/(Cashflow!C27/'Project Brief'!$B$20)</f>
        <v>0</v>
      </c>
      <c r="D36" s="200">
        <f>(D32/'Project Brief'!$B$24)/(Cashflow!D27/('Project Brief'!$B$20+'Project Brief'!$B$21))</f>
        <v>0.34721539433949011</v>
      </c>
      <c r="E36" s="200">
        <f>(E32/'Project Brief'!$B$24)/(Cashflow!E27/('Project Brief'!$B$20+'Project Brief'!$B$21))</f>
        <v>0.57772961947861556</v>
      </c>
      <c r="F36" s="200">
        <f>(F32/'Project Brief'!$B$24)/(Cashflow!F27/('Project Brief'!$B$20+'Project Brief'!$B$21))</f>
        <v>0.77846008502598008</v>
      </c>
      <c r="G36" s="200">
        <f>(G32/'Project Brief'!$B$24)/(Cashflow!G27/('Project Brief'!$B$20+'Project Brief'!$B$21))</f>
        <v>0.95623342175066317</v>
      </c>
      <c r="H36" s="200">
        <f>(H32/'Project Brief'!$B$24)/(Cashflow!H27/('Project Brief'!$B$20+'Project Brief'!$B$21))</f>
        <v>0.97804154302670621</v>
      </c>
      <c r="I36" s="200">
        <f>(I32/'Project Brief'!$B$24)/(Cashflow!I27/('Project Brief'!$B$20+'Project Brief'!$B$21))</f>
        <v>1.002839756592292</v>
      </c>
      <c r="J36" s="200">
        <f>(J32/'Project Brief'!$B$24)/(Cashflow!J27/('Project Brief'!$B$20+'Project Brief'!$B$21))</f>
        <v>1.0250068599652429</v>
      </c>
      <c r="K36" s="200">
        <f>(K32/'Project Brief'!$B$24)/(Cashflow!K27/('Project Brief'!$B$20+'Project Brief'!$B$21))</f>
        <v>1.0328993666432089</v>
      </c>
      <c r="L36" s="200">
        <f>(L32/'Project Brief'!$B$24)/(Cashflow!L27/('Project Brief'!$B$20+'Project Brief'!$B$21))</f>
        <v>1</v>
      </c>
      <c r="M36" s="200">
        <f>(M32/'Project Brief'!$B$24)/(Cashflow!M27/('Project Brief'!$B$20+'Project Brief'!$B$21))</f>
        <v>0.82758620689655171</v>
      </c>
      <c r="N36" s="200">
        <f>(N32/'Project Brief'!$B$24)/(Cashflow!N27/('Project Brief'!$B$20+'Project Brief'!$B$21))</f>
        <v>0.55172413793103448</v>
      </c>
      <c r="O36" s="200">
        <f>(O32/'Project Brief'!$B$24)/(Cashflow!O27/('Project Brief'!$B$20+'Project Brief'!$B$21))</f>
        <v>0.27586206896551724</v>
      </c>
      <c r="P36" s="200">
        <f>(P32/'Project Brief'!$B$24)/(Cashflow!P27/('Project Brief'!$B$20+'Project Brief'!$B$21))</f>
        <v>0</v>
      </c>
      <c r="Q36" s="200">
        <f>(Q32/'Project Brief'!$B$24)/(Cashflow!Q27/('Project Brief'!$B$20+'Project Brief'!$B$21))</f>
        <v>0</v>
      </c>
      <c r="R36" s="200">
        <f>(R32/'Project Brief'!$B$24)/(Cashflow!R27/('Project Brief'!$B$20+'Project Brief'!$B$21))</f>
        <v>0</v>
      </c>
      <c r="S36" s="200">
        <f>(S32/'Project Brief'!$B$24)/(Cashflow!S27/('Project Brief'!$B$20+'Project Brief'!$B$21))</f>
        <v>0</v>
      </c>
      <c r="T36" s="200">
        <f>(T32/'Project Brief'!$B$24)/(Cashflow!T27/('Project Brief'!$B$20+'Project Brief'!$B$21))</f>
        <v>0</v>
      </c>
      <c r="U36" s="200">
        <f>(U32/'Project Brief'!$B$24)/(Cashflow!U27/('Project Brief'!$B$20+'Project Brief'!$B$21))</f>
        <v>0</v>
      </c>
      <c r="V36" s="200">
        <f>(V32/'Project Brief'!$B$24)/(Cashflow!V27/('Project Brief'!$B$20+'Project Brief'!$B$21))</f>
        <v>0</v>
      </c>
      <c r="W36" s="200">
        <f>(W32/'Project Brief'!$B$24)/(Cashflow!W27/('Project Brief'!$B$20+'Project Brief'!$B$21))</f>
        <v>0</v>
      </c>
      <c r="X36" s="200">
        <f>(X32/'Project Brief'!$B$24)/(Cashflow!X27/('Project Brief'!$B$20+'Project Brief'!$B$21))</f>
        <v>0</v>
      </c>
      <c r="Y36" s="200">
        <f>(Y32/'Project Brief'!$B$24)/(Cashflow!Y27/('Project Brief'!$B$20+'Project Brief'!$B$21))</f>
        <v>0</v>
      </c>
      <c r="Z36" s="200">
        <f>(Z32/'Project Brief'!$B$24)/(Cashflow!Z27/('Project Brief'!$B$20+'Project Brief'!$B$21))</f>
        <v>0</v>
      </c>
      <c r="AA36" s="200">
        <f>(AA32/'Project Brief'!$B$24)/(Cashflow!AA27/('Project Brief'!$B$20+'Project Brief'!$B$21))</f>
        <v>0</v>
      </c>
      <c r="AB36" s="200">
        <f>(AB32/'Project Brief'!$B$24)/(Cashflow!AB27/('Project Brief'!$B$20+'Project Brief'!$B$21))</f>
        <v>0</v>
      </c>
      <c r="AC36" s="200">
        <f>(AC32/'Project Brief'!$B$24)/(Cashflow!AC27/('Project Brief'!$B$20+'Project Brief'!$B$21))</f>
        <v>0</v>
      </c>
      <c r="AD36" s="200">
        <f>(AD32/'Project Brief'!$B$24)/(Cashflow!AD27/('Project Brief'!$B$20+'Project Brief'!$B$21))</f>
        <v>0</v>
      </c>
      <c r="AE36" s="200">
        <f>(AE32/'Project Brief'!$B$24)/(Cashflow!AE27/('Project Brief'!$B$20+'Project Brief'!$B$21))</f>
        <v>0</v>
      </c>
      <c r="AF36" s="196"/>
    </row>
    <row r="37" spans="1:34" ht="15" customHeight="1">
      <c r="D37" s="144"/>
    </row>
    <row r="38" spans="1:34" ht="15" customHeight="1">
      <c r="D38" s="144"/>
    </row>
    <row r="39" spans="1:34" ht="15" customHeight="1">
      <c r="D39" s="144"/>
    </row>
    <row r="40" spans="1:34" ht="15" customHeight="1">
      <c r="D40" s="144"/>
    </row>
    <row r="41" spans="1:34" ht="15" customHeight="1">
      <c r="D41" s="144"/>
      <c r="F41" s="144"/>
      <c r="G41" s="149"/>
    </row>
    <row r="42" spans="1:34" ht="15" customHeight="1">
      <c r="D42" s="144"/>
    </row>
    <row r="43" spans="1:34" ht="15" customHeight="1">
      <c r="D43" s="144"/>
    </row>
  </sheetData>
  <mergeCells count="5">
    <mergeCell ref="A1:AF1"/>
    <mergeCell ref="A2:A4"/>
    <mergeCell ref="B5:B7"/>
    <mergeCell ref="B3:B4"/>
    <mergeCell ref="B25:B36"/>
  </mergeCells>
  <conditionalFormatting sqref="A6:A7 A26:A34">
    <cfRule type="cellIs" dxfId="13" priority="38" operator="lessThan">
      <formula>0</formula>
    </cfRule>
  </conditionalFormatting>
  <conditionalFormatting sqref="A8:AE25">
    <cfRule type="cellIs" dxfId="12" priority="3" operator="lessThan">
      <formula>0</formula>
    </cfRule>
  </conditionalFormatting>
  <conditionalFormatting sqref="A5:AF5">
    <cfRule type="cellIs" dxfId="11" priority="14" operator="lessThan">
      <formula>0</formula>
    </cfRule>
  </conditionalFormatting>
  <conditionalFormatting sqref="C6:AE7">
    <cfRule type="cellIs" dxfId="10" priority="19" operator="lessThan">
      <formula>0</formula>
    </cfRule>
  </conditionalFormatting>
  <conditionalFormatting sqref="C26:AE26">
    <cfRule type="cellIs" dxfId="9" priority="1" operator="lessThan">
      <formula>0</formula>
    </cfRule>
  </conditionalFormatting>
  <conditionalFormatting sqref="C27:AE34">
    <cfRule type="cellIs" dxfId="8" priority="36" operator="lessThan">
      <formula>0</formula>
    </cfRule>
  </conditionalFormatting>
  <conditionalFormatting sqref="C34:AF34">
    <cfRule type="cellIs" dxfId="7" priority="9" operator="greaterThan">
      <formula>0.7</formula>
    </cfRule>
    <cfRule type="cellIs" dxfId="6" priority="10" operator="lessThan">
      <formula>0.7</formula>
    </cfRule>
  </conditionalFormatting>
  <conditionalFormatting sqref="S6:U6">
    <cfRule type="cellIs" dxfId="5" priority="4" operator="lessThan">
      <formula>0</formula>
    </cfRule>
  </conditionalFormatting>
  <conditionalFormatting sqref="AF6:AF27">
    <cfRule type="cellIs" dxfId="4" priority="7" operator="lessThan">
      <formula>0</formula>
    </cfRule>
  </conditionalFormatting>
  <conditionalFormatting sqref="AF28:AF34">
    <cfRule type="cellIs" dxfId="3" priority="12" operator="lessThan">
      <formula>0</formula>
    </cfRule>
  </conditionalFormatting>
  <conditionalFormatting sqref="AF31">
    <cfRule type="cellIs" dxfId="2" priority="11" operator="greaterThan">
      <formula>0</formula>
    </cfRule>
    <cfRule type="cellIs" dxfId="1" priority="13" operator="greaterThan">
      <formula>2</formula>
    </cfRule>
  </conditionalFormatting>
  <printOptions horizontalCentered="1" verticalCentered="1"/>
  <pageMargins left="0.25" right="0" top="0.26" bottom="0.31" header="0.22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0" workbookViewId="0">
      <selection activeCell="E61" sqref="E61"/>
    </sheetView>
  </sheetViews>
  <sheetFormatPr defaultRowHeight="15"/>
  <cols>
    <col min="1" max="1" width="47.42578125" bestFit="1" customWidth="1"/>
    <col min="2" max="2" width="16.42578125" customWidth="1"/>
    <col min="3" max="3" width="15" bestFit="1" customWidth="1"/>
    <col min="4" max="4" width="18.140625" customWidth="1"/>
    <col min="5" max="5" width="13.42578125" customWidth="1"/>
    <col min="6" max="6" width="14.42578125" customWidth="1"/>
    <col min="7" max="7" width="14.28515625" customWidth="1"/>
  </cols>
  <sheetData>
    <row r="1" spans="1:4">
      <c r="A1" s="384" t="s">
        <v>233</v>
      </c>
      <c r="B1" s="385" t="s">
        <v>234</v>
      </c>
      <c r="C1" s="384" t="s">
        <v>235</v>
      </c>
      <c r="D1" s="384" t="s">
        <v>236</v>
      </c>
    </row>
    <row r="2" spans="1:4">
      <c r="A2" s="386" t="s">
        <v>237</v>
      </c>
      <c r="B2" s="387"/>
      <c r="C2" s="388"/>
      <c r="D2" s="389"/>
    </row>
    <row r="3" spans="1:4">
      <c r="A3" s="390" t="s">
        <v>238</v>
      </c>
      <c r="B3" s="391">
        <v>0</v>
      </c>
      <c r="C3" s="388" t="s">
        <v>239</v>
      </c>
      <c r="D3" s="389" t="s">
        <v>240</v>
      </c>
    </row>
    <row r="4" spans="1:4">
      <c r="A4" s="390" t="s">
        <v>241</v>
      </c>
      <c r="B4" s="391">
        <f>Sheet2!F12</f>
        <v>37552.689719999995</v>
      </c>
      <c r="C4" s="388" t="s">
        <v>239</v>
      </c>
      <c r="D4" s="532" t="s">
        <v>242</v>
      </c>
    </row>
    <row r="5" spans="1:4">
      <c r="A5" s="390" t="s">
        <v>243</v>
      </c>
      <c r="B5" s="391">
        <v>0</v>
      </c>
      <c r="C5" s="388" t="s">
        <v>239</v>
      </c>
      <c r="D5" s="533"/>
    </row>
    <row r="6" spans="1:4">
      <c r="A6" s="390" t="s">
        <v>244</v>
      </c>
      <c r="B6" s="391">
        <v>0</v>
      </c>
      <c r="C6" s="388"/>
      <c r="D6" s="533"/>
    </row>
    <row r="7" spans="1:4">
      <c r="A7" s="390" t="s">
        <v>245</v>
      </c>
      <c r="B7" s="392"/>
      <c r="C7" s="388"/>
      <c r="D7" s="533"/>
    </row>
    <row r="8" spans="1:4">
      <c r="A8" s="393" t="s">
        <v>237</v>
      </c>
      <c r="B8" s="394">
        <f>Sheet2!F11</f>
        <v>31200.315119999996</v>
      </c>
      <c r="C8" s="388" t="s">
        <v>239</v>
      </c>
      <c r="D8" s="533"/>
    </row>
    <row r="9" spans="1:4">
      <c r="A9" s="393"/>
      <c r="B9" s="443">
        <f>'[1]Sold Unsold Inventory'!I2</f>
        <v>654</v>
      </c>
      <c r="C9" s="388"/>
      <c r="D9" s="533"/>
    </row>
    <row r="10" spans="1:4">
      <c r="A10" s="393" t="s">
        <v>246</v>
      </c>
      <c r="B10" s="394">
        <f>SUM(Sheet2!F9:F10)</f>
        <v>6352.3745999999992</v>
      </c>
      <c r="C10" s="388" t="s">
        <v>239</v>
      </c>
      <c r="D10" s="533"/>
    </row>
    <row r="11" spans="1:4">
      <c r="A11" s="393"/>
      <c r="B11" s="443">
        <f>'[1]Sold Unsold Inventory'!N13</f>
        <v>9</v>
      </c>
      <c r="C11" s="388"/>
      <c r="D11" s="534"/>
    </row>
    <row r="12" spans="1:4">
      <c r="A12" s="390" t="s">
        <v>247</v>
      </c>
      <c r="B12" s="395"/>
      <c r="C12" s="396"/>
      <c r="D12" s="389"/>
    </row>
    <row r="13" spans="1:4">
      <c r="A13" s="393" t="s">
        <v>237</v>
      </c>
      <c r="B13" s="397">
        <v>13000</v>
      </c>
      <c r="C13" s="388" t="s">
        <v>248</v>
      </c>
      <c r="D13" s="389" t="s">
        <v>249</v>
      </c>
    </row>
    <row r="14" spans="1:4">
      <c r="A14" s="393" t="s">
        <v>246</v>
      </c>
      <c r="B14" s="397">
        <v>22000</v>
      </c>
      <c r="C14" s="388" t="s">
        <v>248</v>
      </c>
      <c r="D14" s="389" t="s">
        <v>249</v>
      </c>
    </row>
    <row r="15" spans="1:4">
      <c r="A15" s="393" t="s">
        <v>250</v>
      </c>
      <c r="B15" s="397">
        <v>0</v>
      </c>
      <c r="C15" s="388" t="s">
        <v>251</v>
      </c>
      <c r="D15" s="389" t="s">
        <v>249</v>
      </c>
    </row>
    <row r="16" spans="1:4">
      <c r="A16" s="390" t="s">
        <v>252</v>
      </c>
      <c r="B16" s="398">
        <v>0</v>
      </c>
      <c r="C16" s="388" t="s">
        <v>253</v>
      </c>
      <c r="D16" s="389" t="s">
        <v>254</v>
      </c>
    </row>
    <row r="17" spans="1:7">
      <c r="A17" s="390" t="s">
        <v>255</v>
      </c>
      <c r="B17" s="398">
        <v>47.635999999999989</v>
      </c>
      <c r="C17" s="388" t="s">
        <v>256</v>
      </c>
      <c r="D17" s="389" t="s">
        <v>254</v>
      </c>
    </row>
    <row r="18" spans="1:7">
      <c r="A18" s="390" t="s">
        <v>257</v>
      </c>
      <c r="B18" s="399">
        <v>0</v>
      </c>
      <c r="C18" s="388" t="s">
        <v>40</v>
      </c>
      <c r="D18" s="389" t="s">
        <v>258</v>
      </c>
    </row>
    <row r="19" spans="1:7">
      <c r="A19" s="390"/>
      <c r="B19" s="400">
        <f>B18*'[1]DETAILS OF MAP'!G5</f>
        <v>0</v>
      </c>
      <c r="C19" s="388" t="s">
        <v>239</v>
      </c>
      <c r="D19" s="389" t="s">
        <v>258</v>
      </c>
    </row>
    <row r="20" spans="1:7">
      <c r="A20" s="390" t="s">
        <v>259</v>
      </c>
      <c r="B20" s="399">
        <f>1-B18</f>
        <v>1</v>
      </c>
      <c r="C20" s="388"/>
      <c r="D20" s="389" t="s">
        <v>258</v>
      </c>
    </row>
    <row r="21" spans="1:7">
      <c r="A21" s="390"/>
      <c r="B21" s="400">
        <f>B20*B3</f>
        <v>0</v>
      </c>
      <c r="C21" s="388" t="s">
        <v>239</v>
      </c>
      <c r="D21" s="389" t="s">
        <v>258</v>
      </c>
    </row>
    <row r="22" spans="1:7">
      <c r="A22" s="390" t="s">
        <v>260</v>
      </c>
      <c r="B22" s="397">
        <f>'[1]Cost of Construction'!D14</f>
        <v>0</v>
      </c>
      <c r="C22" s="388" t="s">
        <v>261</v>
      </c>
      <c r="D22" s="389" t="s">
        <v>262</v>
      </c>
    </row>
    <row r="23" spans="1:7" ht="20.25" customHeight="1">
      <c r="A23" s="401" t="s">
        <v>263</v>
      </c>
      <c r="B23" s="402">
        <v>0.03</v>
      </c>
      <c r="C23" s="388" t="s">
        <v>264</v>
      </c>
      <c r="D23" s="389" t="s">
        <v>249</v>
      </c>
    </row>
    <row r="24" spans="1:7">
      <c r="A24" s="390" t="s">
        <v>265</v>
      </c>
      <c r="B24" s="398">
        <v>33.620581250000001</v>
      </c>
      <c r="C24" s="388" t="s">
        <v>253</v>
      </c>
      <c r="D24" s="389" t="s">
        <v>249</v>
      </c>
    </row>
    <row r="25" spans="1:7">
      <c r="A25" s="390" t="s">
        <v>266</v>
      </c>
      <c r="B25" s="403">
        <v>0.15</v>
      </c>
      <c r="C25" s="388"/>
      <c r="D25" s="389" t="s">
        <v>249</v>
      </c>
    </row>
    <row r="26" spans="1:7" ht="18.75" customHeight="1">
      <c r="A26" s="401" t="s">
        <v>267</v>
      </c>
      <c r="B26" s="404">
        <v>7.0000000000000007E-2</v>
      </c>
      <c r="C26" s="388" t="s">
        <v>40</v>
      </c>
      <c r="D26" s="389" t="s">
        <v>249</v>
      </c>
    </row>
    <row r="31" spans="1:7">
      <c r="A31" s="405"/>
      <c r="B31" s="395"/>
      <c r="C31" s="395"/>
      <c r="D31" s="395"/>
      <c r="E31" s="406">
        <v>0.5</v>
      </c>
      <c r="F31" s="406">
        <v>0.5</v>
      </c>
      <c r="G31" s="405"/>
    </row>
    <row r="32" spans="1:7">
      <c r="A32" s="384" t="s">
        <v>233</v>
      </c>
      <c r="B32" s="384" t="s">
        <v>268</v>
      </c>
      <c r="C32" s="384" t="s">
        <v>269</v>
      </c>
      <c r="D32" s="384" t="s">
        <v>270</v>
      </c>
      <c r="E32" s="384" t="s">
        <v>271</v>
      </c>
      <c r="F32" s="384" t="s">
        <v>272</v>
      </c>
      <c r="G32" s="386" t="s">
        <v>2</v>
      </c>
    </row>
    <row r="33" spans="1:7">
      <c r="A33" s="384" t="s">
        <v>273</v>
      </c>
      <c r="B33" s="387"/>
      <c r="C33" s="407"/>
      <c r="D33" s="407"/>
      <c r="E33" s="407"/>
      <c r="F33" s="407"/>
      <c r="G33" s="407"/>
    </row>
    <row r="34" spans="1:7">
      <c r="A34" s="390" t="s">
        <v>274</v>
      </c>
      <c r="B34" s="398">
        <f>'[1]Cost of Construction'!J17+'[1]Cost of Construction'!I21+'[1]Cost of Construction'!G29</f>
        <v>330.68224148424883</v>
      </c>
      <c r="C34" s="393"/>
      <c r="D34" s="407"/>
      <c r="E34" s="407"/>
      <c r="F34" s="407"/>
      <c r="G34" s="408"/>
    </row>
    <row r="35" spans="1:7">
      <c r="A35" s="388" t="s">
        <v>275</v>
      </c>
      <c r="B35" s="409">
        <v>0</v>
      </c>
      <c r="C35" s="409">
        <v>0.15</v>
      </c>
      <c r="D35" s="409">
        <v>0.25</v>
      </c>
      <c r="E35" s="409">
        <v>0.35</v>
      </c>
      <c r="F35" s="409">
        <v>0.25</v>
      </c>
      <c r="G35" s="410">
        <f>SUM(B35:F35)</f>
        <v>1</v>
      </c>
    </row>
    <row r="36" spans="1:7">
      <c r="A36" s="411" t="s">
        <v>276</v>
      </c>
      <c r="B36" s="412">
        <v>9</v>
      </c>
      <c r="C36" s="412">
        <v>9</v>
      </c>
      <c r="D36" s="412">
        <v>1.28</v>
      </c>
      <c r="E36" s="412">
        <v>0</v>
      </c>
      <c r="F36" s="412">
        <f>'[1]Cost of Construction'!I17</f>
        <v>73.962020470010941</v>
      </c>
      <c r="G36" s="413">
        <f>SUM(B36:F36)</f>
        <v>93.242020470010942</v>
      </c>
    </row>
    <row r="37" spans="1:7">
      <c r="A37" s="411"/>
      <c r="B37" s="412"/>
      <c r="C37" s="412"/>
      <c r="D37" s="412"/>
      <c r="E37" s="412"/>
      <c r="F37" s="412"/>
      <c r="G37" s="413"/>
    </row>
    <row r="38" spans="1:7">
      <c r="A38" s="411" t="s">
        <v>277</v>
      </c>
      <c r="B38" s="412">
        <v>0</v>
      </c>
      <c r="C38" s="412">
        <f>'[1]Cost of Construction'!F21</f>
        <v>0.8321165286840001</v>
      </c>
      <c r="D38" s="412">
        <f>'[1]Cost of Construction'!G21</f>
        <v>3.3284661147360004</v>
      </c>
      <c r="E38" s="412">
        <f>'[1]Cost of Construction'!H21</f>
        <v>4.1605826434200006</v>
      </c>
      <c r="F38" s="412">
        <v>0</v>
      </c>
      <c r="G38" s="413">
        <f>SUM(B38:F38)</f>
        <v>8.3211652868400012</v>
      </c>
    </row>
    <row r="39" spans="1:7">
      <c r="A39" s="411" t="s">
        <v>278</v>
      </c>
      <c r="B39" s="412">
        <v>0</v>
      </c>
      <c r="C39" s="412">
        <v>0</v>
      </c>
      <c r="D39" s="412">
        <v>0</v>
      </c>
      <c r="E39" s="412">
        <f>'[1]Cost of Construction'!$G$28*E31</f>
        <v>100.96263544360818</v>
      </c>
      <c r="F39" s="412">
        <f>'[1]Cost of Construction'!$G$28*F31</f>
        <v>100.96263544360818</v>
      </c>
      <c r="G39" s="413">
        <f>SUM(B39:F39)</f>
        <v>201.92527088721636</v>
      </c>
    </row>
    <row r="40" spans="1:7">
      <c r="A40" s="414" t="s">
        <v>279</v>
      </c>
      <c r="B40" s="415">
        <f>B39+B38+B36</f>
        <v>9</v>
      </c>
      <c r="C40" s="415">
        <f t="shared" ref="C40:F40" si="0">C39+C38+C36</f>
        <v>9.8321165286840007</v>
      </c>
      <c r="D40" s="415">
        <f t="shared" si="0"/>
        <v>4.6084661147360002</v>
      </c>
      <c r="E40" s="415">
        <f t="shared" si="0"/>
        <v>105.12321808702818</v>
      </c>
      <c r="F40" s="415">
        <f t="shared" si="0"/>
        <v>174.92465591361912</v>
      </c>
      <c r="G40" s="415">
        <f>SUM(B40:F40)</f>
        <v>303.4884566440673</v>
      </c>
    </row>
    <row r="41" spans="1:7">
      <c r="A41" s="384" t="s">
        <v>280</v>
      </c>
      <c r="B41" s="416"/>
      <c r="C41" s="417"/>
      <c r="D41" s="417"/>
      <c r="E41" s="407"/>
      <c r="F41" s="407"/>
      <c r="G41" s="407"/>
    </row>
    <row r="42" spans="1:7">
      <c r="A42" s="407" t="s">
        <v>237</v>
      </c>
      <c r="B42" s="416"/>
      <c r="C42" s="417"/>
      <c r="D42" s="417"/>
      <c r="E42" s="407"/>
      <c r="F42" s="407"/>
      <c r="G42" s="407"/>
    </row>
    <row r="43" spans="1:7">
      <c r="A43" s="388" t="s">
        <v>281</v>
      </c>
      <c r="B43" s="418">
        <f>B4</f>
        <v>37552.689719999995</v>
      </c>
      <c r="C43" s="417"/>
      <c r="D43" s="417"/>
      <c r="E43" s="407"/>
      <c r="F43" s="407"/>
      <c r="G43" s="408">
        <f>SUM(B43:F43)</f>
        <v>37552.689719999995</v>
      </c>
    </row>
    <row r="44" spans="1:7">
      <c r="A44" s="388" t="s">
        <v>282</v>
      </c>
      <c r="B44" s="409">
        <v>0</v>
      </c>
      <c r="C44" s="409">
        <v>0.15</v>
      </c>
      <c r="D44" s="409">
        <v>0.2</v>
      </c>
      <c r="E44" s="409">
        <v>0.3</v>
      </c>
      <c r="F44" s="409">
        <v>0.35</v>
      </c>
      <c r="G44" s="410">
        <f>SUM(B44:F44)</f>
        <v>0.99999999999999989</v>
      </c>
    </row>
    <row r="45" spans="1:7">
      <c r="A45" s="388" t="s">
        <v>283</v>
      </c>
      <c r="B45" s="418">
        <f>B44*$B$42</f>
        <v>0</v>
      </c>
      <c r="C45" s="418">
        <f>C44*$B$42</f>
        <v>0</v>
      </c>
      <c r="D45" s="418">
        <f>D44*$B$42</f>
        <v>0</v>
      </c>
      <c r="E45" s="418">
        <f>E44*$B$42</f>
        <v>0</v>
      </c>
      <c r="F45" s="418">
        <f>F44*$B$42</f>
        <v>0</v>
      </c>
      <c r="G45" s="408">
        <f>SUM(B45:F45)</f>
        <v>0</v>
      </c>
    </row>
    <row r="46" spans="1:7">
      <c r="A46" s="419" t="s">
        <v>301</v>
      </c>
      <c r="B46" s="420">
        <f>B13</f>
        <v>13000</v>
      </c>
      <c r="C46" s="420">
        <f t="shared" ref="C46:F47" si="1">B46*(1+$B$26)</f>
        <v>13910</v>
      </c>
      <c r="D46" s="420">
        <f t="shared" si="1"/>
        <v>14883.7</v>
      </c>
      <c r="E46" s="420">
        <f t="shared" si="1"/>
        <v>15925.559000000001</v>
      </c>
      <c r="F46" s="420">
        <f t="shared" si="1"/>
        <v>17040.348130000002</v>
      </c>
      <c r="G46" s="421"/>
    </row>
    <row r="47" spans="1:7">
      <c r="A47" s="419" t="s">
        <v>302</v>
      </c>
      <c r="B47" s="420">
        <f>B14</f>
        <v>22000</v>
      </c>
      <c r="C47" s="420">
        <f t="shared" si="1"/>
        <v>23540</v>
      </c>
      <c r="D47" s="420">
        <f t="shared" si="1"/>
        <v>25187.800000000003</v>
      </c>
      <c r="E47" s="420">
        <f t="shared" si="1"/>
        <v>26950.946000000004</v>
      </c>
      <c r="F47" s="420">
        <f t="shared" si="1"/>
        <v>28837.512220000004</v>
      </c>
      <c r="G47" s="421"/>
    </row>
    <row r="48" spans="1:7">
      <c r="A48" s="419" t="s">
        <v>285</v>
      </c>
      <c r="B48" s="412">
        <f>B46*B44*$B$8</f>
        <v>0</v>
      </c>
      <c r="C48" s="449">
        <f t="shared" ref="C48:F48" si="2">C46*C44*$B$8</f>
        <v>65099457.497879989</v>
      </c>
      <c r="D48" s="449">
        <f t="shared" si="2"/>
        <v>92875226.030308798</v>
      </c>
      <c r="E48" s="449">
        <f t="shared" si="2"/>
        <v>149064737.7786456</v>
      </c>
      <c r="F48" s="449">
        <f t="shared" si="2"/>
        <v>186082480.99367595</v>
      </c>
      <c r="G48" s="450">
        <f>SUM(B48:F48)</f>
        <v>493121902.30051035</v>
      </c>
    </row>
    <row r="49" spans="1:7">
      <c r="A49" s="419" t="s">
        <v>286</v>
      </c>
      <c r="B49" s="412"/>
      <c r="C49" s="412"/>
      <c r="D49" s="412"/>
      <c r="E49" s="412">
        <f>90%*SUMPRODUCT(B45:E45,B46:E46)/10^7</f>
        <v>0</v>
      </c>
      <c r="F49" s="412">
        <f>F46*F45*0.9/10^7</f>
        <v>0</v>
      </c>
      <c r="G49" s="422">
        <f>SUM(B49:F49)</f>
        <v>0</v>
      </c>
    </row>
    <row r="50" spans="1:7">
      <c r="A50" s="415" t="s">
        <v>287</v>
      </c>
      <c r="B50" s="415">
        <f>B49+B48</f>
        <v>0</v>
      </c>
      <c r="C50" s="415">
        <f>C49+C48</f>
        <v>65099457.497879989</v>
      </c>
      <c r="D50" s="415">
        <f>D49+D48</f>
        <v>92875226.030308798</v>
      </c>
      <c r="E50" s="415">
        <f>E49+E48</f>
        <v>149064737.7786456</v>
      </c>
      <c r="F50" s="415">
        <f>F49+F48</f>
        <v>186082480.99367595</v>
      </c>
      <c r="G50" s="422">
        <f>SUM(B50:F50)</f>
        <v>493121902.30051035</v>
      </c>
    </row>
    <row r="51" spans="1:7">
      <c r="A51" s="424" t="s">
        <v>246</v>
      </c>
      <c r="B51" s="425"/>
      <c r="C51" s="425"/>
      <c r="D51" s="425"/>
      <c r="E51" s="425"/>
      <c r="F51" s="425"/>
      <c r="G51" s="426"/>
    </row>
    <row r="52" spans="1:7">
      <c r="A52" s="388" t="s">
        <v>288</v>
      </c>
      <c r="B52" s="418">
        <f>B11</f>
        <v>9</v>
      </c>
      <c r="C52" s="425"/>
      <c r="D52" s="425"/>
      <c r="E52" s="425"/>
      <c r="F52" s="425"/>
      <c r="G52" s="426"/>
    </row>
    <row r="53" spans="1:7">
      <c r="A53" s="388" t="s">
        <v>282</v>
      </c>
      <c r="B53" s="425">
        <v>0</v>
      </c>
      <c r="C53" s="409">
        <v>0.2</v>
      </c>
      <c r="D53" s="409">
        <v>0.2</v>
      </c>
      <c r="E53" s="409">
        <v>0.3</v>
      </c>
      <c r="F53" s="409">
        <v>0.3</v>
      </c>
      <c r="G53" s="427">
        <f>SUM(B53:F53)</f>
        <v>1</v>
      </c>
    </row>
    <row r="54" spans="1:7">
      <c r="A54" s="388" t="s">
        <v>283</v>
      </c>
      <c r="B54" s="418">
        <f>B53*$B$51</f>
        <v>0</v>
      </c>
      <c r="C54" s="418">
        <f>C53*$B$51</f>
        <v>0</v>
      </c>
      <c r="D54" s="418">
        <f>D53*$B$51</f>
        <v>0</v>
      </c>
      <c r="E54" s="418">
        <f>E53*$B$51</f>
        <v>0</v>
      </c>
      <c r="F54" s="418">
        <f>F53*$B$51</f>
        <v>0</v>
      </c>
      <c r="G54" s="426"/>
    </row>
    <row r="55" spans="1:7">
      <c r="A55" s="419" t="s">
        <v>284</v>
      </c>
      <c r="B55" s="420">
        <f>B15</f>
        <v>0</v>
      </c>
      <c r="C55" s="420">
        <f>B55*(1+$B$26)</f>
        <v>0</v>
      </c>
      <c r="D55" s="420">
        <f>C55*(1+$B$26)</f>
        <v>0</v>
      </c>
      <c r="E55" s="420">
        <f>D55*(1+$B$26)</f>
        <v>0</v>
      </c>
      <c r="F55" s="420">
        <f>E55*(1+$B$26)</f>
        <v>0</v>
      </c>
      <c r="G55" s="428"/>
    </row>
    <row r="56" spans="1:7">
      <c r="A56" s="419" t="s">
        <v>285</v>
      </c>
      <c r="B56" s="412">
        <f>B55*B54*10%/10^7</f>
        <v>0</v>
      </c>
      <c r="C56" s="412">
        <f t="shared" ref="C56:F56" si="3">C55*C54*10%/10^7</f>
        <v>0</v>
      </c>
      <c r="D56" s="412">
        <f t="shared" si="3"/>
        <v>0</v>
      </c>
      <c r="E56" s="412">
        <f t="shared" si="3"/>
        <v>0</v>
      </c>
      <c r="F56" s="412">
        <f t="shared" si="3"/>
        <v>0</v>
      </c>
      <c r="G56" s="428"/>
    </row>
    <row r="57" spans="1:7">
      <c r="A57" s="419" t="s">
        <v>286</v>
      </c>
      <c r="B57" s="420"/>
      <c r="C57" s="420"/>
      <c r="D57" s="420"/>
      <c r="E57" s="412">
        <f>90%*SUMPRODUCT(B54:E54,B55:E55)/10^7</f>
        <v>0</v>
      </c>
      <c r="F57" s="412">
        <f>F55*F54*0.9/10^7</f>
        <v>0</v>
      </c>
      <c r="G57" s="428"/>
    </row>
    <row r="58" spans="1:7">
      <c r="A58" s="415" t="s">
        <v>287</v>
      </c>
      <c r="B58" s="415">
        <f>B57+B56</f>
        <v>0</v>
      </c>
      <c r="C58" s="415">
        <f t="shared" ref="C58:F58" si="4">C57+C56</f>
        <v>0</v>
      </c>
      <c r="D58" s="415">
        <f t="shared" si="4"/>
        <v>0</v>
      </c>
      <c r="E58" s="415">
        <f t="shared" si="4"/>
        <v>0</v>
      </c>
      <c r="F58" s="415">
        <f t="shared" si="4"/>
        <v>0</v>
      </c>
      <c r="G58" s="422">
        <f>SUM(B58:F58)</f>
        <v>0</v>
      </c>
    </row>
    <row r="59" spans="1:7">
      <c r="A59" s="388" t="s">
        <v>289</v>
      </c>
      <c r="B59" s="429">
        <v>0</v>
      </c>
      <c r="C59" s="429">
        <v>0</v>
      </c>
      <c r="D59" s="429">
        <v>0</v>
      </c>
      <c r="E59" s="429">
        <v>0.45</v>
      </c>
      <c r="F59" s="429">
        <v>0.55000000000000004</v>
      </c>
      <c r="G59" s="427">
        <f>SUM(B59:F59)</f>
        <v>1</v>
      </c>
    </row>
    <row r="60" spans="1:7">
      <c r="A60" s="430" t="s">
        <v>290</v>
      </c>
      <c r="B60" s="415">
        <f>B59*$B$58</f>
        <v>0</v>
      </c>
      <c r="C60" s="415">
        <f>C59*$B$58</f>
        <v>0</v>
      </c>
      <c r="D60" s="415">
        <f>D59*$B$58</f>
        <v>0</v>
      </c>
      <c r="E60" s="415">
        <f>E59*$B$58</f>
        <v>0</v>
      </c>
      <c r="F60" s="415">
        <f>F59*$B$58</f>
        <v>0</v>
      </c>
      <c r="G60" s="431">
        <f>SUM(B60:F60)</f>
        <v>0</v>
      </c>
    </row>
    <row r="61" spans="1:7">
      <c r="A61" s="432" t="s">
        <v>291</v>
      </c>
      <c r="B61" s="415" t="e">
        <f>B60+B58+#REF!+B50-B40</f>
        <v>#REF!</v>
      </c>
      <c r="C61" s="415" t="e">
        <f>C60+C58+#REF!+C50-C40</f>
        <v>#REF!</v>
      </c>
      <c r="D61" s="415" t="e">
        <f>D60+D58+#REF!+D50-D40</f>
        <v>#REF!</v>
      </c>
      <c r="E61" s="415" t="e">
        <f>E60+E58+#REF!+E50-E40</f>
        <v>#REF!</v>
      </c>
      <c r="F61" s="415" t="e">
        <f>F60+F58+#REF!+F50-F40</f>
        <v>#REF!</v>
      </c>
      <c r="G61" s="431" t="e">
        <f>SUM(B61:F61)</f>
        <v>#REF!</v>
      </c>
    </row>
    <row r="62" spans="1:7">
      <c r="A62" s="433" t="s">
        <v>292</v>
      </c>
      <c r="B62" s="434">
        <v>0.5</v>
      </c>
      <c r="C62" s="434">
        <f>1+B62</f>
        <v>1.5</v>
      </c>
      <c r="D62" s="434">
        <f t="shared" ref="D62:F62" si="5">1+C62</f>
        <v>2.5</v>
      </c>
      <c r="E62" s="434">
        <f>1+D62</f>
        <v>3.5</v>
      </c>
      <c r="F62" s="434">
        <f t="shared" si="5"/>
        <v>4.5</v>
      </c>
      <c r="G62" s="431"/>
    </row>
    <row r="63" spans="1:7">
      <c r="A63" s="433" t="s">
        <v>293</v>
      </c>
      <c r="B63" s="435">
        <f>1/(1+$B$25)^B62</f>
        <v>0.93250480824031379</v>
      </c>
      <c r="C63" s="435">
        <f>1/(1+$B$25)^C62</f>
        <v>0.81087374629592512</v>
      </c>
      <c r="D63" s="435">
        <f>1/(1+$B$25)^D62</f>
        <v>0.70510760547471751</v>
      </c>
      <c r="E63" s="435">
        <f>1/(1+$B$25)^E62</f>
        <v>0.61313704823888482</v>
      </c>
      <c r="F63" s="435">
        <f>1/(1+$B$25)^F62</f>
        <v>0.53316265064250867</v>
      </c>
      <c r="G63" s="431"/>
    </row>
    <row r="64" spans="1:7">
      <c r="A64" s="436"/>
      <c r="B64" s="423" t="e">
        <f>B63*B61</f>
        <v>#REF!</v>
      </c>
      <c r="C64" s="423" t="e">
        <f t="shared" ref="C64:F64" si="6">C63*C61</f>
        <v>#REF!</v>
      </c>
      <c r="D64" s="423" t="e">
        <f t="shared" si="6"/>
        <v>#REF!</v>
      </c>
      <c r="E64" s="423" t="e">
        <f t="shared" si="6"/>
        <v>#REF!</v>
      </c>
      <c r="F64" s="423" t="e">
        <f t="shared" si="6"/>
        <v>#REF!</v>
      </c>
      <c r="G64" s="431"/>
    </row>
    <row r="65" spans="1:7">
      <c r="A65" s="437" t="s">
        <v>294</v>
      </c>
      <c r="B65" s="423" t="e">
        <f>SUM(B64:F64)</f>
        <v>#REF!</v>
      </c>
      <c r="C65" s="423"/>
      <c r="D65" s="423"/>
      <c r="E65" s="423"/>
      <c r="F65" s="423"/>
      <c r="G65" s="431"/>
    </row>
  </sheetData>
  <mergeCells count="1">
    <mergeCell ref="D4:D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9"/>
  <sheetViews>
    <sheetView workbookViewId="0">
      <selection activeCell="A2" sqref="A2:XFD2"/>
    </sheetView>
  </sheetViews>
  <sheetFormatPr defaultColWidth="10.85546875" defaultRowHeight="15"/>
  <cols>
    <col min="1" max="1" width="7.42578125" style="302" bestFit="1" customWidth="1"/>
    <col min="2" max="2" width="9.42578125" style="302" bestFit="1" customWidth="1"/>
    <col min="3" max="3" width="18.28515625" style="302" customWidth="1"/>
    <col min="4" max="4" width="11.140625" style="300" customWidth="1"/>
    <col min="5" max="5" width="11.28515625" style="300" bestFit="1" customWidth="1"/>
    <col min="6" max="6" width="10.5703125" style="300" bestFit="1" customWidth="1"/>
    <col min="7" max="8" width="14.5703125" style="300" bestFit="1" customWidth="1"/>
    <col min="9" max="9" width="14.140625" style="300" bestFit="1" customWidth="1"/>
    <col min="10" max="11" width="13.140625" style="300" bestFit="1" customWidth="1"/>
    <col min="12" max="12" width="11.42578125" style="302" bestFit="1" customWidth="1"/>
    <col min="13" max="13" width="16.5703125" style="300" bestFit="1" customWidth="1"/>
    <col min="14" max="14" width="13.7109375" style="300" bestFit="1" customWidth="1"/>
    <col min="15" max="15" width="10.5703125" style="300" bestFit="1" customWidth="1"/>
    <col min="16" max="16" width="12.28515625" style="300" customWidth="1"/>
    <col min="17" max="17" width="10.5703125" style="300" bestFit="1" customWidth="1"/>
    <col min="18" max="18" width="6.85546875" style="300" customWidth="1"/>
    <col min="19" max="16384" width="10.85546875" style="300"/>
  </cols>
  <sheetData>
    <row r="2" spans="1:18" s="380" customFormat="1" ht="94.5">
      <c r="A2" s="377" t="s">
        <v>21</v>
      </c>
      <c r="B2" s="377" t="s">
        <v>36</v>
      </c>
      <c r="C2" s="377" t="s">
        <v>210</v>
      </c>
      <c r="D2" s="377" t="s">
        <v>130</v>
      </c>
      <c r="E2" s="377" t="s">
        <v>205</v>
      </c>
      <c r="F2" s="377" t="s">
        <v>208</v>
      </c>
      <c r="G2" s="377" t="s">
        <v>206</v>
      </c>
      <c r="H2" s="377" t="s">
        <v>209</v>
      </c>
      <c r="I2" s="377" t="s">
        <v>207</v>
      </c>
      <c r="J2" s="377" t="s">
        <v>211</v>
      </c>
      <c r="K2" s="377" t="s">
        <v>212</v>
      </c>
      <c r="L2" s="378" t="s">
        <v>213</v>
      </c>
      <c r="M2" s="378" t="s">
        <v>214</v>
      </c>
      <c r="N2" s="377" t="s">
        <v>215</v>
      </c>
      <c r="O2" s="377" t="s">
        <v>216</v>
      </c>
      <c r="P2" s="379" t="s">
        <v>222</v>
      </c>
      <c r="Q2" s="379" t="s">
        <v>223</v>
      </c>
      <c r="R2" s="379" t="s">
        <v>224</v>
      </c>
    </row>
    <row r="3" spans="1:18">
      <c r="A3" s="304">
        <f>'Implementation and Revenue'!C12</f>
        <v>1</v>
      </c>
      <c r="B3" s="305">
        <f>'Implementation and Revenue'!D12</f>
        <v>44986</v>
      </c>
      <c r="C3" s="305" t="str">
        <f>VLOOKUP(B3,'Implementation and Revenue'!$D$12:$E$40,2,FALSE)</f>
        <v>Excavation &amp; Piling</v>
      </c>
      <c r="D3" s="306" t="str">
        <f>'Implementation and Revenue'!H12</f>
        <v>2022-2023</v>
      </c>
      <c r="E3" s="306">
        <f>HLOOKUP(B3,Cashflow!$C$3:$AE$15,13,FALSE)</f>
        <v>0</v>
      </c>
      <c r="F3" s="307">
        <f>E3/$E$31</f>
        <v>0</v>
      </c>
      <c r="G3" s="308">
        <f>HLOOKUP(B3,Cashflow!$C$3:$AE$32,30,FALSE)</f>
        <v>0</v>
      </c>
      <c r="H3" s="307">
        <f>G3/Cashflow!$AF$28</f>
        <v>0</v>
      </c>
      <c r="I3" s="307" t="e">
        <f>G3/E3</f>
        <v>#DIV/0!</v>
      </c>
      <c r="J3" s="306">
        <f>HLOOKUP(B3,Cashflow!$C$3:$AE$27,25,FALSE)</f>
        <v>4.41</v>
      </c>
      <c r="K3" s="307">
        <f>J3/Cashflow!$AF$27</f>
        <v>0.53519417475728159</v>
      </c>
      <c r="L3" s="309">
        <f>G3/J3</f>
        <v>0</v>
      </c>
      <c r="M3" s="306">
        <f>HLOOKUP(B3,Cashflow!$C$3:$AE$22,20,FALSE)</f>
        <v>-4.41</v>
      </c>
      <c r="N3" s="307">
        <f>J3/M3*-1</f>
        <v>1</v>
      </c>
      <c r="O3" s="307">
        <f>G3/M3*-1</f>
        <v>0</v>
      </c>
      <c r="P3" s="300">
        <f>HLOOKUP(B3,Cashflow!$C$3:$AE$27,25,FALSE)</f>
        <v>4.41</v>
      </c>
      <c r="Q3" s="321">
        <f>P3/M3</f>
        <v>-1</v>
      </c>
      <c r="R3" s="321">
        <f>G3/M3</f>
        <v>0</v>
      </c>
    </row>
    <row r="4" spans="1:18">
      <c r="A4" s="304">
        <f>'Implementation and Revenue'!C13</f>
        <v>2</v>
      </c>
      <c r="B4" s="305">
        <f>'Implementation and Revenue'!D13</f>
        <v>45078</v>
      </c>
      <c r="C4" s="305" t="str">
        <f>VLOOKUP(B4,'Implementation and Revenue'!$D$12:$E$40,2,FALSE)</f>
        <v>Plinth</v>
      </c>
      <c r="D4" s="306" t="str">
        <f>'Implementation and Revenue'!H13</f>
        <v>2023-2024</v>
      </c>
      <c r="E4" s="310">
        <f>E3+HLOOKUP(B4,Cashflow!$C$3:$AE$15,13,FALSE)</f>
        <v>3</v>
      </c>
      <c r="F4" s="307">
        <f t="shared" ref="F4:F31" si="0">E4/$E$31</f>
        <v>0.15560165975103735</v>
      </c>
      <c r="G4" s="308">
        <f>HLOOKUP(B4,Cashflow!$C$3:$AE$32,30,FALSE)</f>
        <v>3</v>
      </c>
      <c r="H4" s="307">
        <f>G4/Cashflow!$AF$28</f>
        <v>0.20689655172413793</v>
      </c>
      <c r="I4" s="307">
        <f t="shared" ref="I4:I31" si="1">G4/E4</f>
        <v>1</v>
      </c>
      <c r="J4" s="306">
        <f>HLOOKUP(B4,Cashflow!$C$3:$AE$27,25,FALSE)</f>
        <v>4.91</v>
      </c>
      <c r="K4" s="307">
        <f>J4/Cashflow!$AF$27</f>
        <v>0.595873786407767</v>
      </c>
      <c r="L4" s="309">
        <f t="shared" ref="L4:L31" si="2">G4/J4</f>
        <v>0.61099796334012213</v>
      </c>
      <c r="M4" s="310">
        <f>M3+HLOOKUP(B4,Cashflow!$C$3:$AE$22,20,FALSE)</f>
        <v>-7.6811249999999998</v>
      </c>
      <c r="N4" s="307">
        <f t="shared" ref="N4:N31" si="3">J4/M4*-1</f>
        <v>0.63922927956516795</v>
      </c>
      <c r="O4" s="307">
        <f t="shared" ref="O4:O31" si="4">G4/M4*-1</f>
        <v>0.39056778792169117</v>
      </c>
      <c r="P4" s="300">
        <f>HLOOKUP(B4,Cashflow!$C$3:$AE$27,25,FALSE)</f>
        <v>4.91</v>
      </c>
      <c r="Q4" s="321">
        <f t="shared" ref="Q4:Q31" si="5">P4/M4</f>
        <v>-0.63922927956516795</v>
      </c>
      <c r="R4" s="321">
        <f t="shared" ref="R4:R27" si="6">G4/M4</f>
        <v>-0.39056778792169117</v>
      </c>
    </row>
    <row r="5" spans="1:18">
      <c r="A5" s="304">
        <f>'Implementation and Revenue'!C14</f>
        <v>3</v>
      </c>
      <c r="B5" s="305">
        <f>'Implementation and Revenue'!D14</f>
        <v>45170</v>
      </c>
      <c r="C5" s="305" t="str">
        <f>VLOOKUP(B5,'Implementation and Revenue'!$D$12:$E$40,2,FALSE)</f>
        <v>3rd Slab</v>
      </c>
      <c r="D5" s="306" t="str">
        <f>'Implementation and Revenue'!H14</f>
        <v>2023-2024</v>
      </c>
      <c r="E5" s="310">
        <f>E4+HLOOKUP(B5,Cashflow!$C$3:$AE$15,13,FALSE)</f>
        <v>6</v>
      </c>
      <c r="F5" s="307">
        <f t="shared" si="0"/>
        <v>0.31120331950207469</v>
      </c>
      <c r="G5" s="308">
        <f>HLOOKUP(B5,Cashflow!$C$3:$AE$32,30,FALSE)</f>
        <v>5.5</v>
      </c>
      <c r="H5" s="307">
        <f>G5/Cashflow!$AF$28</f>
        <v>0.37931034482758619</v>
      </c>
      <c r="I5" s="307">
        <f t="shared" si="1"/>
        <v>0.91666666666666663</v>
      </c>
      <c r="J5" s="306">
        <f>HLOOKUP(B5,Cashflow!$C$3:$AE$27,25,FALSE)</f>
        <v>5.41</v>
      </c>
      <c r="K5" s="307">
        <f>J5/Cashflow!$AF$27</f>
        <v>0.65655339805825241</v>
      </c>
      <c r="L5" s="309">
        <f t="shared" si="2"/>
        <v>1.0166358595194085</v>
      </c>
      <c r="M5" s="310">
        <f>M4+HLOOKUP(B5,Cashflow!$C$3:$AE$22,20,FALSE)</f>
        <v>-10.661042500000001</v>
      </c>
      <c r="N5" s="307">
        <f t="shared" si="3"/>
        <v>0.50745506361127435</v>
      </c>
      <c r="O5" s="307">
        <f t="shared" si="4"/>
        <v>0.51589701476192407</v>
      </c>
      <c r="P5" s="300">
        <f>HLOOKUP(B5,Cashflow!$C$3:$AE$27,25,FALSE)</f>
        <v>5.41</v>
      </c>
      <c r="Q5" s="321">
        <f t="shared" si="5"/>
        <v>-0.50745506361127435</v>
      </c>
      <c r="R5" s="321">
        <f t="shared" si="6"/>
        <v>-0.51589701476192407</v>
      </c>
    </row>
    <row r="6" spans="1:18">
      <c r="A6" s="304">
        <f>'Implementation and Revenue'!C15</f>
        <v>4</v>
      </c>
      <c r="B6" s="305">
        <f>'Implementation and Revenue'!D15</f>
        <v>45261</v>
      </c>
      <c r="C6" s="305" t="str">
        <f>VLOOKUP(B6,'Implementation and Revenue'!$D$12:$E$40,2,FALSE)</f>
        <v>6th Slab</v>
      </c>
      <c r="D6" s="306" t="str">
        <f>'Implementation and Revenue'!H15</f>
        <v>2023-2024</v>
      </c>
      <c r="E6" s="310">
        <f>E5+HLOOKUP(B6,Cashflow!$C$3:$AE$15,13,FALSE)</f>
        <v>9</v>
      </c>
      <c r="F6" s="307">
        <f t="shared" si="0"/>
        <v>0.46680497925311198</v>
      </c>
      <c r="G6" s="308">
        <f>HLOOKUP(B6,Cashflow!$C$3:$AE$32,30,FALSE)</f>
        <v>8</v>
      </c>
      <c r="H6" s="307">
        <f>G6/Cashflow!$AF$28</f>
        <v>0.55172413793103448</v>
      </c>
      <c r="I6" s="307">
        <f t="shared" si="1"/>
        <v>0.88888888888888884</v>
      </c>
      <c r="J6" s="306">
        <f>HLOOKUP(B6,Cashflow!$C$3:$AE$27,25,FALSE)</f>
        <v>5.84</v>
      </c>
      <c r="K6" s="307">
        <f>J6/Cashflow!$AF$27</f>
        <v>0.70873786407766992</v>
      </c>
      <c r="L6" s="309">
        <f t="shared" si="2"/>
        <v>1.3698630136986301</v>
      </c>
      <c r="M6" s="310">
        <f>M5+HLOOKUP(B6,Cashflow!$C$3:$AE$22,20,FALSE)</f>
        <v>-13.553610000000001</v>
      </c>
      <c r="N6" s="307">
        <f t="shared" si="3"/>
        <v>0.43088151422388571</v>
      </c>
      <c r="O6" s="307">
        <f t="shared" si="4"/>
        <v>0.59024864962176127</v>
      </c>
      <c r="P6" s="300">
        <f>HLOOKUP(B6,Cashflow!$C$3:$AE$27,25,FALSE)</f>
        <v>5.84</v>
      </c>
      <c r="Q6" s="321">
        <f t="shared" si="5"/>
        <v>-0.43088151422388571</v>
      </c>
      <c r="R6" s="321">
        <f t="shared" si="6"/>
        <v>-0.59024864962176127</v>
      </c>
    </row>
    <row r="7" spans="1:18">
      <c r="A7" s="304">
        <f>'Implementation and Revenue'!C16</f>
        <v>5</v>
      </c>
      <c r="B7" s="305">
        <f>'Implementation and Revenue'!D16</f>
        <v>45352</v>
      </c>
      <c r="C7" s="305" t="str">
        <f>VLOOKUP(B7,'Implementation and Revenue'!$D$12:$E$40,2,FALSE)</f>
        <v>9th Slab</v>
      </c>
      <c r="D7" s="306" t="str">
        <f>'Implementation and Revenue'!H16</f>
        <v>2023-2024</v>
      </c>
      <c r="E7" s="310">
        <f>E6+HLOOKUP(B7,Cashflow!$C$3:$AE$15,13,FALSE)</f>
        <v>12</v>
      </c>
      <c r="F7" s="307">
        <f t="shared" si="0"/>
        <v>0.62240663900414939</v>
      </c>
      <c r="G7" s="308">
        <f>HLOOKUP(B7,Cashflow!$C$3:$AE$32,30,FALSE)</f>
        <v>10.5</v>
      </c>
      <c r="H7" s="307">
        <f>G7/Cashflow!$AF$28</f>
        <v>0.72413793103448276</v>
      </c>
      <c r="I7" s="307">
        <f t="shared" si="1"/>
        <v>0.875</v>
      </c>
      <c r="J7" s="306">
        <f>HLOOKUP(B7,Cashflow!$C$3:$AE$27,25,FALSE)</f>
        <v>6.24</v>
      </c>
      <c r="K7" s="307">
        <f>J7/Cashflow!$AF$27</f>
        <v>0.75728155339805825</v>
      </c>
      <c r="L7" s="309">
        <f t="shared" si="2"/>
        <v>1.6826923076923077</v>
      </c>
      <c r="M7" s="310">
        <f>M6+HLOOKUP(B7,Cashflow!$C$3:$AE$22,20,FALSE)</f>
        <v>-16.410335</v>
      </c>
      <c r="N7" s="307">
        <f t="shared" si="3"/>
        <v>0.38024817896770541</v>
      </c>
      <c r="O7" s="307">
        <f t="shared" si="4"/>
        <v>0.63984068576296582</v>
      </c>
      <c r="P7" s="300">
        <f>HLOOKUP(B7,Cashflow!$C$3:$AE$27,25,FALSE)</f>
        <v>6.24</v>
      </c>
      <c r="Q7" s="321">
        <f t="shared" si="5"/>
        <v>-0.38024817896770541</v>
      </c>
      <c r="R7" s="321">
        <f t="shared" si="6"/>
        <v>-0.63984068576296582</v>
      </c>
    </row>
    <row r="8" spans="1:18">
      <c r="A8" s="304">
        <f>'Implementation and Revenue'!C17</f>
        <v>6</v>
      </c>
      <c r="B8" s="305">
        <f>'Implementation and Revenue'!D17</f>
        <v>45444</v>
      </c>
      <c r="C8" s="305" t="str">
        <f>VLOOKUP(B8,'Implementation and Revenue'!$D$12:$E$40,2,FALSE)</f>
        <v>12th Slab</v>
      </c>
      <c r="D8" s="306" t="str">
        <f>'Implementation and Revenue'!H17</f>
        <v>2024-2025</v>
      </c>
      <c r="E8" s="310">
        <f>E7+HLOOKUP(B8,Cashflow!$C$3:$AE$15,13,FALSE)</f>
        <v>15</v>
      </c>
      <c r="F8" s="307">
        <f t="shared" si="0"/>
        <v>0.77800829875518662</v>
      </c>
      <c r="G8" s="308">
        <f>HLOOKUP(B8,Cashflow!$C$3:$AE$32,30,FALSE)</f>
        <v>11.6</v>
      </c>
      <c r="H8" s="307">
        <f>G8/Cashflow!$AF$28</f>
        <v>0.79999999999999993</v>
      </c>
      <c r="I8" s="307">
        <f t="shared" si="1"/>
        <v>0.77333333333333332</v>
      </c>
      <c r="J8" s="306">
        <f>HLOOKUP(B8,Cashflow!$C$3:$AE$27,25,FALSE)</f>
        <v>6.74</v>
      </c>
      <c r="K8" s="307">
        <f>J8/Cashflow!$AF$27</f>
        <v>0.81796116504854366</v>
      </c>
      <c r="L8" s="309">
        <f t="shared" si="2"/>
        <v>1.7210682492581602</v>
      </c>
      <c r="M8" s="310">
        <f>M7+HLOOKUP(B8,Cashflow!$C$3:$AE$22,20,FALSE)</f>
        <v>-17.973130000000001</v>
      </c>
      <c r="N8" s="307">
        <f t="shared" si="3"/>
        <v>0.37500424244413744</v>
      </c>
      <c r="O8" s="307">
        <f t="shared" si="4"/>
        <v>0.64540789500771423</v>
      </c>
      <c r="P8" s="300">
        <f>HLOOKUP(B8,Cashflow!$C$3:$AE$27,25,FALSE)</f>
        <v>6.74</v>
      </c>
      <c r="Q8" s="321">
        <f t="shared" si="5"/>
        <v>-0.37500424244413744</v>
      </c>
      <c r="R8" s="321">
        <f t="shared" si="6"/>
        <v>-0.64540789500771423</v>
      </c>
    </row>
    <row r="9" spans="1:18">
      <c r="A9" s="304">
        <f>'Implementation and Revenue'!C18</f>
        <v>7</v>
      </c>
      <c r="B9" s="305">
        <f>'Implementation and Revenue'!D18</f>
        <v>45536</v>
      </c>
      <c r="C9" s="305" t="str">
        <f>VLOOKUP(B9,'Implementation and Revenue'!$D$12:$E$40,2,FALSE)</f>
        <v>15th Slab</v>
      </c>
      <c r="D9" s="306" t="str">
        <f>'Implementation and Revenue'!H18</f>
        <v>2024-2025</v>
      </c>
      <c r="E9" s="310">
        <f>E8+HLOOKUP(B9,Cashflow!$C$3:$AE$15,13,FALSE)</f>
        <v>17</v>
      </c>
      <c r="F9" s="307">
        <f t="shared" si="0"/>
        <v>0.88174273858921159</v>
      </c>
      <c r="G9" s="308">
        <f>HLOOKUP(B9,Cashflow!$C$3:$AE$32,30,FALSE)</f>
        <v>12.6</v>
      </c>
      <c r="H9" s="307">
        <f>G9/Cashflow!$AF$28</f>
        <v>0.86896551724137927</v>
      </c>
      <c r="I9" s="307">
        <f t="shared" si="1"/>
        <v>0.74117647058823533</v>
      </c>
      <c r="J9" s="306">
        <f>HLOOKUP(B9,Cashflow!$C$3:$AE$27,25,FALSE)</f>
        <v>7.1400000000000006</v>
      </c>
      <c r="K9" s="307">
        <f>J9/Cashflow!$AF$27</f>
        <v>0.8665048543689321</v>
      </c>
      <c r="L9" s="309">
        <f t="shared" si="2"/>
        <v>1.7647058823529409</v>
      </c>
      <c r="M9" s="310">
        <f>M8+HLOOKUP(B9,Cashflow!$C$3:$AE$22,20,FALSE)</f>
        <v>-19.108530000000002</v>
      </c>
      <c r="N9" s="307">
        <f t="shared" si="3"/>
        <v>0.3736551163276296</v>
      </c>
      <c r="O9" s="307">
        <f t="shared" si="4"/>
        <v>0.6593913817546404</v>
      </c>
      <c r="P9" s="300">
        <f>HLOOKUP(B9,Cashflow!$C$3:$AE$27,25,FALSE)</f>
        <v>7.1400000000000006</v>
      </c>
      <c r="Q9" s="321">
        <f t="shared" si="5"/>
        <v>-0.3736551163276296</v>
      </c>
      <c r="R9" s="321">
        <f t="shared" si="6"/>
        <v>-0.6593913817546404</v>
      </c>
    </row>
    <row r="10" spans="1:18">
      <c r="A10" s="304">
        <f>'Implementation and Revenue'!C19</f>
        <v>8</v>
      </c>
      <c r="B10" s="305">
        <f>'Implementation and Revenue'!D19</f>
        <v>45627</v>
      </c>
      <c r="C10" s="305" t="str">
        <f>VLOOKUP(B10,'Implementation and Revenue'!$D$12:$E$40,2,FALSE)</f>
        <v>Finishing</v>
      </c>
      <c r="D10" s="306" t="str">
        <f>'Implementation and Revenue'!H19</f>
        <v>2024-2025</v>
      </c>
      <c r="E10" s="310">
        <f>E9+HLOOKUP(B10,Cashflow!$C$3:$AE$15,13,FALSE)</f>
        <v>18</v>
      </c>
      <c r="F10" s="307">
        <f t="shared" si="0"/>
        <v>0.93360995850622397</v>
      </c>
      <c r="G10" s="308">
        <f>HLOOKUP(B10,Cashflow!$C$3:$AE$32,30,FALSE)</f>
        <v>13.6</v>
      </c>
      <c r="H10" s="307">
        <f>G10/Cashflow!$AF$28</f>
        <v>0.93793103448275861</v>
      </c>
      <c r="I10" s="307">
        <f t="shared" si="1"/>
        <v>0.75555555555555554</v>
      </c>
      <c r="J10" s="306">
        <f>HLOOKUP(B10,Cashflow!$C$3:$AE$27,25,FALSE)</f>
        <v>7.5400000000000009</v>
      </c>
      <c r="K10" s="307">
        <f>J10/Cashflow!$AF$27</f>
        <v>0.91504854368932043</v>
      </c>
      <c r="L10" s="309">
        <f t="shared" si="2"/>
        <v>1.8037135278514587</v>
      </c>
      <c r="M10" s="310">
        <f>M9+HLOOKUP(B10,Cashflow!$C$3:$AE$22,20,FALSE)</f>
        <v>-19.228180000000002</v>
      </c>
      <c r="N10" s="307">
        <f t="shared" si="3"/>
        <v>0.39213279675975576</v>
      </c>
      <c r="O10" s="307">
        <f t="shared" si="4"/>
        <v>0.70729523022979801</v>
      </c>
      <c r="P10" s="300">
        <f>HLOOKUP(B10,Cashflow!$C$3:$AE$27,25,FALSE)</f>
        <v>7.5400000000000009</v>
      </c>
      <c r="Q10" s="321">
        <f t="shared" si="5"/>
        <v>-0.39213279675975576</v>
      </c>
      <c r="R10" s="321">
        <f t="shared" si="6"/>
        <v>-0.70729523022979801</v>
      </c>
    </row>
    <row r="11" spans="1:18">
      <c r="A11" s="304">
        <f>'Implementation and Revenue'!C20</f>
        <v>9</v>
      </c>
      <c r="B11" s="305">
        <f>'Implementation and Revenue'!D20</f>
        <v>45717</v>
      </c>
      <c r="C11" s="305" t="str">
        <f>VLOOKUP(B11,'Implementation and Revenue'!$D$12:$E$40,2,FALSE)</f>
        <v>Internal Finishing</v>
      </c>
      <c r="D11" s="306" t="str">
        <f>'Implementation and Revenue'!H20</f>
        <v>2024-2025</v>
      </c>
      <c r="E11" s="310">
        <f>E10+HLOOKUP(B11,Cashflow!$C$3:$AE$15,13,FALSE)</f>
        <v>18.78</v>
      </c>
      <c r="F11" s="307">
        <f t="shared" si="0"/>
        <v>0.97406639004149376</v>
      </c>
      <c r="G11" s="308">
        <f>HLOOKUP(B11,Cashflow!$C$3:$AE$32,30,FALSE)</f>
        <v>14.25</v>
      </c>
      <c r="H11" s="307">
        <f>G11/Cashflow!$AF$28</f>
        <v>0.98275862068965514</v>
      </c>
      <c r="I11" s="307">
        <f t="shared" si="1"/>
        <v>0.7587859424920127</v>
      </c>
      <c r="J11" s="306">
        <f>HLOOKUP(B11,Cashflow!$C$3:$AE$27,25,FALSE)</f>
        <v>7.8400000000000007</v>
      </c>
      <c r="K11" s="307">
        <f>J11/Cashflow!$AF$27</f>
        <v>0.95145631067961167</v>
      </c>
      <c r="L11" s="309">
        <f t="shared" si="2"/>
        <v>1.8176020408163263</v>
      </c>
      <c r="M11" s="310">
        <f>M10+HLOOKUP(B11,Cashflow!$C$3:$AE$22,20,FALSE)</f>
        <v>-19.506788750000002</v>
      </c>
      <c r="N11" s="307">
        <f t="shared" si="3"/>
        <v>0.40191136021811891</v>
      </c>
      <c r="O11" s="307">
        <f t="shared" si="4"/>
        <v>0.73051490855971868</v>
      </c>
      <c r="P11" s="300">
        <f>HLOOKUP(B11,Cashflow!$C$3:$AE$27,25,FALSE)</f>
        <v>7.8400000000000007</v>
      </c>
      <c r="Q11" s="321">
        <f t="shared" si="5"/>
        <v>-0.40191136021811891</v>
      </c>
      <c r="R11" s="321">
        <f t="shared" si="6"/>
        <v>-0.73051490855971868</v>
      </c>
    </row>
    <row r="12" spans="1:18">
      <c r="A12" s="304">
        <f>'Implementation and Revenue'!C21</f>
        <v>10</v>
      </c>
      <c r="B12" s="305">
        <f>'Implementation and Revenue'!D21</f>
        <v>45809</v>
      </c>
      <c r="C12" s="305" t="str">
        <f>VLOOKUP(B12,'Implementation and Revenue'!$D$12:$E$40,2,FALSE)</f>
        <v>Project Complete</v>
      </c>
      <c r="D12" s="306" t="str">
        <f>'Implementation and Revenue'!H21</f>
        <v>2025-2026</v>
      </c>
      <c r="E12" s="310">
        <f>E11+HLOOKUP(B12,Cashflow!$C$3:$AE$15,13,FALSE)</f>
        <v>19.28</v>
      </c>
      <c r="F12" s="307">
        <f t="shared" si="0"/>
        <v>1</v>
      </c>
      <c r="G12" s="308">
        <f>HLOOKUP(B12,Cashflow!$C$3:$AE$32,30,FALSE)</f>
        <v>14.5</v>
      </c>
      <c r="H12" s="307">
        <f>G12/Cashflow!$AF$28</f>
        <v>1</v>
      </c>
      <c r="I12" s="307">
        <f t="shared" si="1"/>
        <v>0.75207468879668049</v>
      </c>
      <c r="J12" s="306">
        <f>HLOOKUP(B12,Cashflow!$C$3:$AE$27,25,FALSE)</f>
        <v>8.24</v>
      </c>
      <c r="K12" s="307">
        <f>J12/Cashflow!$AF$27</f>
        <v>1</v>
      </c>
      <c r="L12" s="309">
        <f t="shared" si="2"/>
        <v>1.7597087378640777</v>
      </c>
      <c r="M12" s="310">
        <f>M11+HLOOKUP(B12,Cashflow!$C$3:$AE$22,20,FALSE)</f>
        <v>-19.325445000000002</v>
      </c>
      <c r="N12" s="307">
        <f t="shared" si="3"/>
        <v>0.42638086729697555</v>
      </c>
      <c r="O12" s="307">
        <f t="shared" si="4"/>
        <v>0.75030613784055156</v>
      </c>
      <c r="P12" s="300">
        <f>HLOOKUP(B12,Cashflow!$C$3:$AE$27,25,FALSE)</f>
        <v>8.24</v>
      </c>
      <c r="Q12" s="321">
        <f t="shared" si="5"/>
        <v>-0.42638086729697555</v>
      </c>
      <c r="R12" s="321">
        <f t="shared" si="6"/>
        <v>-0.75030613784055156</v>
      </c>
    </row>
    <row r="13" spans="1:18">
      <c r="A13" s="304">
        <f>'Implementation and Revenue'!C22</f>
        <v>11</v>
      </c>
      <c r="B13" s="305">
        <f>'Implementation and Revenue'!D22</f>
        <v>45901</v>
      </c>
      <c r="C13" s="305" t="str">
        <f>VLOOKUP(B13,'Implementation and Revenue'!$D$12:$E$40,2,FALSE)</f>
        <v>Ready to Occupy</v>
      </c>
      <c r="D13" s="306" t="str">
        <f>'Implementation and Revenue'!H22</f>
        <v>2025-2026</v>
      </c>
      <c r="E13" s="310">
        <f>E12+HLOOKUP(B13,Cashflow!$C$3:$AE$15,13,FALSE)</f>
        <v>19.28</v>
      </c>
      <c r="F13" s="307">
        <f t="shared" si="0"/>
        <v>1</v>
      </c>
      <c r="G13" s="308">
        <f>HLOOKUP(B13,Cashflow!$C$3:$AE$32,30,FALSE)</f>
        <v>12</v>
      </c>
      <c r="H13" s="307">
        <f>G13/Cashflow!$AF$28</f>
        <v>0.82758620689655171</v>
      </c>
      <c r="I13" s="307">
        <f t="shared" si="1"/>
        <v>0.62240663900414939</v>
      </c>
      <c r="J13" s="306">
        <f>HLOOKUP(B13,Cashflow!$C$3:$AE$27,25,FALSE)</f>
        <v>8.24</v>
      </c>
      <c r="K13" s="307">
        <f>J13/Cashflow!$AF$27</f>
        <v>1</v>
      </c>
      <c r="L13" s="309">
        <f t="shared" si="2"/>
        <v>1.4563106796116505</v>
      </c>
      <c r="M13" s="310">
        <f>M12+HLOOKUP(B13,Cashflow!$C$3:$AE$22,20,FALSE)</f>
        <v>-12.064726250000005</v>
      </c>
      <c r="N13" s="307">
        <f t="shared" si="3"/>
        <v>0.682982757275574</v>
      </c>
      <c r="O13" s="307">
        <f t="shared" si="4"/>
        <v>0.99463508341103013</v>
      </c>
      <c r="P13" s="300">
        <f>HLOOKUP(B13,Cashflow!$C$3:$AE$27,25,FALSE)</f>
        <v>8.24</v>
      </c>
      <c r="Q13" s="321">
        <f t="shared" si="5"/>
        <v>-0.682982757275574</v>
      </c>
      <c r="R13" s="321">
        <f t="shared" si="6"/>
        <v>-0.99463508341103013</v>
      </c>
    </row>
    <row r="14" spans="1:18">
      <c r="A14" s="304">
        <f>'Implementation and Revenue'!C23</f>
        <v>12</v>
      </c>
      <c r="B14" s="305">
        <f>'Implementation and Revenue'!D23</f>
        <v>45992</v>
      </c>
      <c r="C14" s="305" t="str">
        <f>VLOOKUP(B14,'Implementation and Revenue'!$D$12:$E$40,2,FALSE)</f>
        <v>Ready to Occupy</v>
      </c>
      <c r="D14" s="306" t="str">
        <f>'Implementation and Revenue'!H23</f>
        <v>2025-2026</v>
      </c>
      <c r="E14" s="310">
        <f>E13+HLOOKUP(B14,Cashflow!$C$3:$AE$15,13,FALSE)</f>
        <v>19.28</v>
      </c>
      <c r="F14" s="307">
        <f t="shared" si="0"/>
        <v>1</v>
      </c>
      <c r="G14" s="308">
        <f>HLOOKUP(B14,Cashflow!$C$3:$AE$32,30,FALSE)</f>
        <v>8</v>
      </c>
      <c r="H14" s="307">
        <f>G14/Cashflow!$AF$28</f>
        <v>0.55172413793103448</v>
      </c>
      <c r="I14" s="307">
        <f t="shared" si="1"/>
        <v>0.41493775933609955</v>
      </c>
      <c r="J14" s="306">
        <f>HLOOKUP(B14,Cashflow!$C$3:$AE$27,25,FALSE)</f>
        <v>8.24</v>
      </c>
      <c r="K14" s="307">
        <f>J14/Cashflow!$AF$27</f>
        <v>1</v>
      </c>
      <c r="L14" s="309">
        <f t="shared" si="2"/>
        <v>0.970873786407767</v>
      </c>
      <c r="M14" s="310">
        <f>M13+HLOOKUP(B14,Cashflow!$C$3:$AE$22,20,FALSE)</f>
        <v>-2.3655075000000085</v>
      </c>
      <c r="N14" s="307">
        <f t="shared" si="3"/>
        <v>3.4833962690881219</v>
      </c>
      <c r="O14" s="307">
        <f t="shared" si="4"/>
        <v>3.3819381253282734</v>
      </c>
      <c r="P14" s="300">
        <f>HLOOKUP(B14,Cashflow!$C$3:$AE$27,25,FALSE)</f>
        <v>8.24</v>
      </c>
      <c r="Q14" s="321">
        <f t="shared" si="5"/>
        <v>-3.4833962690881219</v>
      </c>
      <c r="R14" s="321">
        <f t="shared" si="6"/>
        <v>-3.3819381253282734</v>
      </c>
    </row>
    <row r="15" spans="1:18">
      <c r="A15" s="304">
        <f>'Implementation and Revenue'!C24</f>
        <v>13</v>
      </c>
      <c r="B15" s="305">
        <f>'Implementation and Revenue'!D24</f>
        <v>46082</v>
      </c>
      <c r="C15" s="305" t="str">
        <f>VLOOKUP(B15,'Implementation and Revenue'!$D$12:$E$40,2,FALSE)</f>
        <v>Ready to Occupy</v>
      </c>
      <c r="D15" s="306" t="str">
        <f>'Implementation and Revenue'!H24</f>
        <v>2025-2026</v>
      </c>
      <c r="E15" s="310">
        <f>E14+HLOOKUP(B15,Cashflow!$C$3:$AE$15,13,FALSE)</f>
        <v>19.28</v>
      </c>
      <c r="F15" s="307">
        <f t="shared" si="0"/>
        <v>1</v>
      </c>
      <c r="G15" s="308">
        <f>HLOOKUP(B15,Cashflow!$C$3:$AE$32,30,FALSE)</f>
        <v>4</v>
      </c>
      <c r="H15" s="307">
        <f>G15/Cashflow!$AF$28</f>
        <v>0.27586206896551724</v>
      </c>
      <c r="I15" s="307">
        <f t="shared" si="1"/>
        <v>0.20746887966804978</v>
      </c>
      <c r="J15" s="306">
        <f>HLOOKUP(B15,Cashflow!$C$3:$AE$27,25,FALSE)</f>
        <v>8.24</v>
      </c>
      <c r="K15" s="307">
        <f>J15/Cashflow!$AF$27</f>
        <v>1</v>
      </c>
      <c r="L15" s="309">
        <f t="shared" si="2"/>
        <v>0.4854368932038835</v>
      </c>
      <c r="M15" s="310">
        <f>M14+HLOOKUP(B15,Cashflow!$C$3:$AE$22,20,FALSE)</f>
        <v>18.700811249999987</v>
      </c>
      <c r="N15" s="307">
        <f t="shared" si="3"/>
        <v>-0.440622595984974</v>
      </c>
      <c r="O15" s="307">
        <f t="shared" si="4"/>
        <v>-0.21389446407037571</v>
      </c>
      <c r="P15" s="300">
        <f>HLOOKUP(B15,Cashflow!$C$3:$AE$27,25,FALSE)</f>
        <v>8.24</v>
      </c>
      <c r="Q15" s="321">
        <f t="shared" si="5"/>
        <v>0.440622595984974</v>
      </c>
      <c r="R15" s="321">
        <f t="shared" si="6"/>
        <v>0.21389446407037571</v>
      </c>
    </row>
    <row r="16" spans="1:18">
      <c r="A16" s="304">
        <f>'Implementation and Revenue'!C25</f>
        <v>14</v>
      </c>
      <c r="B16" s="305">
        <f>'Implementation and Revenue'!D25</f>
        <v>46174</v>
      </c>
      <c r="C16" s="305" t="str">
        <f>VLOOKUP(B16,'Implementation and Revenue'!$D$12:$E$40,2,FALSE)</f>
        <v>Ready to Occupy</v>
      </c>
      <c r="D16" s="306" t="str">
        <f>'Implementation and Revenue'!H25</f>
        <v>2026-2027</v>
      </c>
      <c r="E16" s="310">
        <f>E15+HLOOKUP(B16,Cashflow!$C$3:$AE$15,13,FALSE)</f>
        <v>19.28</v>
      </c>
      <c r="F16" s="307">
        <f t="shared" si="0"/>
        <v>1</v>
      </c>
      <c r="G16" s="308">
        <f>HLOOKUP(B16,Cashflow!$C$3:$AE$32,30,FALSE)</f>
        <v>0</v>
      </c>
      <c r="H16" s="307">
        <f>G16/Cashflow!$AF$28</f>
        <v>0</v>
      </c>
      <c r="I16" s="307">
        <f t="shared" si="1"/>
        <v>0</v>
      </c>
      <c r="J16" s="306">
        <f>HLOOKUP(B16,Cashflow!$C$3:$AE$27,25,FALSE)</f>
        <v>8.24</v>
      </c>
      <c r="K16" s="307">
        <f>J16/Cashflow!$AF$27</f>
        <v>1</v>
      </c>
      <c r="L16" s="309">
        <f t="shared" si="2"/>
        <v>0</v>
      </c>
      <c r="M16" s="310">
        <f>M15+HLOOKUP(B16,Cashflow!$C$3:$AE$22,20,FALSE)</f>
        <v>44.156229999999979</v>
      </c>
      <c r="N16" s="307">
        <f t="shared" si="3"/>
        <v>-0.18661013406262275</v>
      </c>
      <c r="O16" s="307">
        <f t="shared" si="4"/>
        <v>0</v>
      </c>
      <c r="P16" s="300">
        <f>HLOOKUP(B16,Cashflow!$C$3:$AE$27,25,FALSE)</f>
        <v>8.24</v>
      </c>
      <c r="Q16" s="321">
        <f t="shared" si="5"/>
        <v>0.18661013406262275</v>
      </c>
      <c r="R16" s="321">
        <f t="shared" si="6"/>
        <v>0</v>
      </c>
    </row>
    <row r="17" spans="1:18">
      <c r="A17" s="304">
        <f>'Implementation and Revenue'!C26</f>
        <v>15</v>
      </c>
      <c r="B17" s="305">
        <f>'Implementation and Revenue'!D26</f>
        <v>46266</v>
      </c>
      <c r="C17" s="305">
        <f>VLOOKUP(B17,'Implementation and Revenue'!$D$12:$E$40,2,FALSE)</f>
        <v>0</v>
      </c>
      <c r="D17" s="306" t="str">
        <f>'Implementation and Revenue'!H26</f>
        <v>2026-2027</v>
      </c>
      <c r="E17" s="310">
        <f>E16+HLOOKUP(B17,Cashflow!$C$3:$AE$15,13,FALSE)</f>
        <v>19.28</v>
      </c>
      <c r="F17" s="307">
        <f t="shared" si="0"/>
        <v>1</v>
      </c>
      <c r="G17" s="308">
        <f>HLOOKUP(B17,Cashflow!$C$3:$AE$32,30,FALSE)</f>
        <v>0</v>
      </c>
      <c r="H17" s="307">
        <f>G17/Cashflow!$AF$28</f>
        <v>0</v>
      </c>
      <c r="I17" s="307">
        <f t="shared" si="1"/>
        <v>0</v>
      </c>
      <c r="J17" s="306">
        <f>HLOOKUP(B17,Cashflow!$C$3:$AE$27,25,FALSE)</f>
        <v>8.24</v>
      </c>
      <c r="K17" s="307">
        <f>J17/Cashflow!$AF$27</f>
        <v>1</v>
      </c>
      <c r="L17" s="309">
        <f t="shared" si="2"/>
        <v>0</v>
      </c>
      <c r="M17" s="310">
        <f>M16+HLOOKUP(B17,Cashflow!$C$3:$AE$22,20,FALSE)</f>
        <v>65.611648749999972</v>
      </c>
      <c r="N17" s="307">
        <f t="shared" si="3"/>
        <v>-0.12558745523065373</v>
      </c>
      <c r="O17" s="307">
        <f t="shared" si="4"/>
        <v>0</v>
      </c>
      <c r="P17" s="300">
        <f>HLOOKUP(B17,Cashflow!$C$3:$AE$27,25,FALSE)</f>
        <v>8.24</v>
      </c>
      <c r="Q17" s="321">
        <f t="shared" si="5"/>
        <v>0.12558745523065373</v>
      </c>
      <c r="R17" s="321">
        <f t="shared" si="6"/>
        <v>0</v>
      </c>
    </row>
    <row r="18" spans="1:18">
      <c r="A18" s="304">
        <f>'Implementation and Revenue'!C27</f>
        <v>16</v>
      </c>
      <c r="B18" s="305">
        <f>'Implementation and Revenue'!D27</f>
        <v>46357</v>
      </c>
      <c r="C18" s="305">
        <f>VLOOKUP(B18,'Implementation and Revenue'!$D$12:$E$40,2,FALSE)</f>
        <v>0</v>
      </c>
      <c r="D18" s="306" t="str">
        <f>'Implementation and Revenue'!H27</f>
        <v>2026-2027</v>
      </c>
      <c r="E18" s="310">
        <f>E17+HLOOKUP(B18,Cashflow!$C$3:$AE$15,13,FALSE)</f>
        <v>19.28</v>
      </c>
      <c r="F18" s="307">
        <f t="shared" si="0"/>
        <v>1</v>
      </c>
      <c r="G18" s="308">
        <f>HLOOKUP(B18,Cashflow!$C$3:$AE$32,30,FALSE)</f>
        <v>0</v>
      </c>
      <c r="H18" s="307">
        <f>G18/Cashflow!$AF$28</f>
        <v>0</v>
      </c>
      <c r="I18" s="307">
        <f t="shared" si="1"/>
        <v>0</v>
      </c>
      <c r="J18" s="306">
        <f>HLOOKUP(B18,Cashflow!$C$3:$AE$27,25,FALSE)</f>
        <v>8.24</v>
      </c>
      <c r="K18" s="307">
        <f>J18/Cashflow!$AF$27</f>
        <v>1</v>
      </c>
      <c r="L18" s="309">
        <f t="shared" si="2"/>
        <v>0</v>
      </c>
      <c r="M18" s="310">
        <f>M17+HLOOKUP(B18,Cashflow!$C$3:$AE$22,20,FALSE)</f>
        <v>87.067067499999965</v>
      </c>
      <c r="N18" s="307">
        <f t="shared" si="3"/>
        <v>-9.4639686813846158E-2</v>
      </c>
      <c r="O18" s="307">
        <f t="shared" si="4"/>
        <v>0</v>
      </c>
      <c r="P18" s="300">
        <f>HLOOKUP(B18,Cashflow!$C$3:$AE$27,25,FALSE)</f>
        <v>8.24</v>
      </c>
      <c r="Q18" s="321">
        <f t="shared" si="5"/>
        <v>9.4639686813846158E-2</v>
      </c>
      <c r="R18" s="321">
        <f t="shared" si="6"/>
        <v>0</v>
      </c>
    </row>
    <row r="19" spans="1:18">
      <c r="A19" s="304">
        <f>'Implementation and Revenue'!C28</f>
        <v>17</v>
      </c>
      <c r="B19" s="305">
        <f>'Implementation and Revenue'!D28</f>
        <v>46447</v>
      </c>
      <c r="C19" s="305">
        <f>VLOOKUP(B19,'Implementation and Revenue'!$D$12:$E$40,2,FALSE)</f>
        <v>0</v>
      </c>
      <c r="D19" s="306" t="str">
        <f>'Implementation and Revenue'!H28</f>
        <v>2026-2027</v>
      </c>
      <c r="E19" s="310">
        <f>E18+HLOOKUP(B19,Cashflow!$C$3:$AE$15,13,FALSE)</f>
        <v>19.28</v>
      </c>
      <c r="F19" s="307">
        <f t="shared" si="0"/>
        <v>1</v>
      </c>
      <c r="G19" s="308">
        <f>HLOOKUP(B19,Cashflow!$C$3:$AE$32,30,FALSE)</f>
        <v>0</v>
      </c>
      <c r="H19" s="307">
        <f>G19/Cashflow!$AF$28</f>
        <v>0</v>
      </c>
      <c r="I19" s="307">
        <f t="shared" si="1"/>
        <v>0</v>
      </c>
      <c r="J19" s="306">
        <f>HLOOKUP(B19,Cashflow!$C$3:$AE$27,25,FALSE)</f>
        <v>8.24</v>
      </c>
      <c r="K19" s="307">
        <f>J19/Cashflow!$AF$27</f>
        <v>1</v>
      </c>
      <c r="L19" s="309">
        <f t="shared" si="2"/>
        <v>0</v>
      </c>
      <c r="M19" s="310">
        <f>M18+HLOOKUP(B19,Cashflow!$C$3:$AE$22,20,FALSE)</f>
        <v>108.52248624999996</v>
      </c>
      <c r="N19" s="307">
        <f t="shared" si="3"/>
        <v>-7.5928964445375516E-2</v>
      </c>
      <c r="O19" s="307">
        <f t="shared" si="4"/>
        <v>0</v>
      </c>
      <c r="P19" s="300">
        <f>HLOOKUP(B19,Cashflow!$C$3:$AE$27,25,FALSE)</f>
        <v>8.24</v>
      </c>
      <c r="Q19" s="321">
        <f t="shared" si="5"/>
        <v>7.5928964445375516E-2</v>
      </c>
      <c r="R19" s="321">
        <f t="shared" si="6"/>
        <v>0</v>
      </c>
    </row>
    <row r="20" spans="1:18">
      <c r="A20" s="304">
        <f>'Implementation and Revenue'!C29</f>
        <v>18</v>
      </c>
      <c r="B20" s="305">
        <f>'Implementation and Revenue'!D29</f>
        <v>46539</v>
      </c>
      <c r="C20" s="305">
        <f>VLOOKUP(B20,'Implementation and Revenue'!$D$12:$E$40,2,FALSE)</f>
        <v>0</v>
      </c>
      <c r="D20" s="306" t="str">
        <f>'Implementation and Revenue'!H29</f>
        <v>2027-2028</v>
      </c>
      <c r="E20" s="310">
        <f>E19+HLOOKUP(B20,Cashflow!$C$3:$AE$15,13,FALSE)</f>
        <v>19.28</v>
      </c>
      <c r="F20" s="307">
        <f t="shared" si="0"/>
        <v>1</v>
      </c>
      <c r="G20" s="308">
        <f>HLOOKUP(B20,Cashflow!$C$3:$AE$32,30,FALSE)</f>
        <v>0</v>
      </c>
      <c r="H20" s="307">
        <f>G20/Cashflow!$AF$28</f>
        <v>0</v>
      </c>
      <c r="I20" s="307">
        <f t="shared" si="1"/>
        <v>0</v>
      </c>
      <c r="J20" s="306">
        <f>HLOOKUP(B20,Cashflow!$C$3:$AE$27,25,FALSE)</f>
        <v>8.24</v>
      </c>
      <c r="K20" s="307">
        <f>J20/Cashflow!$AF$27</f>
        <v>1</v>
      </c>
      <c r="L20" s="309">
        <f t="shared" si="2"/>
        <v>0</v>
      </c>
      <c r="M20" s="310">
        <f>M19+HLOOKUP(B20,Cashflow!$C$3:$AE$22,20,FALSE)</f>
        <v>129.97790499999996</v>
      </c>
      <c r="N20" s="307">
        <f t="shared" si="3"/>
        <v>-6.3395390162658813E-2</v>
      </c>
      <c r="O20" s="307">
        <f t="shared" si="4"/>
        <v>0</v>
      </c>
      <c r="P20" s="300">
        <f>HLOOKUP(B20,Cashflow!$C$3:$AE$27,25,FALSE)</f>
        <v>8.24</v>
      </c>
      <c r="Q20" s="321">
        <f t="shared" si="5"/>
        <v>6.3395390162658813E-2</v>
      </c>
      <c r="R20" s="321">
        <f t="shared" si="6"/>
        <v>0</v>
      </c>
    </row>
    <row r="21" spans="1:18">
      <c r="A21" s="304">
        <f>'Implementation and Revenue'!C30</f>
        <v>19</v>
      </c>
      <c r="B21" s="305">
        <f>'Implementation and Revenue'!D30</f>
        <v>46631</v>
      </c>
      <c r="C21" s="305">
        <f>VLOOKUP(B21,'Implementation and Revenue'!$D$12:$E$40,2,FALSE)</f>
        <v>0</v>
      </c>
      <c r="D21" s="306" t="str">
        <f>'Implementation and Revenue'!H30</f>
        <v>2027-2028</v>
      </c>
      <c r="E21" s="310">
        <f>E20+HLOOKUP(B21,Cashflow!$C$3:$AE$15,13,FALSE)</f>
        <v>19.28</v>
      </c>
      <c r="F21" s="307">
        <f t="shared" si="0"/>
        <v>1</v>
      </c>
      <c r="G21" s="308">
        <f>HLOOKUP(B21,Cashflow!$C$3:$AE$32,30,FALSE)</f>
        <v>0</v>
      </c>
      <c r="H21" s="307">
        <f>G21/Cashflow!$AF$28</f>
        <v>0</v>
      </c>
      <c r="I21" s="307">
        <f t="shared" si="1"/>
        <v>0</v>
      </c>
      <c r="J21" s="306">
        <f>HLOOKUP(B21,Cashflow!$C$3:$AE$27,25,FALSE)</f>
        <v>8.24</v>
      </c>
      <c r="K21" s="307">
        <f>J21/Cashflow!$AF$27</f>
        <v>1</v>
      </c>
      <c r="L21" s="309">
        <f t="shared" si="2"/>
        <v>0</v>
      </c>
      <c r="M21" s="310">
        <f>M20+HLOOKUP(B21,Cashflow!$C$3:$AE$22,20,FALSE)</f>
        <v>151.43332374999994</v>
      </c>
      <c r="N21" s="307">
        <f t="shared" si="3"/>
        <v>-5.4413386670448774E-2</v>
      </c>
      <c r="O21" s="307">
        <f t="shared" si="4"/>
        <v>0</v>
      </c>
      <c r="P21" s="300">
        <f>HLOOKUP(B21,Cashflow!$C$3:$AE$27,25,FALSE)</f>
        <v>8.24</v>
      </c>
      <c r="Q21" s="321">
        <f t="shared" si="5"/>
        <v>5.4413386670448774E-2</v>
      </c>
      <c r="R21" s="321">
        <f t="shared" si="6"/>
        <v>0</v>
      </c>
    </row>
    <row r="22" spans="1:18">
      <c r="A22" s="304">
        <f>'Implementation and Revenue'!C31</f>
        <v>20</v>
      </c>
      <c r="B22" s="305">
        <f>'Implementation and Revenue'!D31</f>
        <v>46722</v>
      </c>
      <c r="C22" s="305">
        <f>VLOOKUP(B22,'Implementation and Revenue'!$D$12:$E$40,2,FALSE)</f>
        <v>0</v>
      </c>
      <c r="D22" s="306" t="str">
        <f>'Implementation and Revenue'!H31</f>
        <v>2027-2028</v>
      </c>
      <c r="E22" s="310">
        <f>E21+HLOOKUP(B22,Cashflow!$C$3:$AE$15,13,FALSE)</f>
        <v>19.28</v>
      </c>
      <c r="F22" s="307">
        <f t="shared" si="0"/>
        <v>1</v>
      </c>
      <c r="G22" s="308">
        <f>HLOOKUP(B22,Cashflow!$C$3:$AE$32,30,FALSE)</f>
        <v>0</v>
      </c>
      <c r="H22" s="307">
        <f>G22/Cashflow!$AF$28</f>
        <v>0</v>
      </c>
      <c r="I22" s="307">
        <f t="shared" si="1"/>
        <v>0</v>
      </c>
      <c r="J22" s="306">
        <f>HLOOKUP(B22,Cashflow!$C$3:$AE$27,25,FALSE)</f>
        <v>8.24</v>
      </c>
      <c r="K22" s="307">
        <f>J22/Cashflow!$AF$27</f>
        <v>1</v>
      </c>
      <c r="L22" s="309">
        <f t="shared" si="2"/>
        <v>0</v>
      </c>
      <c r="M22" s="310">
        <f>M21+HLOOKUP(B22,Cashflow!$C$3:$AE$22,20,FALSE)</f>
        <v>172.88874249999992</v>
      </c>
      <c r="N22" s="307">
        <f t="shared" si="3"/>
        <v>-4.7660708735850765E-2</v>
      </c>
      <c r="O22" s="307">
        <f t="shared" si="4"/>
        <v>0</v>
      </c>
      <c r="P22" s="300">
        <f>HLOOKUP(B22,Cashflow!$C$3:$AE$27,25,FALSE)</f>
        <v>8.24</v>
      </c>
      <c r="Q22" s="321">
        <f t="shared" si="5"/>
        <v>4.7660708735850765E-2</v>
      </c>
      <c r="R22" s="321">
        <f t="shared" si="6"/>
        <v>0</v>
      </c>
    </row>
    <row r="23" spans="1:18">
      <c r="A23" s="304">
        <f>'Implementation and Revenue'!C32</f>
        <v>21</v>
      </c>
      <c r="B23" s="305">
        <f>'Implementation and Revenue'!D32</f>
        <v>46813</v>
      </c>
      <c r="C23" s="305">
        <f>VLOOKUP(B23,'Implementation and Revenue'!$D$12:$E$40,2,FALSE)</f>
        <v>0</v>
      </c>
      <c r="D23" s="306" t="str">
        <f>'Implementation and Revenue'!H32</f>
        <v>2027-2028</v>
      </c>
      <c r="E23" s="310">
        <f>E22+HLOOKUP(B23,Cashflow!$C$3:$AE$15,13,FALSE)</f>
        <v>19.28</v>
      </c>
      <c r="F23" s="307">
        <f t="shared" si="0"/>
        <v>1</v>
      </c>
      <c r="G23" s="308">
        <f>HLOOKUP(B23,Cashflow!$C$3:$AE$32,30,FALSE)</f>
        <v>0</v>
      </c>
      <c r="H23" s="307">
        <f>G23/Cashflow!$AF$28</f>
        <v>0</v>
      </c>
      <c r="I23" s="307">
        <f t="shared" si="1"/>
        <v>0</v>
      </c>
      <c r="J23" s="306">
        <f>HLOOKUP(B23,Cashflow!$C$3:$AE$27,25,FALSE)</f>
        <v>8.24</v>
      </c>
      <c r="K23" s="307">
        <f>J23/Cashflow!$AF$27</f>
        <v>1</v>
      </c>
      <c r="L23" s="309">
        <f t="shared" si="2"/>
        <v>0</v>
      </c>
      <c r="M23" s="310">
        <f>M22+HLOOKUP(B23,Cashflow!$C$3:$AE$22,20,FALSE)</f>
        <v>194.3441612499999</v>
      </c>
      <c r="N23" s="307">
        <f t="shared" si="3"/>
        <v>-4.2399009813319025E-2</v>
      </c>
      <c r="O23" s="307">
        <f t="shared" si="4"/>
        <v>0</v>
      </c>
      <c r="P23" s="300">
        <f>HLOOKUP(B23,Cashflow!$C$3:$AE$27,25,FALSE)</f>
        <v>8.24</v>
      </c>
      <c r="Q23" s="321">
        <f t="shared" si="5"/>
        <v>4.2399009813319025E-2</v>
      </c>
      <c r="R23" s="321">
        <f t="shared" si="6"/>
        <v>0</v>
      </c>
    </row>
    <row r="24" spans="1:18">
      <c r="A24" s="304">
        <f>'Implementation and Revenue'!C33</f>
        <v>22</v>
      </c>
      <c r="B24" s="305">
        <f>'Implementation and Revenue'!D33</f>
        <v>46905</v>
      </c>
      <c r="C24" s="305">
        <f>VLOOKUP(B24,'Implementation and Revenue'!$D$12:$E$40,2,FALSE)</f>
        <v>0</v>
      </c>
      <c r="D24" s="306" t="str">
        <f>'Implementation and Revenue'!H33</f>
        <v>2028-2029</v>
      </c>
      <c r="E24" s="310">
        <f>E23+HLOOKUP(B24,Cashflow!$C$3:$AE$15,13,FALSE)</f>
        <v>19.28</v>
      </c>
      <c r="F24" s="307">
        <f t="shared" si="0"/>
        <v>1</v>
      </c>
      <c r="G24" s="308">
        <f>HLOOKUP(B24,Cashflow!$C$3:$AE$32,30,FALSE)</f>
        <v>0</v>
      </c>
      <c r="H24" s="307">
        <f>G24/Cashflow!$AF$28</f>
        <v>0</v>
      </c>
      <c r="I24" s="307">
        <f t="shared" si="1"/>
        <v>0</v>
      </c>
      <c r="J24" s="306">
        <f>HLOOKUP(B24,Cashflow!$C$3:$AE$27,25,FALSE)</f>
        <v>8.24</v>
      </c>
      <c r="K24" s="307">
        <f>J24/Cashflow!$AF$27</f>
        <v>1</v>
      </c>
      <c r="L24" s="309">
        <f t="shared" si="2"/>
        <v>0</v>
      </c>
      <c r="M24" s="310">
        <f>M23+HLOOKUP(B24,Cashflow!$C$3:$AE$22,20,FALSE)</f>
        <v>215.79957999999988</v>
      </c>
      <c r="N24" s="307">
        <f t="shared" si="3"/>
        <v>-3.8183577558399351E-2</v>
      </c>
      <c r="O24" s="307">
        <f t="shared" si="4"/>
        <v>0</v>
      </c>
      <c r="P24" s="300">
        <f>HLOOKUP(B24,Cashflow!$C$3:$AE$27,25,FALSE)</f>
        <v>8.24</v>
      </c>
      <c r="Q24" s="321">
        <f t="shared" si="5"/>
        <v>3.8183577558399351E-2</v>
      </c>
      <c r="R24" s="321">
        <f t="shared" si="6"/>
        <v>0</v>
      </c>
    </row>
    <row r="25" spans="1:18">
      <c r="A25" s="304">
        <f>'Implementation and Revenue'!C34</f>
        <v>23</v>
      </c>
      <c r="B25" s="305">
        <f>'Implementation and Revenue'!D34</f>
        <v>46997</v>
      </c>
      <c r="C25" s="305">
        <f>VLOOKUP(B25,'Implementation and Revenue'!$D$12:$E$40,2,FALSE)</f>
        <v>0</v>
      </c>
      <c r="D25" s="306" t="str">
        <f>'Implementation and Revenue'!H34</f>
        <v>2028-2029</v>
      </c>
      <c r="E25" s="310">
        <f>E24+HLOOKUP(B25,Cashflow!$C$3:$AE$15,13,FALSE)</f>
        <v>19.28</v>
      </c>
      <c r="F25" s="307">
        <f t="shared" si="0"/>
        <v>1</v>
      </c>
      <c r="G25" s="308">
        <f>HLOOKUP(B25,Cashflow!$C$3:$AE$32,30,FALSE)</f>
        <v>0</v>
      </c>
      <c r="H25" s="307">
        <f>G25/Cashflow!$AF$28</f>
        <v>0</v>
      </c>
      <c r="I25" s="307">
        <f t="shared" si="1"/>
        <v>0</v>
      </c>
      <c r="J25" s="306">
        <f>HLOOKUP(B25,Cashflow!$C$3:$AE$27,25,FALSE)</f>
        <v>8.24</v>
      </c>
      <c r="K25" s="307">
        <f>J25/Cashflow!$AF$27</f>
        <v>1</v>
      </c>
      <c r="L25" s="309">
        <f t="shared" si="2"/>
        <v>0</v>
      </c>
      <c r="M25" s="310">
        <f>M24+HLOOKUP(B25,Cashflow!$C$3:$AE$22,20,FALSE)</f>
        <v>237.25499874999986</v>
      </c>
      <c r="N25" s="307">
        <f t="shared" si="3"/>
        <v>-3.4730564343905125E-2</v>
      </c>
      <c r="O25" s="307">
        <f t="shared" si="4"/>
        <v>0</v>
      </c>
      <c r="P25" s="300">
        <f>HLOOKUP(B25,Cashflow!$C$3:$AE$27,25,FALSE)</f>
        <v>8.24</v>
      </c>
      <c r="Q25" s="321">
        <f t="shared" si="5"/>
        <v>3.4730564343905125E-2</v>
      </c>
      <c r="R25" s="321">
        <f t="shared" si="6"/>
        <v>0</v>
      </c>
    </row>
    <row r="26" spans="1:18">
      <c r="A26" s="304">
        <f>'Implementation and Revenue'!C35</f>
        <v>24</v>
      </c>
      <c r="B26" s="305">
        <f>'Implementation and Revenue'!D35</f>
        <v>47088</v>
      </c>
      <c r="C26" s="305">
        <f>VLOOKUP(B26,'Implementation and Revenue'!$D$12:$E$40,2,FALSE)</f>
        <v>0</v>
      </c>
      <c r="D26" s="306" t="str">
        <f>'Implementation and Revenue'!H35</f>
        <v>2028-2029</v>
      </c>
      <c r="E26" s="310">
        <f>E25+HLOOKUP(B26,Cashflow!$C$3:$AE$15,13,FALSE)</f>
        <v>19.28</v>
      </c>
      <c r="F26" s="307">
        <f t="shared" si="0"/>
        <v>1</v>
      </c>
      <c r="G26" s="308">
        <f>HLOOKUP(B26,Cashflow!$C$3:$AE$32,30,FALSE)</f>
        <v>0</v>
      </c>
      <c r="H26" s="307">
        <f>G26/Cashflow!$AF$28</f>
        <v>0</v>
      </c>
      <c r="I26" s="307">
        <f t="shared" si="1"/>
        <v>0</v>
      </c>
      <c r="J26" s="306">
        <f>HLOOKUP(B26,Cashflow!$C$3:$AE$27,25,FALSE)</f>
        <v>8.24</v>
      </c>
      <c r="K26" s="307">
        <f>J26/Cashflow!$AF$27</f>
        <v>1</v>
      </c>
      <c r="L26" s="309">
        <f t="shared" si="2"/>
        <v>0</v>
      </c>
      <c r="M26" s="310">
        <f>M25+HLOOKUP(B26,Cashflow!$C$3:$AE$22,20,FALSE)</f>
        <v>258.71041749999983</v>
      </c>
      <c r="N26" s="307">
        <f t="shared" si="3"/>
        <v>-3.1850282951980495E-2</v>
      </c>
      <c r="O26" s="307">
        <f t="shared" si="4"/>
        <v>0</v>
      </c>
      <c r="P26" s="300">
        <f>HLOOKUP(B26,Cashflow!$C$3:$AE$27,25,FALSE)</f>
        <v>8.24</v>
      </c>
      <c r="Q26" s="321">
        <f t="shared" si="5"/>
        <v>3.1850282951980495E-2</v>
      </c>
      <c r="R26" s="321">
        <f t="shared" si="6"/>
        <v>0</v>
      </c>
    </row>
    <row r="27" spans="1:18">
      <c r="A27" s="304">
        <f>'Implementation and Revenue'!C36</f>
        <v>25</v>
      </c>
      <c r="B27" s="305">
        <f>'Implementation and Revenue'!D36</f>
        <v>47178</v>
      </c>
      <c r="C27" s="305">
        <f>VLOOKUP(B27,'Implementation and Revenue'!$D$12:$E$40,2,FALSE)</f>
        <v>0</v>
      </c>
      <c r="D27" s="306" t="str">
        <f>'Implementation and Revenue'!H36</f>
        <v>2028-2029</v>
      </c>
      <c r="E27" s="310">
        <f>E26+HLOOKUP(B27,Cashflow!$C$3:$AE$15,13,FALSE)</f>
        <v>19.28</v>
      </c>
      <c r="F27" s="307">
        <f t="shared" si="0"/>
        <v>1</v>
      </c>
      <c r="G27" s="308">
        <f>HLOOKUP(B27,Cashflow!$C$3:$AE$32,30,FALSE)</f>
        <v>0</v>
      </c>
      <c r="H27" s="307">
        <f>G27/Cashflow!$AF$28</f>
        <v>0</v>
      </c>
      <c r="I27" s="307">
        <f t="shared" si="1"/>
        <v>0</v>
      </c>
      <c r="J27" s="306">
        <f>HLOOKUP(B27,Cashflow!$C$3:$AE$27,25,FALSE)</f>
        <v>8.24</v>
      </c>
      <c r="K27" s="307">
        <f>J27/Cashflow!$AF$27</f>
        <v>1</v>
      </c>
      <c r="L27" s="309">
        <f t="shared" si="2"/>
        <v>0</v>
      </c>
      <c r="M27" s="310">
        <f>M26+HLOOKUP(B27,Cashflow!$C$3:$AE$22,20,FALSE)</f>
        <v>280.16583624999981</v>
      </c>
      <c r="N27" s="307">
        <f t="shared" si="3"/>
        <v>-2.941115201729028E-2</v>
      </c>
      <c r="O27" s="307">
        <f t="shared" si="4"/>
        <v>0</v>
      </c>
      <c r="P27" s="301">
        <f>HLOOKUP(B27,Cashflow!$C$3:$AE$27,25,FALSE)</f>
        <v>8.24</v>
      </c>
      <c r="Q27" s="321">
        <f t="shared" si="5"/>
        <v>2.941115201729028E-2</v>
      </c>
      <c r="R27" s="321">
        <f t="shared" si="6"/>
        <v>0</v>
      </c>
    </row>
    <row r="28" spans="1:18">
      <c r="A28" s="304">
        <f>'Implementation and Revenue'!C37</f>
        <v>26</v>
      </c>
      <c r="B28" s="305">
        <f>'Implementation and Revenue'!D37</f>
        <v>47270</v>
      </c>
      <c r="C28" s="305">
        <f>VLOOKUP(B28,'Implementation and Revenue'!$D$12:$E$40,2,FALSE)</f>
        <v>0</v>
      </c>
      <c r="D28" s="306" t="str">
        <f>'Implementation and Revenue'!H37</f>
        <v>2029-2030</v>
      </c>
      <c r="E28" s="310">
        <f>E27+HLOOKUP(B28,Cashflow!$C$3:$AE$15,13,FALSE)</f>
        <v>19.28</v>
      </c>
      <c r="F28" s="307">
        <f t="shared" si="0"/>
        <v>1</v>
      </c>
      <c r="G28" s="308">
        <f>HLOOKUP(B28,Cashflow!$C$3:$AE$32,30,FALSE)</f>
        <v>0</v>
      </c>
      <c r="H28" s="307">
        <f>G28/Cashflow!$AF$28</f>
        <v>0</v>
      </c>
      <c r="I28" s="307">
        <f t="shared" si="1"/>
        <v>0</v>
      </c>
      <c r="J28" s="306">
        <f>HLOOKUP(B28,Cashflow!$C$3:$AE$27,25,FALSE)</f>
        <v>8.24</v>
      </c>
      <c r="K28" s="307">
        <f>J28/Cashflow!$AF$27</f>
        <v>1</v>
      </c>
      <c r="L28" s="309">
        <f t="shared" si="2"/>
        <v>0</v>
      </c>
      <c r="M28" s="310">
        <f>M27+HLOOKUP(B28,Cashflow!$C$3:$AE$22,20,FALSE)</f>
        <v>301.62125499999979</v>
      </c>
      <c r="N28" s="307">
        <f t="shared" si="3"/>
        <v>-2.7319029622100092E-2</v>
      </c>
      <c r="O28" s="307">
        <f t="shared" si="4"/>
        <v>0</v>
      </c>
      <c r="P28" s="301">
        <f>HLOOKUP(B28,Cashflow!$C$3:$AE$27,25,FALSE)</f>
        <v>8.24</v>
      </c>
      <c r="Q28" s="321">
        <f t="shared" si="5"/>
        <v>2.7319029622100092E-2</v>
      </c>
    </row>
    <row r="29" spans="1:18">
      <c r="A29" s="304">
        <f>'Implementation and Revenue'!C38</f>
        <v>27</v>
      </c>
      <c r="B29" s="305">
        <f>'Implementation and Revenue'!D38</f>
        <v>47362</v>
      </c>
      <c r="C29" s="305">
        <f>VLOOKUP(B29,'Implementation and Revenue'!$D$12:$E$40,2,FALSE)</f>
        <v>0</v>
      </c>
      <c r="D29" s="306" t="str">
        <f>'Implementation and Revenue'!H38</f>
        <v>2029-2030</v>
      </c>
      <c r="E29" s="310">
        <f>E28+HLOOKUP(B29,Cashflow!$C$3:$AE$15,13,FALSE)</f>
        <v>19.28</v>
      </c>
      <c r="F29" s="307">
        <f t="shared" si="0"/>
        <v>1</v>
      </c>
      <c r="G29" s="308">
        <f>HLOOKUP(B29,Cashflow!$C$3:$AE$32,30,FALSE)</f>
        <v>0</v>
      </c>
      <c r="H29" s="307">
        <f>G29/Cashflow!$AF$28</f>
        <v>0</v>
      </c>
      <c r="I29" s="307">
        <f t="shared" si="1"/>
        <v>0</v>
      </c>
      <c r="J29" s="306">
        <f>HLOOKUP(B29,Cashflow!$C$3:$AE$27,25,FALSE)</f>
        <v>8.24</v>
      </c>
      <c r="K29" s="307">
        <f>J29/Cashflow!$AF$27</f>
        <v>1</v>
      </c>
      <c r="L29" s="309">
        <f t="shared" si="2"/>
        <v>0</v>
      </c>
      <c r="M29" s="310">
        <f>M28+HLOOKUP(B29,Cashflow!$C$3:$AE$22,20,FALSE)</f>
        <v>323.07667374999977</v>
      </c>
      <c r="N29" s="307">
        <f t="shared" si="3"/>
        <v>-2.5504781587469858E-2</v>
      </c>
      <c r="O29" s="307">
        <f t="shared" si="4"/>
        <v>0</v>
      </c>
      <c r="P29" s="301">
        <f>HLOOKUP(B29,Cashflow!$C$3:$AE$27,25,FALSE)</f>
        <v>8.24</v>
      </c>
      <c r="Q29" s="321">
        <f t="shared" si="5"/>
        <v>2.5504781587469858E-2</v>
      </c>
    </row>
    <row r="30" spans="1:18">
      <c r="A30" s="304">
        <f>'Implementation and Revenue'!C39</f>
        <v>28</v>
      </c>
      <c r="B30" s="305">
        <f>'Implementation and Revenue'!D39</f>
        <v>47453</v>
      </c>
      <c r="C30" s="305">
        <f>VLOOKUP(B30,'Implementation and Revenue'!$D$12:$E$40,2,FALSE)</f>
        <v>0</v>
      </c>
      <c r="D30" s="306" t="str">
        <f>'Implementation and Revenue'!H39</f>
        <v>2029-2030</v>
      </c>
      <c r="E30" s="310">
        <f>E29+HLOOKUP(B30,Cashflow!$C$3:$AE$15,13,FALSE)</f>
        <v>19.28</v>
      </c>
      <c r="F30" s="307">
        <f t="shared" si="0"/>
        <v>1</v>
      </c>
      <c r="G30" s="308">
        <f>HLOOKUP(B30,Cashflow!$C$3:$AE$32,30,FALSE)</f>
        <v>0</v>
      </c>
      <c r="H30" s="307">
        <f>G30/Cashflow!$AF$28</f>
        <v>0</v>
      </c>
      <c r="I30" s="307">
        <f t="shared" si="1"/>
        <v>0</v>
      </c>
      <c r="J30" s="306">
        <f>HLOOKUP(B30,Cashflow!$C$3:$AE$27,25,FALSE)</f>
        <v>8.24</v>
      </c>
      <c r="K30" s="307">
        <f>J30/Cashflow!$AF$27</f>
        <v>1</v>
      </c>
      <c r="L30" s="309">
        <f t="shared" si="2"/>
        <v>0</v>
      </c>
      <c r="M30" s="310">
        <f>M29+HLOOKUP(B30,Cashflow!$C$3:$AE$22,20,FALSE)</f>
        <v>344.53209249999975</v>
      </c>
      <c r="N30" s="307">
        <f t="shared" si="3"/>
        <v>-2.3916494803746059E-2</v>
      </c>
      <c r="O30" s="307">
        <f t="shared" si="4"/>
        <v>0</v>
      </c>
      <c r="P30" s="301">
        <f>HLOOKUP(B30,Cashflow!$C$3:$AE$27,25,FALSE)</f>
        <v>8.24</v>
      </c>
      <c r="Q30" s="321">
        <f t="shared" si="5"/>
        <v>2.3916494803746059E-2</v>
      </c>
    </row>
    <row r="31" spans="1:18">
      <c r="A31" s="304">
        <f>'Implementation and Revenue'!C40</f>
        <v>29</v>
      </c>
      <c r="B31" s="305">
        <f>'Implementation and Revenue'!D40</f>
        <v>47543</v>
      </c>
      <c r="C31" s="305">
        <f>VLOOKUP(B31,'Implementation and Revenue'!$D$12:$E$40,2,FALSE)</f>
        <v>0</v>
      </c>
      <c r="D31" s="306" t="str">
        <f>'Implementation and Revenue'!H40</f>
        <v>2029-2030</v>
      </c>
      <c r="E31" s="310">
        <f>E30+HLOOKUP(B31,Cashflow!$C$3:$AE$15,13,FALSE)</f>
        <v>19.28</v>
      </c>
      <c r="F31" s="307">
        <f t="shared" si="0"/>
        <v>1</v>
      </c>
      <c r="G31" s="308">
        <f>HLOOKUP(B31,Cashflow!$C$3:$AE$32,30,FALSE)</f>
        <v>0</v>
      </c>
      <c r="H31" s="307">
        <f>G31/Cashflow!$AF$28</f>
        <v>0</v>
      </c>
      <c r="I31" s="307">
        <f t="shared" si="1"/>
        <v>0</v>
      </c>
      <c r="J31" s="306">
        <f>HLOOKUP(B31,Cashflow!$C$3:$AE$27,25,FALSE)</f>
        <v>8.24</v>
      </c>
      <c r="K31" s="307">
        <f>J31/Cashflow!$AF$27</f>
        <v>1</v>
      </c>
      <c r="L31" s="309">
        <f t="shared" si="2"/>
        <v>0</v>
      </c>
      <c r="M31" s="310">
        <f>M30+HLOOKUP(B31,Cashflow!$C$3:$AE$22,20,FALSE)</f>
        <v>365.98751124999973</v>
      </c>
      <c r="N31" s="307">
        <f t="shared" si="3"/>
        <v>-2.2514429445575804E-2</v>
      </c>
      <c r="O31" s="307">
        <f t="shared" si="4"/>
        <v>0</v>
      </c>
      <c r="P31" s="301">
        <f>HLOOKUP(B31,Cashflow!$C$3:$AE$27,25,FALSE)</f>
        <v>8.24</v>
      </c>
      <c r="Q31" s="321">
        <f t="shared" si="5"/>
        <v>2.2514429445575804E-2</v>
      </c>
    </row>
    <row r="32" spans="1:18">
      <c r="B32" s="303"/>
      <c r="C32" s="303"/>
      <c r="E32" s="301"/>
      <c r="F32" s="301"/>
      <c r="Q32" s="321"/>
    </row>
    <row r="33" spans="17:17">
      <c r="Q33" s="321"/>
    </row>
    <row r="34" spans="17:17">
      <c r="Q34" s="321"/>
    </row>
    <row r="35" spans="17:17">
      <c r="Q35" s="321"/>
    </row>
    <row r="36" spans="17:17">
      <c r="Q36" s="321"/>
    </row>
    <row r="37" spans="17:17">
      <c r="Q37" s="321"/>
    </row>
    <row r="38" spans="17:17">
      <c r="Q38" s="321"/>
    </row>
    <row r="39" spans="17:17">
      <c r="Q39" s="32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selection activeCell="C10" sqref="C10"/>
    </sheetView>
  </sheetViews>
  <sheetFormatPr defaultColWidth="8.85546875" defaultRowHeight="18" customHeight="1"/>
  <cols>
    <col min="1" max="1" width="8.85546875" style="250"/>
    <col min="2" max="2" width="14.7109375" style="250" bestFit="1" customWidth="1"/>
    <col min="3" max="3" width="8.85546875" style="251"/>
    <col min="4" max="4" width="15.42578125" style="252" bestFit="1" customWidth="1"/>
    <col min="5" max="5" width="12.42578125" style="252" customWidth="1"/>
    <col min="6" max="7" width="8.85546875" style="252"/>
    <col min="8" max="16384" width="8.85546875" style="246"/>
  </cols>
  <sheetData>
    <row r="1" spans="1:10" ht="18" customHeight="1">
      <c r="A1" s="535"/>
      <c r="B1" s="535"/>
      <c r="C1" s="535"/>
      <c r="D1" s="535"/>
      <c r="E1" s="535"/>
      <c r="F1" s="323">
        <v>0.1215</v>
      </c>
      <c r="G1" s="255"/>
    </row>
    <row r="2" spans="1:10" ht="18" customHeight="1">
      <c r="A2" s="253" t="s">
        <v>56</v>
      </c>
      <c r="B2" s="123" t="s">
        <v>130</v>
      </c>
      <c r="C2" s="253" t="s">
        <v>36</v>
      </c>
      <c r="D2" s="254" t="s">
        <v>144</v>
      </c>
      <c r="E2" s="254" t="s">
        <v>37</v>
      </c>
      <c r="F2" s="247" t="s">
        <v>38</v>
      </c>
      <c r="G2" s="254" t="s">
        <v>39</v>
      </c>
    </row>
    <row r="3" spans="1:10" ht="18" customHeight="1">
      <c r="A3" s="256">
        <v>1</v>
      </c>
      <c r="B3" s="257" t="str">
        <f>'Implementation and Revenue'!H12</f>
        <v>2022-2023</v>
      </c>
      <c r="C3" s="258">
        <f>'Implementation and Revenue'!D12</f>
        <v>44986</v>
      </c>
      <c r="D3" s="259">
        <f>HLOOKUP($C3,Cashflow!$C$3:$AE$29,26,FALSE)</f>
        <v>0</v>
      </c>
      <c r="E3" s="259">
        <f>HLOOKUP($C3,Cashflow!$C$3:$AE$29,27,FALSE)</f>
        <v>0</v>
      </c>
      <c r="F3" s="259">
        <f>+G3*$F$1*1/4</f>
        <v>0</v>
      </c>
      <c r="G3" s="259">
        <f>+D3</f>
        <v>0</v>
      </c>
      <c r="I3" s="248"/>
    </row>
    <row r="4" spans="1:10" ht="18" customHeight="1">
      <c r="A4" s="256">
        <v>2</v>
      </c>
      <c r="B4" s="257" t="str">
        <f>'Implementation and Revenue'!H13</f>
        <v>2023-2024</v>
      </c>
      <c r="C4" s="258">
        <f>'Implementation and Revenue'!D13</f>
        <v>45078</v>
      </c>
      <c r="D4" s="259">
        <f>HLOOKUP($C4,Cashflow!$C$3:$AE$29,26,FALSE)</f>
        <v>3</v>
      </c>
      <c r="E4" s="259">
        <f>HLOOKUP($C4,Cashflow!$C$3:$AE$29,27,FALSE)</f>
        <v>0</v>
      </c>
      <c r="F4" s="259">
        <f>+G4*$F$1*1/4</f>
        <v>9.1124999999999998E-2</v>
      </c>
      <c r="G4" s="259">
        <f>+G3+D4+E4</f>
        <v>3</v>
      </c>
      <c r="H4" s="249"/>
      <c r="I4" s="248"/>
    </row>
    <row r="5" spans="1:10" ht="18" customHeight="1">
      <c r="A5" s="256">
        <v>3</v>
      </c>
      <c r="B5" s="257" t="str">
        <f>'Implementation and Revenue'!H14</f>
        <v>2023-2024</v>
      </c>
      <c r="C5" s="258">
        <f>'Implementation and Revenue'!D14</f>
        <v>45170</v>
      </c>
      <c r="D5" s="259">
        <f>HLOOKUP($C5,Cashflow!$C$3:$AE$29,26,FALSE)</f>
        <v>2.5</v>
      </c>
      <c r="E5" s="259">
        <f>HLOOKUP($C5,Cashflow!$C$3:$AE$29,27,FALSE)</f>
        <v>0</v>
      </c>
      <c r="F5" s="259">
        <f t="shared" ref="F5:F21" si="0">+G5*$F$1*1/4</f>
        <v>0.1670625</v>
      </c>
      <c r="G5" s="259">
        <f t="shared" ref="G5:G31" si="1">+G4+D5+E5</f>
        <v>5.5</v>
      </c>
      <c r="H5" s="249"/>
      <c r="I5" s="248"/>
    </row>
    <row r="6" spans="1:10" ht="18" customHeight="1">
      <c r="A6" s="256">
        <v>4</v>
      </c>
      <c r="B6" s="257" t="str">
        <f>'Implementation and Revenue'!H15</f>
        <v>2023-2024</v>
      </c>
      <c r="C6" s="258">
        <f>'Implementation and Revenue'!D15</f>
        <v>45261</v>
      </c>
      <c r="D6" s="259">
        <f>HLOOKUP($C6,Cashflow!$C$3:$AE$29,26,FALSE)</f>
        <v>2.5</v>
      </c>
      <c r="E6" s="259">
        <f>HLOOKUP($C6,Cashflow!$C$3:$AE$29,27,FALSE)</f>
        <v>0</v>
      </c>
      <c r="F6" s="259">
        <f t="shared" si="0"/>
        <v>0.24299999999999999</v>
      </c>
      <c r="G6" s="259">
        <f t="shared" si="1"/>
        <v>8</v>
      </c>
      <c r="H6" s="249"/>
      <c r="I6" s="248"/>
    </row>
    <row r="7" spans="1:10" ht="18" customHeight="1">
      <c r="A7" s="256">
        <v>5</v>
      </c>
      <c r="B7" s="257" t="str">
        <f>'Implementation and Revenue'!H16</f>
        <v>2023-2024</v>
      </c>
      <c r="C7" s="258">
        <f>'Implementation and Revenue'!D16</f>
        <v>45352</v>
      </c>
      <c r="D7" s="259">
        <f>HLOOKUP($C7,Cashflow!$C$3:$AE$29,26,FALSE)</f>
        <v>2.5</v>
      </c>
      <c r="E7" s="259">
        <f>HLOOKUP($C7,Cashflow!$C$3:$AE$29,27,FALSE)</f>
        <v>0</v>
      </c>
      <c r="F7" s="259">
        <f t="shared" si="0"/>
        <v>0.31893749999999998</v>
      </c>
      <c r="G7" s="259">
        <f t="shared" si="1"/>
        <v>10.5</v>
      </c>
      <c r="H7" s="249"/>
      <c r="I7" s="248"/>
    </row>
    <row r="8" spans="1:10" ht="18" customHeight="1">
      <c r="A8" s="256">
        <v>6</v>
      </c>
      <c r="B8" s="257" t="str">
        <f>'Implementation and Revenue'!H17</f>
        <v>2024-2025</v>
      </c>
      <c r="C8" s="258">
        <f>'Implementation and Revenue'!D17</f>
        <v>45444</v>
      </c>
      <c r="D8" s="259">
        <f>HLOOKUP($C8,Cashflow!$C$3:$AE$29,26,FALSE)</f>
        <v>1.1000000000000001</v>
      </c>
      <c r="E8" s="259">
        <f>HLOOKUP($C8,Cashflow!$C$3:$AE$29,27,FALSE)</f>
        <v>0</v>
      </c>
      <c r="F8" s="259">
        <f t="shared" si="0"/>
        <v>0.35235</v>
      </c>
      <c r="G8" s="259">
        <f t="shared" si="1"/>
        <v>11.6</v>
      </c>
      <c r="H8" s="249"/>
      <c r="I8" s="248"/>
      <c r="J8" s="248"/>
    </row>
    <row r="9" spans="1:10" ht="18" customHeight="1">
      <c r="A9" s="256">
        <v>7</v>
      </c>
      <c r="B9" s="257" t="str">
        <f>'Implementation and Revenue'!H18</f>
        <v>2024-2025</v>
      </c>
      <c r="C9" s="258">
        <f>'Implementation and Revenue'!D18</f>
        <v>45536</v>
      </c>
      <c r="D9" s="259">
        <f>HLOOKUP($C9,Cashflow!$C$3:$AE$29,26,FALSE)</f>
        <v>1</v>
      </c>
      <c r="E9" s="259">
        <f>HLOOKUP($C9,Cashflow!$C$3:$AE$29,27,FALSE)</f>
        <v>0</v>
      </c>
      <c r="F9" s="259">
        <f t="shared" si="0"/>
        <v>0.38272499999999998</v>
      </c>
      <c r="G9" s="259">
        <f t="shared" si="1"/>
        <v>12.6</v>
      </c>
      <c r="H9" s="249"/>
      <c r="I9" s="248"/>
      <c r="J9" s="248"/>
    </row>
    <row r="10" spans="1:10" ht="18" customHeight="1">
      <c r="A10" s="256">
        <v>8</v>
      </c>
      <c r="B10" s="257" t="str">
        <f>'Implementation and Revenue'!H19</f>
        <v>2024-2025</v>
      </c>
      <c r="C10" s="258">
        <f>'Implementation and Revenue'!D19</f>
        <v>45627</v>
      </c>
      <c r="D10" s="259">
        <f>HLOOKUP($C10,Cashflow!$C$3:$AE$29,26,FALSE)</f>
        <v>1</v>
      </c>
      <c r="E10" s="259">
        <f>HLOOKUP($C10,Cashflow!$C$3:$AE$29,27,FALSE)</f>
        <v>0</v>
      </c>
      <c r="F10" s="259">
        <f t="shared" si="0"/>
        <v>0.41309999999999997</v>
      </c>
      <c r="G10" s="259">
        <f t="shared" si="1"/>
        <v>13.6</v>
      </c>
      <c r="H10" s="249"/>
      <c r="I10" s="248"/>
      <c r="J10" s="248"/>
    </row>
    <row r="11" spans="1:10" ht="18" customHeight="1">
      <c r="A11" s="256">
        <v>9</v>
      </c>
      <c r="B11" s="257" t="str">
        <f>'Implementation and Revenue'!H20</f>
        <v>2024-2025</v>
      </c>
      <c r="C11" s="258">
        <f>'Implementation and Revenue'!D20</f>
        <v>45717</v>
      </c>
      <c r="D11" s="259">
        <f>HLOOKUP($C11,Cashflow!$C$3:$AE$29,26,FALSE)</f>
        <v>0.65</v>
      </c>
      <c r="E11" s="259">
        <f>HLOOKUP($C11,Cashflow!$C$3:$AE$29,27,FALSE)</f>
        <v>0</v>
      </c>
      <c r="F11" s="259">
        <f t="shared" si="0"/>
        <v>0.43284374999999997</v>
      </c>
      <c r="G11" s="259">
        <f t="shared" si="1"/>
        <v>14.25</v>
      </c>
      <c r="H11" s="249"/>
      <c r="I11" s="248"/>
      <c r="J11" s="248"/>
    </row>
    <row r="12" spans="1:10" ht="18" customHeight="1">
      <c r="A12" s="256">
        <v>10</v>
      </c>
      <c r="B12" s="257" t="str">
        <f>'Implementation and Revenue'!H21</f>
        <v>2025-2026</v>
      </c>
      <c r="C12" s="258">
        <f>'Implementation and Revenue'!D21</f>
        <v>45809</v>
      </c>
      <c r="D12" s="259">
        <f>HLOOKUP($C12,Cashflow!$C$3:$AE$29,26,FALSE)</f>
        <v>0.25</v>
      </c>
      <c r="E12" s="259">
        <f>HLOOKUP($C12,Cashflow!$C$3:$AE$29,27,FALSE)</f>
        <v>0</v>
      </c>
      <c r="F12" s="259">
        <f t="shared" si="0"/>
        <v>0.44043749999999998</v>
      </c>
      <c r="G12" s="259">
        <f t="shared" si="1"/>
        <v>14.5</v>
      </c>
      <c r="H12" s="249"/>
      <c r="I12" s="248"/>
      <c r="J12" s="248"/>
    </row>
    <row r="13" spans="1:10" ht="18" customHeight="1">
      <c r="A13" s="256">
        <v>11</v>
      </c>
      <c r="B13" s="257" t="str">
        <f>'Implementation and Revenue'!H22</f>
        <v>2025-2026</v>
      </c>
      <c r="C13" s="258">
        <f>'Implementation and Revenue'!D22</f>
        <v>45901</v>
      </c>
      <c r="D13" s="259">
        <f>HLOOKUP($C13,Cashflow!$C$3:$AE$29,26,FALSE)</f>
        <v>0</v>
      </c>
      <c r="E13" s="259">
        <f>HLOOKUP($C13,Cashflow!$C$3:$AE$29,27,FALSE)</f>
        <v>-2.5</v>
      </c>
      <c r="F13" s="259">
        <f t="shared" si="0"/>
        <v>0.36449999999999999</v>
      </c>
      <c r="G13" s="259">
        <f t="shared" si="1"/>
        <v>12</v>
      </c>
      <c r="H13" s="249"/>
      <c r="I13" s="248"/>
      <c r="J13" s="248"/>
    </row>
    <row r="14" spans="1:10" ht="18" customHeight="1">
      <c r="A14" s="256">
        <v>12</v>
      </c>
      <c r="B14" s="257" t="str">
        <f>'Implementation and Revenue'!H23</f>
        <v>2025-2026</v>
      </c>
      <c r="C14" s="258">
        <f>'Implementation and Revenue'!D23</f>
        <v>45992</v>
      </c>
      <c r="D14" s="259">
        <f>HLOOKUP($C14,Cashflow!$C$3:$AE$29,26,FALSE)</f>
        <v>0</v>
      </c>
      <c r="E14" s="259">
        <f>HLOOKUP($C14,Cashflow!$C$3:$AE$29,27,FALSE)</f>
        <v>-4</v>
      </c>
      <c r="F14" s="259">
        <f t="shared" si="0"/>
        <v>0.24299999999999999</v>
      </c>
      <c r="G14" s="259">
        <f t="shared" si="1"/>
        <v>8</v>
      </c>
      <c r="H14" s="249"/>
      <c r="I14" s="248"/>
      <c r="J14" s="248"/>
    </row>
    <row r="15" spans="1:10" ht="18" customHeight="1">
      <c r="A15" s="256">
        <v>13</v>
      </c>
      <c r="B15" s="257" t="str">
        <f>'Implementation and Revenue'!H24</f>
        <v>2025-2026</v>
      </c>
      <c r="C15" s="258">
        <f>'Implementation and Revenue'!D24</f>
        <v>46082</v>
      </c>
      <c r="D15" s="259">
        <f>HLOOKUP($C15,Cashflow!$C$3:$AE$29,26,FALSE)</f>
        <v>0</v>
      </c>
      <c r="E15" s="259">
        <f>HLOOKUP($C15,Cashflow!$C$3:$AE$29,27,FALSE)</f>
        <v>-4</v>
      </c>
      <c r="F15" s="259">
        <f t="shared" si="0"/>
        <v>0.1215</v>
      </c>
      <c r="G15" s="259">
        <f t="shared" si="1"/>
        <v>4</v>
      </c>
      <c r="H15" s="249"/>
      <c r="I15" s="248"/>
      <c r="J15" s="248"/>
    </row>
    <row r="16" spans="1:10" ht="18" customHeight="1">
      <c r="A16" s="256">
        <v>14</v>
      </c>
      <c r="B16" s="257" t="str">
        <f>'Implementation and Revenue'!H25</f>
        <v>2026-2027</v>
      </c>
      <c r="C16" s="258">
        <f>'Implementation and Revenue'!D25</f>
        <v>46174</v>
      </c>
      <c r="D16" s="259">
        <f>HLOOKUP($C16,Cashflow!$C$3:$AE$29,26,FALSE)</f>
        <v>0</v>
      </c>
      <c r="E16" s="259">
        <f>HLOOKUP($C16,Cashflow!$C$3:$AE$29,27,FALSE)</f>
        <v>-4</v>
      </c>
      <c r="F16" s="259">
        <f t="shared" si="0"/>
        <v>0</v>
      </c>
      <c r="G16" s="259">
        <f t="shared" si="1"/>
        <v>0</v>
      </c>
      <c r="H16" s="249"/>
      <c r="I16" s="248"/>
      <c r="J16" s="248"/>
    </row>
    <row r="17" spans="1:10" ht="18" customHeight="1">
      <c r="A17" s="256">
        <v>15</v>
      </c>
      <c r="B17" s="257" t="str">
        <f>'Implementation and Revenue'!H26</f>
        <v>2026-2027</v>
      </c>
      <c r="C17" s="258">
        <f>'Implementation and Revenue'!D26</f>
        <v>46266</v>
      </c>
      <c r="D17" s="259">
        <f>HLOOKUP($C17,Cashflow!$C$3:$AE$29,26,FALSE)</f>
        <v>0</v>
      </c>
      <c r="E17" s="259">
        <f>HLOOKUP($C17,Cashflow!$C$3:$AE$29,27,FALSE)</f>
        <v>0</v>
      </c>
      <c r="F17" s="259">
        <f t="shared" si="0"/>
        <v>0</v>
      </c>
      <c r="G17" s="259">
        <f t="shared" si="1"/>
        <v>0</v>
      </c>
      <c r="H17" s="249"/>
      <c r="I17" s="248"/>
      <c r="J17" s="248"/>
    </row>
    <row r="18" spans="1:10" ht="18" customHeight="1">
      <c r="A18" s="256">
        <v>16</v>
      </c>
      <c r="B18" s="257" t="str">
        <f>'Implementation and Revenue'!H27</f>
        <v>2026-2027</v>
      </c>
      <c r="C18" s="258">
        <f>'Implementation and Revenue'!D27</f>
        <v>46357</v>
      </c>
      <c r="D18" s="259">
        <f>HLOOKUP($C18,Cashflow!$C$3:$AE$29,26,FALSE)</f>
        <v>0</v>
      </c>
      <c r="E18" s="259">
        <f>HLOOKUP($C18,Cashflow!$C$3:$AE$29,27,FALSE)</f>
        <v>0</v>
      </c>
      <c r="F18" s="259">
        <f t="shared" si="0"/>
        <v>0</v>
      </c>
      <c r="G18" s="259">
        <f t="shared" si="1"/>
        <v>0</v>
      </c>
      <c r="H18" s="249"/>
      <c r="I18" s="248"/>
      <c r="J18" s="248"/>
    </row>
    <row r="19" spans="1:10" ht="18" customHeight="1">
      <c r="A19" s="256">
        <v>17</v>
      </c>
      <c r="B19" s="257" t="str">
        <f>'Implementation and Revenue'!H28</f>
        <v>2026-2027</v>
      </c>
      <c r="C19" s="258">
        <f>'Implementation and Revenue'!D28</f>
        <v>46447</v>
      </c>
      <c r="D19" s="259">
        <f>HLOOKUP($C19,Cashflow!$C$3:$AE$29,26,FALSE)</f>
        <v>0</v>
      </c>
      <c r="E19" s="259">
        <f>HLOOKUP($C19,Cashflow!$C$3:$AE$29,27,FALSE)</f>
        <v>0</v>
      </c>
      <c r="F19" s="259">
        <f t="shared" si="0"/>
        <v>0</v>
      </c>
      <c r="G19" s="259">
        <f t="shared" si="1"/>
        <v>0</v>
      </c>
      <c r="H19" s="249"/>
      <c r="I19" s="248"/>
      <c r="J19" s="248"/>
    </row>
    <row r="20" spans="1:10" ht="18" customHeight="1">
      <c r="A20" s="256">
        <v>18</v>
      </c>
      <c r="B20" s="257" t="str">
        <f>'Implementation and Revenue'!H29</f>
        <v>2027-2028</v>
      </c>
      <c r="C20" s="258">
        <f>'Implementation and Revenue'!D29</f>
        <v>46539</v>
      </c>
      <c r="D20" s="259">
        <f>HLOOKUP($C20,Cashflow!$C$3:$AE$29,26,FALSE)</f>
        <v>0</v>
      </c>
      <c r="E20" s="259">
        <f>HLOOKUP($C20,Cashflow!$C$3:$AE$29,27,FALSE)</f>
        <v>0</v>
      </c>
      <c r="F20" s="259">
        <f t="shared" si="0"/>
        <v>0</v>
      </c>
      <c r="G20" s="259">
        <f t="shared" si="1"/>
        <v>0</v>
      </c>
      <c r="H20" s="249"/>
      <c r="I20" s="248"/>
      <c r="J20" s="248"/>
    </row>
    <row r="21" spans="1:10" ht="18" customHeight="1">
      <c r="A21" s="256">
        <v>19</v>
      </c>
      <c r="B21" s="257" t="str">
        <f>'Implementation and Revenue'!H30</f>
        <v>2027-2028</v>
      </c>
      <c r="C21" s="258">
        <f>'Implementation and Revenue'!D30</f>
        <v>46631</v>
      </c>
      <c r="D21" s="259">
        <f>HLOOKUP($C21,Cashflow!$C$3:$AE$29,26,FALSE)</f>
        <v>0</v>
      </c>
      <c r="E21" s="259">
        <f>HLOOKUP($C21,Cashflow!$C$3:$AE$29,27,FALSE)</f>
        <v>0</v>
      </c>
      <c r="F21" s="259">
        <f t="shared" si="0"/>
        <v>0</v>
      </c>
      <c r="G21" s="259">
        <f t="shared" si="1"/>
        <v>0</v>
      </c>
      <c r="H21" s="249"/>
      <c r="I21" s="248"/>
      <c r="J21" s="248"/>
    </row>
    <row r="22" spans="1:10" ht="18" customHeight="1">
      <c r="A22" s="256">
        <v>20</v>
      </c>
      <c r="B22" s="257" t="str">
        <f>'Implementation and Revenue'!H31</f>
        <v>2027-2028</v>
      </c>
      <c r="C22" s="258">
        <f>'Implementation and Revenue'!D31</f>
        <v>46722</v>
      </c>
      <c r="D22" s="259">
        <f>HLOOKUP($C22,Cashflow!$C$3:$AE$29,26,FALSE)</f>
        <v>0</v>
      </c>
      <c r="E22" s="259">
        <f>HLOOKUP($C22,Cashflow!$C$3:$AE$29,27,FALSE)</f>
        <v>0</v>
      </c>
      <c r="F22" s="259">
        <f>+G22*$F$1*1/4</f>
        <v>0</v>
      </c>
      <c r="G22" s="259">
        <f t="shared" si="1"/>
        <v>0</v>
      </c>
      <c r="H22" s="249"/>
      <c r="I22" s="248"/>
      <c r="J22" s="248"/>
    </row>
    <row r="23" spans="1:10" ht="18" customHeight="1">
      <c r="A23" s="256">
        <v>21</v>
      </c>
      <c r="B23" s="257" t="str">
        <f>'Implementation and Revenue'!H32</f>
        <v>2027-2028</v>
      </c>
      <c r="C23" s="258">
        <f>'Implementation and Revenue'!D32</f>
        <v>46813</v>
      </c>
      <c r="D23" s="259">
        <f>HLOOKUP($C23,Cashflow!$C$3:$AE$29,26,FALSE)</f>
        <v>0</v>
      </c>
      <c r="E23" s="259">
        <f>HLOOKUP($C23,Cashflow!$C$3:$AE$29,27,FALSE)</f>
        <v>0</v>
      </c>
      <c r="F23" s="259">
        <f>+G23*$F$1*1/4</f>
        <v>0</v>
      </c>
      <c r="G23" s="259">
        <f t="shared" si="1"/>
        <v>0</v>
      </c>
      <c r="H23" s="249"/>
      <c r="I23" s="248"/>
      <c r="J23" s="248"/>
    </row>
    <row r="24" spans="1:10" ht="18" customHeight="1">
      <c r="A24" s="256">
        <v>22</v>
      </c>
      <c r="B24" s="257" t="str">
        <f>'Implementation and Revenue'!H33</f>
        <v>2028-2029</v>
      </c>
      <c r="C24" s="258">
        <f>'Implementation and Revenue'!D33</f>
        <v>46905</v>
      </c>
      <c r="D24" s="259">
        <f>HLOOKUP($C24,Cashflow!$C$3:$AE$29,26,FALSE)</f>
        <v>0</v>
      </c>
      <c r="E24" s="259">
        <f>HLOOKUP($C24,Cashflow!$C$3:$AE$29,27,FALSE)</f>
        <v>0</v>
      </c>
      <c r="F24" s="259">
        <f t="shared" ref="F24:F31" si="2">+G24*$F$1*1/4</f>
        <v>0</v>
      </c>
      <c r="G24" s="259">
        <f t="shared" si="1"/>
        <v>0</v>
      </c>
      <c r="H24" s="249"/>
      <c r="I24" s="248"/>
      <c r="J24" s="248"/>
    </row>
    <row r="25" spans="1:10" ht="18" customHeight="1">
      <c r="A25" s="256">
        <v>23</v>
      </c>
      <c r="B25" s="257" t="str">
        <f>'Implementation and Revenue'!H34</f>
        <v>2028-2029</v>
      </c>
      <c r="C25" s="258">
        <f>'Implementation and Revenue'!D34</f>
        <v>46997</v>
      </c>
      <c r="D25" s="259">
        <f>HLOOKUP($C25,Cashflow!$C$3:$AE$29,26,FALSE)</f>
        <v>0</v>
      </c>
      <c r="E25" s="259">
        <f>HLOOKUP($C25,Cashflow!$C$3:$AE$29,27,FALSE)</f>
        <v>0</v>
      </c>
      <c r="F25" s="259">
        <f t="shared" si="2"/>
        <v>0</v>
      </c>
      <c r="G25" s="259">
        <f t="shared" si="1"/>
        <v>0</v>
      </c>
      <c r="H25" s="249"/>
      <c r="I25" s="248"/>
      <c r="J25" s="248"/>
    </row>
    <row r="26" spans="1:10" ht="18" customHeight="1">
      <c r="A26" s="256">
        <v>24</v>
      </c>
      <c r="B26" s="257" t="str">
        <f>'Implementation and Revenue'!H35</f>
        <v>2028-2029</v>
      </c>
      <c r="C26" s="258">
        <f>'Implementation and Revenue'!D35</f>
        <v>47088</v>
      </c>
      <c r="D26" s="259">
        <f>HLOOKUP($C26,Cashflow!$C$3:$AE$29,26,FALSE)</f>
        <v>0</v>
      </c>
      <c r="E26" s="259">
        <f>HLOOKUP($C26,Cashflow!$C$3:$AE$29,27,FALSE)</f>
        <v>0</v>
      </c>
      <c r="F26" s="259">
        <f t="shared" si="2"/>
        <v>0</v>
      </c>
      <c r="G26" s="259">
        <f t="shared" si="1"/>
        <v>0</v>
      </c>
      <c r="H26" s="249"/>
      <c r="I26" s="248"/>
      <c r="J26" s="248"/>
    </row>
    <row r="27" spans="1:10" ht="18" customHeight="1">
      <c r="A27" s="256">
        <v>25</v>
      </c>
      <c r="B27" s="257" t="str">
        <f>'Implementation and Revenue'!H36</f>
        <v>2028-2029</v>
      </c>
      <c r="C27" s="258">
        <f>'Implementation and Revenue'!D36</f>
        <v>47178</v>
      </c>
      <c r="D27" s="259">
        <f>HLOOKUP($C27,Cashflow!$C$3:$AE$29,26,FALSE)</f>
        <v>0</v>
      </c>
      <c r="E27" s="259">
        <f>HLOOKUP($C27,Cashflow!$C$3:$AE$29,27,FALSE)</f>
        <v>0</v>
      </c>
      <c r="F27" s="259">
        <f t="shared" si="2"/>
        <v>0</v>
      </c>
      <c r="G27" s="259">
        <f t="shared" si="1"/>
        <v>0</v>
      </c>
      <c r="H27" s="249"/>
      <c r="I27" s="248"/>
      <c r="J27" s="248"/>
    </row>
    <row r="28" spans="1:10" ht="18" customHeight="1">
      <c r="A28" s="256">
        <v>26</v>
      </c>
      <c r="B28" s="257" t="str">
        <f>'Implementation and Revenue'!H37</f>
        <v>2029-2030</v>
      </c>
      <c r="C28" s="258">
        <f>'Implementation and Revenue'!D37</f>
        <v>47270</v>
      </c>
      <c r="D28" s="259">
        <f>HLOOKUP($C28,Cashflow!$C$3:$AE$29,26,FALSE)</f>
        <v>0</v>
      </c>
      <c r="E28" s="259">
        <f>HLOOKUP($C28,Cashflow!$C$3:$AE$29,27,FALSE)</f>
        <v>0</v>
      </c>
      <c r="F28" s="259">
        <f t="shared" si="2"/>
        <v>0</v>
      </c>
      <c r="G28" s="259">
        <f t="shared" si="1"/>
        <v>0</v>
      </c>
      <c r="H28" s="249"/>
      <c r="I28" s="248"/>
      <c r="J28" s="248"/>
    </row>
    <row r="29" spans="1:10" ht="18" customHeight="1">
      <c r="A29" s="256">
        <v>27</v>
      </c>
      <c r="B29" s="257" t="str">
        <f>'Implementation and Revenue'!H38</f>
        <v>2029-2030</v>
      </c>
      <c r="C29" s="258">
        <f>'Implementation and Revenue'!D38</f>
        <v>47362</v>
      </c>
      <c r="D29" s="259">
        <f>HLOOKUP($C29,Cashflow!$C$3:$AE$29,26,FALSE)</f>
        <v>0</v>
      </c>
      <c r="E29" s="259">
        <f>HLOOKUP($C29,Cashflow!$C$3:$AE$29,27,FALSE)</f>
        <v>0</v>
      </c>
      <c r="F29" s="259">
        <f t="shared" si="2"/>
        <v>0</v>
      </c>
      <c r="G29" s="259">
        <f>+G28+D29+E29</f>
        <v>0</v>
      </c>
      <c r="H29" s="249"/>
      <c r="I29" s="248"/>
      <c r="J29" s="248"/>
    </row>
    <row r="30" spans="1:10" ht="18" customHeight="1">
      <c r="A30" s="256">
        <v>28</v>
      </c>
      <c r="B30" s="257" t="str">
        <f>'Implementation and Revenue'!H39</f>
        <v>2029-2030</v>
      </c>
      <c r="C30" s="258">
        <f>'Implementation and Revenue'!D39</f>
        <v>47453</v>
      </c>
      <c r="D30" s="259">
        <f>HLOOKUP($C30,Cashflow!$C$3:$AE$29,26,FALSE)</f>
        <v>0</v>
      </c>
      <c r="E30" s="259">
        <f>HLOOKUP($C30,Cashflow!$C$3:$AE$29,27,FALSE)</f>
        <v>0</v>
      </c>
      <c r="F30" s="259">
        <f t="shared" si="2"/>
        <v>0</v>
      </c>
      <c r="G30" s="259">
        <f t="shared" si="1"/>
        <v>0</v>
      </c>
      <c r="H30" s="249"/>
      <c r="I30" s="248"/>
      <c r="J30" s="248"/>
    </row>
    <row r="31" spans="1:10" ht="18" customHeight="1">
      <c r="A31" s="256">
        <v>29</v>
      </c>
      <c r="B31" s="257" t="str">
        <f>'Implementation and Revenue'!H40</f>
        <v>2029-2030</v>
      </c>
      <c r="C31" s="258">
        <f>'Implementation and Revenue'!D40</f>
        <v>47543</v>
      </c>
      <c r="D31" s="259">
        <f>HLOOKUP($C31,Cashflow!$C$3:$AE$29,26,FALSE)</f>
        <v>0</v>
      </c>
      <c r="E31" s="259">
        <f>HLOOKUP($C31,Cashflow!$C$3:$AE$29,27,FALSE)</f>
        <v>0</v>
      </c>
      <c r="F31" s="259">
        <f t="shared" si="2"/>
        <v>0</v>
      </c>
      <c r="G31" s="259">
        <f t="shared" si="1"/>
        <v>0</v>
      </c>
      <c r="H31" s="249"/>
      <c r="I31" s="248"/>
      <c r="J31" s="248"/>
    </row>
    <row r="32" spans="1:10" ht="18" customHeight="1">
      <c r="A32" s="260" t="s">
        <v>2</v>
      </c>
      <c r="B32" s="260"/>
      <c r="C32" s="261"/>
      <c r="D32" s="262">
        <f>+SUM(D3:D31)</f>
        <v>14.5</v>
      </c>
      <c r="E32" s="262">
        <f>+SUM(E3:E31)</f>
        <v>-14.5</v>
      </c>
      <c r="F32" s="262">
        <f>+SUM(F3:F31)</f>
        <v>3.57058125</v>
      </c>
      <c r="G32" s="263"/>
      <c r="I32" s="248"/>
      <c r="J32" s="248"/>
    </row>
    <row r="33" spans="9:10" ht="18" customHeight="1">
      <c r="I33" s="248"/>
      <c r="J33" s="248"/>
    </row>
    <row r="34" spans="9:10" ht="18" customHeight="1">
      <c r="I34" s="248"/>
      <c r="J34" s="248"/>
    </row>
    <row r="35" spans="9:10" ht="18" customHeight="1">
      <c r="I35" s="248"/>
      <c r="J35" s="248"/>
    </row>
    <row r="36" spans="9:10" ht="18" customHeight="1">
      <c r="I36" s="248"/>
      <c r="J36" s="248"/>
    </row>
    <row r="37" spans="9:10" ht="18" customHeight="1">
      <c r="I37" s="248"/>
      <c r="J37" s="248"/>
    </row>
    <row r="38" spans="9:10" ht="18" customHeight="1">
      <c r="I38" s="248"/>
      <c r="J38" s="248"/>
    </row>
    <row r="39" spans="9:10" ht="18" customHeight="1">
      <c r="I39" s="248"/>
      <c r="J39" s="248"/>
    </row>
    <row r="40" spans="9:10" ht="18" customHeight="1">
      <c r="I40" s="248"/>
      <c r="J40" s="248"/>
    </row>
    <row r="41" spans="9:10" ht="18" customHeight="1">
      <c r="I41" s="248"/>
      <c r="J41" s="248"/>
    </row>
    <row r="42" spans="9:10" ht="18" customHeight="1">
      <c r="I42" s="248"/>
      <c r="J42" s="248"/>
    </row>
    <row r="43" spans="9:10" ht="18" customHeight="1">
      <c r="I43" s="248"/>
      <c r="J43" s="248"/>
    </row>
    <row r="44" spans="9:10" ht="18" customHeight="1">
      <c r="I44" s="248"/>
      <c r="J44" s="248"/>
    </row>
    <row r="45" spans="9:10" ht="18" customHeight="1">
      <c r="I45" s="248"/>
      <c r="J45" s="248"/>
    </row>
    <row r="46" spans="9:10" ht="18" customHeight="1">
      <c r="I46" s="248"/>
      <c r="J46" s="248"/>
    </row>
    <row r="47" spans="9:10" ht="18" customHeight="1">
      <c r="I47" s="248"/>
      <c r="J47" s="248"/>
    </row>
    <row r="48" spans="9:10" ht="18" customHeight="1">
      <c r="I48" s="248"/>
      <c r="J48" s="248"/>
    </row>
    <row r="49" spans="9:10" ht="18" customHeight="1">
      <c r="I49" s="248"/>
      <c r="J49" s="248"/>
    </row>
    <row r="50" spans="9:10" ht="18" customHeight="1">
      <c r="I50" s="248"/>
      <c r="J50" s="248"/>
    </row>
    <row r="51" spans="9:10" ht="18" customHeight="1">
      <c r="I51" s="248"/>
      <c r="J51" s="248"/>
    </row>
    <row r="52" spans="9:10" ht="18" customHeight="1">
      <c r="I52" s="248"/>
      <c r="J52" s="248"/>
    </row>
    <row r="53" spans="9:10" ht="18" customHeight="1">
      <c r="I53" s="248"/>
      <c r="J53" s="248"/>
    </row>
    <row r="54" spans="9:10" ht="18" customHeight="1">
      <c r="I54" s="248"/>
      <c r="J54" s="248"/>
    </row>
    <row r="55" spans="9:10" ht="18" customHeight="1">
      <c r="I55" s="248"/>
      <c r="J55" s="248"/>
    </row>
    <row r="56" spans="9:10" ht="18" customHeight="1">
      <c r="I56" s="248"/>
      <c r="J56" s="248"/>
    </row>
    <row r="57" spans="9:10" ht="18" customHeight="1">
      <c r="I57" s="248"/>
      <c r="J57" s="248"/>
    </row>
    <row r="58" spans="9:10" ht="18" customHeight="1">
      <c r="I58" s="248"/>
      <c r="J58" s="248"/>
    </row>
    <row r="59" spans="9:10" ht="18" customHeight="1">
      <c r="I59" s="248"/>
      <c r="J59" s="248"/>
    </row>
    <row r="60" spans="9:10" ht="18" customHeight="1">
      <c r="I60" s="248"/>
      <c r="J60" s="248"/>
    </row>
    <row r="61" spans="9:10" ht="18" customHeight="1">
      <c r="I61" s="248"/>
      <c r="J61" s="248"/>
    </row>
    <row r="62" spans="9:10" ht="18" customHeight="1">
      <c r="I62" s="248"/>
      <c r="J62" s="248"/>
    </row>
    <row r="63" spans="9:10" ht="18" customHeight="1">
      <c r="I63" s="248"/>
      <c r="J63" s="248"/>
    </row>
    <row r="64" spans="9:10" ht="18" customHeight="1">
      <c r="I64" s="248"/>
      <c r="J64" s="248"/>
    </row>
    <row r="65" spans="3:10" ht="18" customHeight="1">
      <c r="I65" s="248"/>
      <c r="J65" s="248"/>
    </row>
    <row r="66" spans="3:10" ht="18" customHeight="1">
      <c r="J66" s="248"/>
    </row>
    <row r="76" spans="3:10" s="250" customFormat="1" ht="18" customHeight="1">
      <c r="C76" s="251"/>
      <c r="D76" s="252"/>
      <c r="E76" s="252"/>
      <c r="F76" s="252"/>
      <c r="G76" s="252"/>
      <c r="H76" s="246"/>
      <c r="I76" s="246"/>
    </row>
    <row r="77" spans="3:10" s="250" customFormat="1" ht="18" customHeight="1">
      <c r="C77" s="251"/>
      <c r="D77" s="252"/>
      <c r="E77" s="252"/>
      <c r="F77" s="252"/>
      <c r="G77" s="252"/>
      <c r="H77" s="246"/>
      <c r="I77" s="246"/>
    </row>
    <row r="78" spans="3:10" s="250" customFormat="1" ht="18" customHeight="1">
      <c r="C78" s="251"/>
      <c r="D78" s="252"/>
      <c r="E78" s="252"/>
      <c r="F78" s="252"/>
      <c r="G78" s="252"/>
      <c r="H78" s="246"/>
      <c r="I78" s="246"/>
    </row>
    <row r="79" spans="3:10" s="250" customFormat="1" ht="18" customHeight="1">
      <c r="C79" s="251"/>
      <c r="D79" s="252"/>
      <c r="E79" s="252"/>
      <c r="F79" s="252"/>
      <c r="G79" s="252"/>
      <c r="H79" s="246"/>
      <c r="I79" s="246"/>
    </row>
    <row r="80" spans="3:10" s="250" customFormat="1" ht="18" customHeight="1">
      <c r="C80" s="251"/>
      <c r="D80" s="252"/>
      <c r="E80" s="252"/>
      <c r="F80" s="252"/>
      <c r="G80" s="252"/>
      <c r="H80" s="246"/>
      <c r="I80" s="246"/>
    </row>
    <row r="81" spans="3:9" s="250" customFormat="1" ht="18" customHeight="1">
      <c r="C81" s="251"/>
      <c r="D81" s="252"/>
      <c r="E81" s="252"/>
      <c r="F81" s="252"/>
      <c r="G81" s="252"/>
      <c r="H81" s="246"/>
      <c r="I81" s="246"/>
    </row>
    <row r="82" spans="3:9" s="250" customFormat="1" ht="18" customHeight="1">
      <c r="C82" s="251"/>
      <c r="D82" s="252"/>
      <c r="E82" s="252"/>
      <c r="F82" s="252"/>
      <c r="G82" s="252"/>
      <c r="H82" s="246"/>
      <c r="I82" s="246"/>
    </row>
    <row r="83" spans="3:9" s="250" customFormat="1" ht="18" customHeight="1">
      <c r="C83" s="251"/>
      <c r="D83" s="252"/>
      <c r="E83" s="252"/>
      <c r="F83" s="252"/>
      <c r="G83" s="252"/>
      <c r="H83" s="246"/>
      <c r="I83" s="246"/>
    </row>
    <row r="84" spans="3:9" s="250" customFormat="1" ht="18" customHeight="1">
      <c r="C84" s="251"/>
      <c r="D84" s="252"/>
      <c r="E84" s="252"/>
      <c r="F84" s="252"/>
      <c r="G84" s="252"/>
      <c r="H84" s="246"/>
      <c r="I84" s="246"/>
    </row>
    <row r="85" spans="3:9" s="250" customFormat="1" ht="18" customHeight="1">
      <c r="C85" s="251"/>
      <c r="D85" s="252"/>
      <c r="E85" s="252"/>
      <c r="F85" s="252"/>
      <c r="G85" s="252"/>
      <c r="H85" s="246"/>
      <c r="I85" s="246"/>
    </row>
    <row r="86" spans="3:9" s="250" customFormat="1" ht="18" customHeight="1">
      <c r="C86" s="251"/>
      <c r="D86" s="252"/>
      <c r="E86" s="252"/>
      <c r="F86" s="252"/>
      <c r="G86" s="252"/>
      <c r="H86" s="246"/>
      <c r="I86" s="246"/>
    </row>
    <row r="87" spans="3:9" s="250" customFormat="1" ht="18" customHeight="1">
      <c r="C87" s="251"/>
      <c r="D87" s="252"/>
      <c r="E87" s="252"/>
      <c r="F87" s="252"/>
      <c r="G87" s="252"/>
      <c r="H87" s="246"/>
      <c r="I87" s="246"/>
    </row>
    <row r="88" spans="3:9" s="250" customFormat="1" ht="18" customHeight="1">
      <c r="C88" s="251"/>
      <c r="D88" s="252"/>
      <c r="E88" s="252"/>
      <c r="F88" s="252"/>
      <c r="G88" s="252"/>
      <c r="H88" s="246"/>
      <c r="I88" s="246"/>
    </row>
    <row r="89" spans="3:9" s="250" customFormat="1" ht="18" customHeight="1">
      <c r="C89" s="251"/>
      <c r="D89" s="252"/>
      <c r="E89" s="252"/>
      <c r="F89" s="252"/>
      <c r="G89" s="252"/>
      <c r="H89" s="246"/>
      <c r="I89" s="246"/>
    </row>
    <row r="90" spans="3:9" s="250" customFormat="1" ht="18" customHeight="1">
      <c r="C90" s="251"/>
      <c r="D90" s="252"/>
      <c r="E90" s="252"/>
      <c r="F90" s="252"/>
      <c r="G90" s="252"/>
      <c r="H90" s="246"/>
      <c r="I90" s="246"/>
    </row>
    <row r="91" spans="3:9" s="250" customFormat="1" ht="18" customHeight="1">
      <c r="C91" s="251"/>
      <c r="D91" s="252"/>
      <c r="E91" s="252"/>
      <c r="F91" s="252"/>
      <c r="G91" s="252"/>
      <c r="H91" s="246"/>
      <c r="I91" s="246"/>
    </row>
    <row r="92" spans="3:9" s="250" customFormat="1" ht="18" customHeight="1">
      <c r="C92" s="251"/>
      <c r="D92" s="252"/>
      <c r="E92" s="252"/>
      <c r="F92" s="252"/>
      <c r="G92" s="252"/>
      <c r="H92" s="246"/>
      <c r="I92" s="246"/>
    </row>
    <row r="93" spans="3:9" s="250" customFormat="1" ht="18" customHeight="1">
      <c r="C93" s="251"/>
      <c r="D93" s="252"/>
      <c r="E93" s="252"/>
      <c r="F93" s="252"/>
      <c r="G93" s="252"/>
      <c r="H93" s="246"/>
      <c r="I93" s="246"/>
    </row>
    <row r="94" spans="3:9" s="250" customFormat="1" ht="18" customHeight="1">
      <c r="C94" s="251"/>
      <c r="D94" s="252"/>
      <c r="E94" s="252"/>
      <c r="F94" s="252"/>
      <c r="G94" s="252"/>
      <c r="H94" s="246"/>
      <c r="I94" s="246"/>
    </row>
    <row r="95" spans="3:9" s="250" customFormat="1" ht="18" customHeight="1">
      <c r="C95" s="251"/>
      <c r="D95" s="252"/>
      <c r="E95" s="252"/>
      <c r="F95" s="252"/>
      <c r="G95" s="252"/>
      <c r="H95" s="246"/>
      <c r="I95" s="246"/>
    </row>
    <row r="96" spans="3:9" s="250" customFormat="1" ht="18" customHeight="1">
      <c r="C96" s="251"/>
      <c r="D96" s="252"/>
      <c r="E96" s="252"/>
      <c r="F96" s="252"/>
      <c r="G96" s="252"/>
      <c r="H96" s="246"/>
      <c r="I96" s="246"/>
    </row>
    <row r="97" spans="3:9" s="250" customFormat="1" ht="18" customHeight="1">
      <c r="C97" s="251"/>
      <c r="D97" s="252"/>
      <c r="E97" s="252"/>
      <c r="F97" s="252"/>
      <c r="G97" s="252"/>
      <c r="H97" s="246"/>
      <c r="I97" s="246"/>
    </row>
    <row r="98" spans="3:9" s="250" customFormat="1" ht="18" customHeight="1">
      <c r="C98" s="251"/>
      <c r="D98" s="252"/>
      <c r="E98" s="252"/>
      <c r="F98" s="252"/>
      <c r="G98" s="252"/>
      <c r="H98" s="246"/>
      <c r="I98" s="246"/>
    </row>
    <row r="99" spans="3:9" s="250" customFormat="1" ht="18" customHeight="1">
      <c r="C99" s="251"/>
      <c r="D99" s="252"/>
      <c r="E99" s="252"/>
      <c r="F99" s="252"/>
      <c r="G99" s="252"/>
      <c r="H99" s="246"/>
      <c r="I99" s="246"/>
    </row>
    <row r="100" spans="3:9" s="250" customFormat="1" ht="18" customHeight="1">
      <c r="C100" s="251"/>
      <c r="D100" s="252"/>
      <c r="E100" s="252"/>
      <c r="F100" s="252"/>
      <c r="G100" s="252"/>
      <c r="H100" s="246"/>
      <c r="I100" s="246"/>
    </row>
    <row r="101" spans="3:9" s="250" customFormat="1" ht="18" customHeight="1">
      <c r="C101" s="251"/>
      <c r="D101" s="252"/>
      <c r="E101" s="252"/>
      <c r="F101" s="252"/>
      <c r="G101" s="252"/>
      <c r="H101" s="246"/>
      <c r="I101" s="246"/>
    </row>
    <row r="102" spans="3:9" s="250" customFormat="1" ht="18" customHeight="1">
      <c r="C102" s="251"/>
      <c r="D102" s="252"/>
      <c r="E102" s="252"/>
      <c r="F102" s="252"/>
      <c r="G102" s="252"/>
      <c r="H102" s="246"/>
      <c r="I102" s="246"/>
    </row>
    <row r="103" spans="3:9" s="250" customFormat="1" ht="18" customHeight="1">
      <c r="C103" s="251"/>
      <c r="D103" s="252"/>
      <c r="E103" s="252"/>
      <c r="F103" s="252"/>
      <c r="G103" s="252"/>
      <c r="H103" s="246"/>
      <c r="I103" s="246"/>
    </row>
    <row r="104" spans="3:9" s="250" customFormat="1" ht="18" customHeight="1">
      <c r="C104" s="251"/>
      <c r="D104" s="252"/>
      <c r="E104" s="252"/>
      <c r="F104" s="252"/>
      <c r="G104" s="252"/>
      <c r="H104" s="246"/>
      <c r="I104" s="246"/>
    </row>
    <row r="105" spans="3:9" s="250" customFormat="1" ht="18" customHeight="1">
      <c r="C105" s="251"/>
      <c r="D105" s="252"/>
      <c r="E105" s="252"/>
      <c r="F105" s="252"/>
      <c r="G105" s="252"/>
      <c r="H105" s="246"/>
      <c r="I105" s="246"/>
    </row>
    <row r="106" spans="3:9" s="250" customFormat="1" ht="18" customHeight="1">
      <c r="C106" s="251"/>
      <c r="D106" s="252"/>
      <c r="E106" s="252"/>
      <c r="F106" s="252"/>
      <c r="G106" s="252"/>
      <c r="H106" s="246"/>
      <c r="I106" s="246"/>
    </row>
    <row r="107" spans="3:9" s="250" customFormat="1" ht="18" customHeight="1">
      <c r="C107" s="251"/>
      <c r="D107" s="252"/>
      <c r="E107" s="252"/>
      <c r="F107" s="252"/>
      <c r="G107" s="252"/>
      <c r="H107" s="246"/>
      <c r="I107" s="246"/>
    </row>
    <row r="108" spans="3:9" s="250" customFormat="1" ht="18" customHeight="1">
      <c r="C108" s="251"/>
      <c r="D108" s="252"/>
      <c r="E108" s="252"/>
      <c r="F108" s="252"/>
      <c r="G108" s="252"/>
      <c r="H108" s="246"/>
      <c r="I108" s="246"/>
    </row>
    <row r="109" spans="3:9" s="250" customFormat="1" ht="18" customHeight="1">
      <c r="C109" s="251"/>
      <c r="D109" s="252"/>
      <c r="E109" s="252"/>
      <c r="F109" s="252"/>
      <c r="G109" s="252"/>
      <c r="H109" s="246"/>
      <c r="I109" s="246"/>
    </row>
    <row r="110" spans="3:9" s="250" customFormat="1" ht="18" customHeight="1">
      <c r="C110" s="251"/>
      <c r="D110" s="252"/>
      <c r="E110" s="252"/>
      <c r="F110" s="252"/>
      <c r="G110" s="252"/>
      <c r="H110" s="246"/>
      <c r="I110" s="246"/>
    </row>
    <row r="111" spans="3:9" s="250" customFormat="1" ht="18" customHeight="1">
      <c r="C111" s="251"/>
      <c r="D111" s="252"/>
      <c r="E111" s="252"/>
      <c r="F111" s="252"/>
      <c r="G111" s="252"/>
      <c r="H111" s="246"/>
      <c r="I111" s="246"/>
    </row>
    <row r="112" spans="3:9" s="250" customFormat="1" ht="18" customHeight="1">
      <c r="C112" s="251"/>
      <c r="D112" s="252"/>
      <c r="E112" s="252"/>
      <c r="F112" s="252"/>
      <c r="G112" s="252"/>
      <c r="H112" s="246"/>
      <c r="I112" s="246"/>
    </row>
    <row r="113" spans="3:9" s="250" customFormat="1" ht="18" customHeight="1">
      <c r="C113" s="251"/>
      <c r="D113" s="252"/>
      <c r="E113" s="252"/>
      <c r="F113" s="252"/>
      <c r="G113" s="252"/>
      <c r="H113" s="246"/>
      <c r="I113" s="246"/>
    </row>
    <row r="114" spans="3:9" s="250" customFormat="1" ht="18" customHeight="1">
      <c r="C114" s="251"/>
      <c r="D114" s="252"/>
      <c r="E114" s="252"/>
      <c r="F114" s="252"/>
      <c r="G114" s="252"/>
      <c r="H114" s="246"/>
      <c r="I114" s="246"/>
    </row>
    <row r="115" spans="3:9" s="250" customFormat="1" ht="18" customHeight="1">
      <c r="C115" s="251"/>
      <c r="D115" s="252"/>
      <c r="E115" s="252"/>
      <c r="F115" s="252"/>
      <c r="G115" s="252"/>
      <c r="H115" s="246"/>
      <c r="I115" s="246"/>
    </row>
    <row r="116" spans="3:9" s="250" customFormat="1" ht="18" customHeight="1">
      <c r="C116" s="251"/>
      <c r="D116" s="252"/>
      <c r="E116" s="252"/>
      <c r="F116" s="252"/>
      <c r="G116" s="252"/>
      <c r="H116" s="246"/>
      <c r="I116" s="246"/>
    </row>
    <row r="117" spans="3:9" s="250" customFormat="1" ht="18" customHeight="1">
      <c r="C117" s="251"/>
      <c r="D117" s="252"/>
      <c r="E117" s="252"/>
      <c r="F117" s="252"/>
      <c r="G117" s="252"/>
      <c r="H117" s="246"/>
      <c r="I117" s="246"/>
    </row>
    <row r="118" spans="3:9" s="250" customFormat="1" ht="18" customHeight="1">
      <c r="C118" s="251"/>
      <c r="D118" s="252"/>
      <c r="E118" s="252"/>
      <c r="F118" s="252"/>
      <c r="G118" s="252"/>
      <c r="H118" s="246"/>
      <c r="I118" s="246"/>
    </row>
    <row r="119" spans="3:9" s="250" customFormat="1" ht="18" customHeight="1">
      <c r="C119" s="251"/>
      <c r="D119" s="252"/>
      <c r="E119" s="252"/>
      <c r="F119" s="252"/>
      <c r="G119" s="252"/>
      <c r="H119" s="246"/>
      <c r="I119" s="246"/>
    </row>
    <row r="120" spans="3:9" s="250" customFormat="1" ht="18" customHeight="1">
      <c r="C120" s="251"/>
      <c r="D120" s="252"/>
      <c r="E120" s="252"/>
      <c r="F120" s="252"/>
      <c r="G120" s="252"/>
      <c r="H120" s="246"/>
      <c r="I120" s="246"/>
    </row>
    <row r="121" spans="3:9" s="250" customFormat="1" ht="18" customHeight="1">
      <c r="C121" s="251"/>
      <c r="D121" s="252"/>
      <c r="E121" s="252"/>
      <c r="F121" s="252"/>
      <c r="G121" s="252"/>
      <c r="H121" s="246"/>
      <c r="I121" s="246"/>
    </row>
    <row r="122" spans="3:9" s="250" customFormat="1" ht="18" customHeight="1">
      <c r="C122" s="251"/>
      <c r="D122" s="252"/>
      <c r="E122" s="252"/>
      <c r="F122" s="252"/>
      <c r="G122" s="252"/>
      <c r="H122" s="246"/>
      <c r="I122" s="246"/>
    </row>
    <row r="123" spans="3:9" s="250" customFormat="1" ht="18" customHeight="1">
      <c r="C123" s="251"/>
      <c r="D123" s="252"/>
      <c r="E123" s="252"/>
      <c r="F123" s="252"/>
      <c r="G123" s="252"/>
      <c r="H123" s="246"/>
      <c r="I123" s="246"/>
    </row>
    <row r="124" spans="3:9" s="250" customFormat="1" ht="18" customHeight="1">
      <c r="C124" s="251"/>
      <c r="D124" s="252"/>
      <c r="E124" s="252"/>
      <c r="F124" s="252"/>
      <c r="G124" s="252"/>
      <c r="H124" s="246"/>
      <c r="I124" s="246"/>
    </row>
    <row r="125" spans="3:9" s="250" customFormat="1" ht="18" customHeight="1">
      <c r="C125" s="251"/>
      <c r="D125" s="252"/>
      <c r="E125" s="252"/>
      <c r="F125" s="252"/>
      <c r="G125" s="252"/>
      <c r="H125" s="246"/>
      <c r="I125" s="246"/>
    </row>
    <row r="126" spans="3:9" s="250" customFormat="1" ht="18" customHeight="1">
      <c r="C126" s="251"/>
      <c r="D126" s="252"/>
      <c r="E126" s="252"/>
      <c r="F126" s="252"/>
      <c r="G126" s="252"/>
      <c r="H126" s="246"/>
      <c r="I126" s="246"/>
    </row>
    <row r="127" spans="3:9" s="250" customFormat="1" ht="18" customHeight="1">
      <c r="C127" s="251"/>
      <c r="D127" s="252"/>
      <c r="E127" s="252"/>
      <c r="F127" s="252"/>
      <c r="G127" s="252"/>
      <c r="H127" s="246"/>
      <c r="I127" s="246"/>
    </row>
    <row r="128" spans="3:9" s="250" customFormat="1" ht="18" customHeight="1">
      <c r="C128" s="251"/>
      <c r="D128" s="252"/>
      <c r="E128" s="252"/>
      <c r="F128" s="252"/>
      <c r="G128" s="252"/>
      <c r="H128" s="246"/>
      <c r="I128" s="246"/>
    </row>
    <row r="129" spans="3:9" s="250" customFormat="1" ht="18" customHeight="1">
      <c r="C129" s="251"/>
      <c r="D129" s="252"/>
      <c r="E129" s="252"/>
      <c r="F129" s="252"/>
      <c r="G129" s="252"/>
      <c r="H129" s="246"/>
      <c r="I129" s="246"/>
    </row>
    <row r="130" spans="3:9" s="250" customFormat="1" ht="18" customHeight="1">
      <c r="C130" s="251"/>
      <c r="D130" s="252"/>
      <c r="E130" s="252"/>
      <c r="F130" s="252"/>
      <c r="G130" s="252"/>
      <c r="H130" s="246"/>
      <c r="I130" s="246"/>
    </row>
    <row r="131" spans="3:9" s="250" customFormat="1" ht="18" customHeight="1">
      <c r="C131" s="251"/>
      <c r="D131" s="252"/>
      <c r="E131" s="252"/>
      <c r="F131" s="252"/>
      <c r="G131" s="252"/>
      <c r="H131" s="246"/>
      <c r="I131" s="246"/>
    </row>
    <row r="132" spans="3:9" s="250" customFormat="1" ht="18" customHeight="1">
      <c r="C132" s="251"/>
      <c r="D132" s="252"/>
      <c r="E132" s="252"/>
      <c r="F132" s="252"/>
      <c r="G132" s="252"/>
      <c r="H132" s="246"/>
      <c r="I132" s="246"/>
    </row>
    <row r="133" spans="3:9" s="250" customFormat="1" ht="18" customHeight="1">
      <c r="C133" s="251"/>
      <c r="D133" s="252"/>
      <c r="E133" s="252"/>
      <c r="F133" s="252"/>
      <c r="G133" s="252"/>
      <c r="H133" s="246"/>
      <c r="I133" s="246"/>
    </row>
    <row r="134" spans="3:9" s="250" customFormat="1" ht="18" customHeight="1">
      <c r="C134" s="251"/>
      <c r="D134" s="252"/>
      <c r="E134" s="252"/>
      <c r="F134" s="252"/>
      <c r="G134" s="252"/>
      <c r="H134" s="246"/>
      <c r="I134" s="246"/>
    </row>
    <row r="135" spans="3:9" s="250" customFormat="1" ht="18" customHeight="1">
      <c r="C135" s="251"/>
      <c r="D135" s="252"/>
      <c r="E135" s="252"/>
      <c r="F135" s="252"/>
      <c r="G135" s="252"/>
      <c r="H135" s="246"/>
      <c r="I135" s="246"/>
    </row>
    <row r="136" spans="3:9" s="250" customFormat="1" ht="18" customHeight="1">
      <c r="C136" s="251"/>
      <c r="D136" s="252"/>
      <c r="E136" s="252"/>
      <c r="F136" s="252"/>
      <c r="G136" s="252"/>
      <c r="H136" s="246"/>
      <c r="I136" s="246"/>
    </row>
    <row r="137" spans="3:9" s="250" customFormat="1" ht="18" customHeight="1">
      <c r="C137" s="251"/>
      <c r="D137" s="252"/>
      <c r="E137" s="252"/>
      <c r="F137" s="252"/>
      <c r="G137" s="252"/>
      <c r="H137" s="246"/>
      <c r="I137" s="246"/>
    </row>
    <row r="138" spans="3:9" s="250" customFormat="1" ht="18" customHeight="1">
      <c r="C138" s="251"/>
      <c r="D138" s="252"/>
      <c r="E138" s="252"/>
      <c r="F138" s="252"/>
      <c r="G138" s="252"/>
      <c r="H138" s="246"/>
      <c r="I138" s="246"/>
    </row>
    <row r="139" spans="3:9" s="250" customFormat="1" ht="18" customHeight="1">
      <c r="C139" s="251"/>
      <c r="D139" s="252"/>
      <c r="E139" s="252"/>
      <c r="F139" s="252"/>
      <c r="G139" s="252"/>
      <c r="H139" s="246"/>
      <c r="I139" s="246"/>
    </row>
    <row r="140" spans="3:9" s="250" customFormat="1" ht="18" customHeight="1">
      <c r="C140" s="251"/>
      <c r="D140" s="252"/>
      <c r="E140" s="252"/>
      <c r="F140" s="252"/>
      <c r="G140" s="252"/>
      <c r="H140" s="246"/>
      <c r="I140" s="246"/>
    </row>
    <row r="141" spans="3:9" s="250" customFormat="1" ht="18" customHeight="1">
      <c r="C141" s="251"/>
      <c r="D141" s="252"/>
      <c r="E141" s="252"/>
      <c r="F141" s="252"/>
      <c r="G141" s="252"/>
      <c r="H141" s="246"/>
      <c r="I141" s="246"/>
    </row>
    <row r="142" spans="3:9" s="250" customFormat="1" ht="18" customHeight="1">
      <c r="C142" s="251"/>
      <c r="D142" s="252"/>
      <c r="E142" s="252"/>
      <c r="F142" s="252"/>
      <c r="G142" s="252"/>
      <c r="H142" s="246"/>
      <c r="I142" s="246"/>
    </row>
    <row r="143" spans="3:9" s="250" customFormat="1" ht="18" customHeight="1">
      <c r="C143" s="251"/>
      <c r="D143" s="252"/>
      <c r="E143" s="252"/>
      <c r="F143" s="252"/>
      <c r="G143" s="252"/>
      <c r="H143" s="246"/>
      <c r="I143" s="246"/>
    </row>
    <row r="144" spans="3:9" s="250" customFormat="1" ht="18" customHeight="1">
      <c r="C144" s="251"/>
      <c r="D144" s="252"/>
      <c r="E144" s="252"/>
      <c r="F144" s="252"/>
      <c r="G144" s="252"/>
      <c r="H144" s="246"/>
      <c r="I144" s="246"/>
    </row>
    <row r="145" spans="3:9" s="250" customFormat="1" ht="18" customHeight="1">
      <c r="C145" s="251"/>
      <c r="D145" s="252"/>
      <c r="E145" s="252"/>
      <c r="F145" s="252"/>
      <c r="G145" s="252"/>
      <c r="H145" s="246"/>
      <c r="I145" s="246"/>
    </row>
    <row r="146" spans="3:9" s="250" customFormat="1" ht="18" customHeight="1">
      <c r="C146" s="251"/>
      <c r="D146" s="252"/>
      <c r="E146" s="252"/>
      <c r="F146" s="252"/>
      <c r="G146" s="252"/>
      <c r="H146" s="246"/>
      <c r="I146" s="246"/>
    </row>
    <row r="147" spans="3:9" s="250" customFormat="1" ht="18" customHeight="1">
      <c r="C147" s="251"/>
      <c r="D147" s="252"/>
      <c r="E147" s="252"/>
      <c r="F147" s="252"/>
      <c r="G147" s="252"/>
      <c r="H147" s="246"/>
      <c r="I147" s="246"/>
    </row>
    <row r="148" spans="3:9" s="250" customFormat="1" ht="18" customHeight="1">
      <c r="C148" s="251"/>
      <c r="D148" s="252"/>
      <c r="E148" s="252"/>
      <c r="F148" s="252"/>
      <c r="G148" s="252"/>
      <c r="H148" s="246"/>
      <c r="I148" s="246"/>
    </row>
    <row r="149" spans="3:9" s="250" customFormat="1" ht="18" customHeight="1">
      <c r="C149" s="251"/>
      <c r="D149" s="252"/>
      <c r="E149" s="252"/>
      <c r="F149" s="252"/>
      <c r="G149" s="252"/>
      <c r="H149" s="246"/>
      <c r="I149" s="246"/>
    </row>
    <row r="150" spans="3:9" s="250" customFormat="1" ht="18" customHeight="1">
      <c r="C150" s="251"/>
      <c r="D150" s="252"/>
      <c r="E150" s="252"/>
      <c r="F150" s="252"/>
      <c r="G150" s="252"/>
      <c r="H150" s="246"/>
      <c r="I150" s="246"/>
    </row>
    <row r="151" spans="3:9" s="250" customFormat="1" ht="18" customHeight="1">
      <c r="C151" s="251"/>
      <c r="D151" s="252"/>
      <c r="E151" s="252"/>
      <c r="F151" s="252"/>
      <c r="G151" s="252"/>
      <c r="H151" s="246"/>
      <c r="I151" s="246"/>
    </row>
    <row r="152" spans="3:9" s="250" customFormat="1" ht="18" customHeight="1">
      <c r="C152" s="251"/>
      <c r="D152" s="252"/>
      <c r="E152" s="252"/>
      <c r="F152" s="252"/>
      <c r="G152" s="252"/>
      <c r="H152" s="246"/>
      <c r="I152" s="246"/>
    </row>
    <row r="153" spans="3:9" s="250" customFormat="1" ht="18" customHeight="1">
      <c r="C153" s="251"/>
      <c r="D153" s="252"/>
      <c r="E153" s="252"/>
      <c r="F153" s="252"/>
      <c r="G153" s="252"/>
      <c r="H153" s="246"/>
      <c r="I153" s="246"/>
    </row>
    <row r="154" spans="3:9" s="250" customFormat="1" ht="18" customHeight="1">
      <c r="C154" s="251"/>
      <c r="D154" s="252"/>
      <c r="E154" s="252"/>
      <c r="F154" s="252"/>
      <c r="G154" s="252"/>
      <c r="H154" s="246"/>
      <c r="I154" s="246"/>
    </row>
    <row r="155" spans="3:9" s="250" customFormat="1" ht="18" customHeight="1">
      <c r="C155" s="251"/>
      <c r="D155" s="252"/>
      <c r="E155" s="252"/>
      <c r="F155" s="252"/>
      <c r="G155" s="252"/>
      <c r="H155" s="246"/>
      <c r="I155" s="246"/>
    </row>
    <row r="156" spans="3:9" s="250" customFormat="1" ht="18" customHeight="1">
      <c r="C156" s="251"/>
      <c r="D156" s="252"/>
      <c r="E156" s="252"/>
      <c r="F156" s="252"/>
      <c r="G156" s="252"/>
      <c r="H156" s="246"/>
      <c r="I156" s="246"/>
    </row>
    <row r="157" spans="3:9" s="250" customFormat="1" ht="18" customHeight="1">
      <c r="C157" s="251"/>
      <c r="D157" s="252"/>
      <c r="E157" s="252"/>
      <c r="F157" s="252"/>
      <c r="G157" s="252"/>
      <c r="H157" s="246"/>
      <c r="I157" s="246"/>
    </row>
    <row r="158" spans="3:9" s="250" customFormat="1" ht="18" customHeight="1">
      <c r="C158" s="251"/>
      <c r="D158" s="252"/>
      <c r="E158" s="252"/>
      <c r="F158" s="252"/>
      <c r="G158" s="252"/>
      <c r="H158" s="246"/>
      <c r="I158" s="246"/>
    </row>
    <row r="159" spans="3:9" s="250" customFormat="1" ht="18" customHeight="1">
      <c r="C159" s="251"/>
      <c r="D159" s="252"/>
      <c r="E159" s="252"/>
      <c r="F159" s="252"/>
      <c r="G159" s="252"/>
      <c r="H159" s="246"/>
      <c r="I159" s="246"/>
    </row>
    <row r="160" spans="3:9" s="250" customFormat="1" ht="18" customHeight="1">
      <c r="C160" s="251"/>
      <c r="D160" s="252"/>
      <c r="E160" s="252"/>
      <c r="F160" s="252"/>
      <c r="G160" s="252"/>
      <c r="H160" s="246"/>
      <c r="I160" s="246"/>
    </row>
    <row r="161" spans="3:9" s="250" customFormat="1" ht="18" customHeight="1">
      <c r="C161" s="251"/>
      <c r="D161" s="252"/>
      <c r="E161" s="252"/>
      <c r="F161" s="252"/>
      <c r="G161" s="252"/>
      <c r="H161" s="246"/>
      <c r="I161" s="246"/>
    </row>
    <row r="162" spans="3:9" s="250" customFormat="1" ht="18" customHeight="1">
      <c r="C162" s="251"/>
      <c r="D162" s="252"/>
      <c r="E162" s="252"/>
      <c r="F162" s="252"/>
      <c r="G162" s="252"/>
      <c r="H162" s="246"/>
      <c r="I162" s="246"/>
    </row>
    <row r="163" spans="3:9" s="250" customFormat="1" ht="18" customHeight="1">
      <c r="C163" s="251"/>
      <c r="D163" s="252"/>
      <c r="E163" s="252"/>
      <c r="F163" s="252"/>
      <c r="G163" s="252"/>
      <c r="H163" s="246"/>
      <c r="I163" s="246"/>
    </row>
    <row r="164" spans="3:9" s="250" customFormat="1" ht="18" customHeight="1">
      <c r="C164" s="251"/>
      <c r="D164" s="252"/>
      <c r="E164" s="252"/>
      <c r="F164" s="252"/>
      <c r="G164" s="252"/>
      <c r="H164" s="246"/>
      <c r="I164" s="246"/>
    </row>
    <row r="165" spans="3:9" s="250" customFormat="1" ht="18" customHeight="1">
      <c r="C165" s="251"/>
      <c r="D165" s="252"/>
      <c r="E165" s="252"/>
      <c r="F165" s="252"/>
      <c r="G165" s="252"/>
      <c r="H165" s="246"/>
      <c r="I165" s="246"/>
    </row>
    <row r="166" spans="3:9" s="250" customFormat="1" ht="18" customHeight="1">
      <c r="C166" s="251"/>
      <c r="D166" s="252"/>
      <c r="E166" s="252"/>
      <c r="F166" s="252"/>
      <c r="G166" s="252"/>
      <c r="H166" s="246"/>
      <c r="I166" s="246"/>
    </row>
    <row r="167" spans="3:9" s="250" customFormat="1" ht="18" customHeight="1">
      <c r="C167" s="251"/>
      <c r="D167" s="252"/>
      <c r="E167" s="252"/>
      <c r="F167" s="252"/>
      <c r="G167" s="252"/>
      <c r="H167" s="246"/>
      <c r="I167" s="246"/>
    </row>
    <row r="168" spans="3:9" s="250" customFormat="1" ht="18" customHeight="1">
      <c r="C168" s="251"/>
      <c r="D168" s="252"/>
      <c r="E168" s="252"/>
      <c r="F168" s="252"/>
      <c r="G168" s="252"/>
      <c r="H168" s="246"/>
      <c r="I168" s="246"/>
    </row>
    <row r="169" spans="3:9" s="250" customFormat="1" ht="18" customHeight="1">
      <c r="C169" s="251"/>
      <c r="D169" s="252"/>
      <c r="E169" s="252"/>
      <c r="F169" s="252"/>
      <c r="G169" s="252"/>
      <c r="H169" s="246"/>
      <c r="I169" s="246"/>
    </row>
    <row r="170" spans="3:9" s="250" customFormat="1" ht="18" customHeight="1">
      <c r="C170" s="251"/>
      <c r="D170" s="252"/>
      <c r="E170" s="252"/>
      <c r="F170" s="252"/>
      <c r="G170" s="252"/>
      <c r="H170" s="246"/>
      <c r="I170" s="246"/>
    </row>
    <row r="171" spans="3:9" s="250" customFormat="1" ht="18" customHeight="1">
      <c r="C171" s="251"/>
      <c r="D171" s="252"/>
      <c r="E171" s="252"/>
      <c r="F171" s="252"/>
      <c r="G171" s="252"/>
      <c r="H171" s="246"/>
      <c r="I171" s="246"/>
    </row>
    <row r="172" spans="3:9" s="250" customFormat="1" ht="18" customHeight="1">
      <c r="C172" s="251"/>
      <c r="D172" s="252"/>
      <c r="E172" s="252"/>
      <c r="F172" s="252"/>
      <c r="G172" s="252"/>
      <c r="H172" s="246"/>
      <c r="I172" s="246"/>
    </row>
    <row r="173" spans="3:9" s="250" customFormat="1" ht="18" customHeight="1">
      <c r="C173" s="251"/>
      <c r="D173" s="252"/>
      <c r="E173" s="252"/>
      <c r="F173" s="252"/>
      <c r="G173" s="252"/>
      <c r="H173" s="246"/>
      <c r="I173" s="246"/>
    </row>
    <row r="174" spans="3:9" s="250" customFormat="1" ht="18" customHeight="1">
      <c r="C174" s="251"/>
      <c r="D174" s="252"/>
      <c r="E174" s="252"/>
      <c r="F174" s="252"/>
      <c r="G174" s="252"/>
      <c r="H174" s="246"/>
      <c r="I174" s="246"/>
    </row>
    <row r="175" spans="3:9" s="250" customFormat="1" ht="18" customHeight="1">
      <c r="C175" s="251"/>
      <c r="D175" s="252"/>
      <c r="E175" s="252"/>
      <c r="F175" s="252"/>
      <c r="G175" s="252"/>
      <c r="H175" s="246"/>
      <c r="I175" s="246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8" sqref="B8"/>
    </sheetView>
  </sheetViews>
  <sheetFormatPr defaultColWidth="10.85546875" defaultRowHeight="14.25"/>
  <cols>
    <col min="1" max="1" width="16.85546875" style="203" customWidth="1"/>
    <col min="2" max="2" width="40.140625" style="203" customWidth="1"/>
    <col min="3" max="3" width="15" style="203" customWidth="1"/>
    <col min="4" max="16384" width="10.85546875" style="203"/>
  </cols>
  <sheetData>
    <row r="1" spans="1:5" ht="18" customHeight="1">
      <c r="A1" s="269" t="s">
        <v>21</v>
      </c>
      <c r="B1" s="269" t="s">
        <v>108</v>
      </c>
      <c r="C1" s="268" t="s">
        <v>109</v>
      </c>
    </row>
    <row r="2" spans="1:5" ht="18" customHeight="1">
      <c r="A2" s="270" t="s">
        <v>95</v>
      </c>
      <c r="B2" s="270" t="s">
        <v>94</v>
      </c>
      <c r="C2" s="264">
        <v>72.48</v>
      </c>
    </row>
    <row r="3" spans="1:5" ht="18" customHeight="1">
      <c r="A3" s="271" t="s">
        <v>96</v>
      </c>
      <c r="B3" s="271" t="s">
        <v>97</v>
      </c>
      <c r="C3" s="322">
        <f>SUM(Cashflow!C13:AA13)</f>
        <v>1.87</v>
      </c>
    </row>
    <row r="4" spans="1:5" ht="18" customHeight="1">
      <c r="A4" s="271" t="s">
        <v>98</v>
      </c>
      <c r="B4" s="271" t="s">
        <v>99</v>
      </c>
      <c r="C4" s="265">
        <f>SUM(Cashflow!C15:AA15)</f>
        <v>19.28</v>
      </c>
      <c r="E4" s="320">
        <f>C2+C3+C4-C5+C6</f>
        <v>49.294000000000018</v>
      </c>
    </row>
    <row r="5" spans="1:5" ht="18" customHeight="1">
      <c r="A5" s="272" t="s">
        <v>100</v>
      </c>
      <c r="B5" s="272" t="s">
        <v>196</v>
      </c>
      <c r="C5" s="266">
        <f>SUM(Cashflow!C8:AA8)</f>
        <v>47.635999999999989</v>
      </c>
      <c r="D5" s="319">
        <f>C5-C6</f>
        <v>44.335999999999991</v>
      </c>
    </row>
    <row r="6" spans="1:5" ht="18" customHeight="1">
      <c r="A6" s="272" t="s">
        <v>101</v>
      </c>
      <c r="B6" s="272" t="s">
        <v>44</v>
      </c>
      <c r="C6" s="267">
        <f>SUMIF(Cashflow!C20:AE20,"&gt;0")</f>
        <v>3.3</v>
      </c>
    </row>
    <row r="7" spans="1:5" ht="18" customHeight="1">
      <c r="A7" s="273" t="s">
        <v>103</v>
      </c>
      <c r="B7" s="273" t="s">
        <v>102</v>
      </c>
      <c r="C7" s="276">
        <f>C2+C3+C4-C5+C6</f>
        <v>49.294000000000018</v>
      </c>
    </row>
    <row r="8" spans="1:5" ht="18" customHeight="1">
      <c r="A8" s="274" t="s">
        <v>104</v>
      </c>
      <c r="B8" s="274" t="s">
        <v>105</v>
      </c>
      <c r="C8" s="277">
        <f>'Project Brief'!B24</f>
        <v>14.5</v>
      </c>
    </row>
    <row r="9" spans="1:5" ht="18" customHeight="1">
      <c r="A9" s="275" t="s">
        <v>106</v>
      </c>
      <c r="B9" s="275" t="s">
        <v>107</v>
      </c>
      <c r="C9" s="278">
        <f>C7/C8</f>
        <v>3.399586206896553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Project Brief</vt:lpstr>
      <vt:lpstr>UNIT LIST BUILDING NO 1</vt:lpstr>
      <vt:lpstr>Implementation and Revenue</vt:lpstr>
      <vt:lpstr>Inflow Calculation</vt:lpstr>
      <vt:lpstr>Cashflow</vt:lpstr>
      <vt:lpstr>Working</vt:lpstr>
      <vt:lpstr>Assessment Tables</vt:lpstr>
      <vt:lpstr>Loan - SBI</vt:lpstr>
      <vt:lpstr>FACR</vt:lpstr>
      <vt:lpstr>Annualised Cashflow</vt:lpstr>
      <vt:lpstr>CMA</vt:lpstr>
      <vt:lpstr>Residual Method</vt:lpstr>
      <vt:lpstr>Sheet3</vt:lpstr>
      <vt:lpstr>Sheet1</vt:lpstr>
      <vt:lpstr>Sheet2</vt:lpstr>
      <vt:lpstr>Cost of construction</vt:lpstr>
      <vt:lpstr>Bar Chart Construction - Sale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Babul</cp:lastModifiedBy>
  <dcterms:created xsi:type="dcterms:W3CDTF">2016-01-22T09:38:15Z</dcterms:created>
  <dcterms:modified xsi:type="dcterms:W3CDTF">2023-10-13T09:49:36Z</dcterms:modified>
</cp:coreProperties>
</file>