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Z:\In Progress Files\Manas Upmanyu\DLF\DLF Cyber City Developers Ltd\BUILDING 8\"/>
    </mc:Choice>
  </mc:AlternateContent>
  <xr:revisionPtr revIDLastSave="0" documentId="13_ncr:1_{D240074D-96F6-4488-877B-0003F9D23194}" xr6:coauthVersionLast="47" xr6:coauthVersionMax="47" xr10:uidLastSave="{00000000-0000-0000-0000-000000000000}"/>
  <bookViews>
    <workbookView showVerticalScroll="0" xWindow="-120" yWindow="-120" windowWidth="21840" windowHeight="13140" activeTab="5" xr2:uid="{00000000-000D-0000-FFFF-FFFF00000000}"/>
  </bookViews>
  <sheets>
    <sheet name="Basement" sheetId="12" r:id="rId1"/>
    <sheet name="Block A" sheetId="7" r:id="rId2"/>
    <sheet name="Block B" sheetId="8" r:id="rId3"/>
    <sheet name="Block C" sheetId="9" r:id="rId4"/>
    <sheet name="Total" sheetId="10" r:id="rId5"/>
    <sheet name="Land" sheetId="13" r:id="rId6"/>
  </sheets>
  <definedNames>
    <definedName name="_xlnm.Print_Area" localSheetId="0">Basement!$B$1:$U$9</definedName>
    <definedName name="_xlnm.Print_Area" localSheetId="1">'Block A'!$B$1:$R$13</definedName>
    <definedName name="_xlnm.Print_Area" localSheetId="2">'Block B'!$B$1:$R$15</definedName>
    <definedName name="_xlnm.Print_Area" localSheetId="3">'Block C'!$B$1:$R$21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0" l="1"/>
  <c r="E16" i="10"/>
  <c r="E15" i="10"/>
  <c r="C16" i="13"/>
  <c r="C12" i="13"/>
  <c r="C11" i="13"/>
  <c r="C15" i="13"/>
  <c r="F6" i="13"/>
  <c r="C7" i="13"/>
  <c r="H4" i="12"/>
  <c r="I4" i="12" s="1"/>
  <c r="Q4" i="12" s="1"/>
  <c r="H3" i="12"/>
  <c r="H5" i="12" s="1"/>
  <c r="I5" i="12" s="1"/>
  <c r="Q5" i="12" s="1"/>
  <c r="E6" i="12"/>
  <c r="F6" i="12"/>
  <c r="G6" i="12"/>
  <c r="O5" i="12"/>
  <c r="L5" i="12"/>
  <c r="O4" i="12"/>
  <c r="L4" i="12"/>
  <c r="O3" i="12"/>
  <c r="L3" i="12"/>
  <c r="I3" i="12"/>
  <c r="N17" i="9"/>
  <c r="L17" i="9"/>
  <c r="I17" i="9"/>
  <c r="L16" i="9"/>
  <c r="I16" i="9"/>
  <c r="L15" i="9"/>
  <c r="I15" i="9"/>
  <c r="L14" i="9"/>
  <c r="I14" i="9"/>
  <c r="N13" i="9"/>
  <c r="L13" i="9"/>
  <c r="I13" i="9"/>
  <c r="L12" i="9"/>
  <c r="I12" i="9"/>
  <c r="L11" i="9"/>
  <c r="I11" i="9"/>
  <c r="L10" i="9"/>
  <c r="I10" i="9"/>
  <c r="E18" i="9"/>
  <c r="D7" i="10" s="1"/>
  <c r="F17" i="9"/>
  <c r="F16" i="9"/>
  <c r="N16" i="9" s="1"/>
  <c r="O16" i="9" s="1"/>
  <c r="P16" i="9" s="1"/>
  <c r="R16" i="9" s="1"/>
  <c r="F15" i="9"/>
  <c r="N15" i="9" s="1"/>
  <c r="F14" i="9"/>
  <c r="N14" i="9" s="1"/>
  <c r="O14" i="9" s="1"/>
  <c r="P14" i="9" s="1"/>
  <c r="R14" i="9" s="1"/>
  <c r="F13" i="9"/>
  <c r="F12" i="9"/>
  <c r="N12" i="9" s="1"/>
  <c r="O12" i="9" s="1"/>
  <c r="P12" i="9" s="1"/>
  <c r="R12" i="9" s="1"/>
  <c r="F11" i="9"/>
  <c r="N11" i="9" s="1"/>
  <c r="F10" i="9"/>
  <c r="N10" i="9" s="1"/>
  <c r="O10" i="9" s="1"/>
  <c r="P10" i="9" s="1"/>
  <c r="R10" i="9" s="1"/>
  <c r="E12" i="8"/>
  <c r="D6" i="10" s="1"/>
  <c r="L11" i="8"/>
  <c r="I11" i="8"/>
  <c r="F11" i="8"/>
  <c r="N11" i="8" s="1"/>
  <c r="L10" i="8"/>
  <c r="I10" i="8"/>
  <c r="F10" i="8"/>
  <c r="N10" i="8" s="1"/>
  <c r="L9" i="8"/>
  <c r="I9" i="8"/>
  <c r="F9" i="8"/>
  <c r="N9" i="8" s="1"/>
  <c r="L9" i="9"/>
  <c r="I9" i="9"/>
  <c r="F9" i="9"/>
  <c r="N9" i="9" s="1"/>
  <c r="L8" i="9"/>
  <c r="I8" i="9"/>
  <c r="F8" i="9"/>
  <c r="N8" i="9" s="1"/>
  <c r="L7" i="9"/>
  <c r="I7" i="9"/>
  <c r="F7" i="9"/>
  <c r="N7" i="9" s="1"/>
  <c r="L6" i="9"/>
  <c r="I6" i="9"/>
  <c r="F6" i="9"/>
  <c r="N6" i="9" s="1"/>
  <c r="L5" i="9"/>
  <c r="I5" i="9"/>
  <c r="F5" i="9"/>
  <c r="N5" i="9" s="1"/>
  <c r="L4" i="9"/>
  <c r="I4" i="9"/>
  <c r="F4" i="9"/>
  <c r="N4" i="9" s="1"/>
  <c r="L3" i="9"/>
  <c r="I3" i="9"/>
  <c r="F3" i="9"/>
  <c r="F18" i="9" s="1"/>
  <c r="E7" i="10" s="1"/>
  <c r="L8" i="8"/>
  <c r="I8" i="8"/>
  <c r="F8" i="8"/>
  <c r="N8" i="8" s="1"/>
  <c r="L7" i="8"/>
  <c r="I7" i="8"/>
  <c r="F7" i="8"/>
  <c r="N7" i="8" s="1"/>
  <c r="L6" i="8"/>
  <c r="I6" i="8"/>
  <c r="F6" i="8"/>
  <c r="N6" i="8" s="1"/>
  <c r="L5" i="8"/>
  <c r="I5" i="8"/>
  <c r="F5" i="8"/>
  <c r="N5" i="8" s="1"/>
  <c r="L4" i="8"/>
  <c r="I4" i="8"/>
  <c r="F4" i="8"/>
  <c r="N4" i="8" s="1"/>
  <c r="L3" i="8"/>
  <c r="I3" i="8"/>
  <c r="F3" i="8"/>
  <c r="N6" i="7"/>
  <c r="L9" i="7"/>
  <c r="L8" i="7"/>
  <c r="L7" i="7"/>
  <c r="L6" i="7"/>
  <c r="L5" i="7"/>
  <c r="L4" i="7"/>
  <c r="I9" i="7"/>
  <c r="I8" i="7"/>
  <c r="I7" i="7"/>
  <c r="I6" i="7"/>
  <c r="I5" i="7"/>
  <c r="I4" i="7"/>
  <c r="I3" i="7"/>
  <c r="F9" i="7"/>
  <c r="N9" i="7" s="1"/>
  <c r="O9" i="7" s="1"/>
  <c r="P9" i="7" s="1"/>
  <c r="R9" i="7" s="1"/>
  <c r="F8" i="7"/>
  <c r="N8" i="7" s="1"/>
  <c r="F7" i="7"/>
  <c r="N7" i="7" s="1"/>
  <c r="O7" i="7" s="1"/>
  <c r="P7" i="7" s="1"/>
  <c r="R7" i="7" s="1"/>
  <c r="F6" i="7"/>
  <c r="F5" i="7"/>
  <c r="N5" i="7" s="1"/>
  <c r="O5" i="7" s="1"/>
  <c r="P5" i="7" s="1"/>
  <c r="R5" i="7" s="1"/>
  <c r="F4" i="7"/>
  <c r="N4" i="7" s="1"/>
  <c r="F3" i="7"/>
  <c r="L3" i="7"/>
  <c r="H6" i="12" l="1"/>
  <c r="D4" i="10" s="1"/>
  <c r="N3" i="9"/>
  <c r="I6" i="12"/>
  <c r="E4" i="10" s="1"/>
  <c r="R4" i="12"/>
  <c r="S4" i="12" s="1"/>
  <c r="U4" i="12" s="1"/>
  <c r="R5" i="12"/>
  <c r="S5" i="12" s="1"/>
  <c r="U5" i="12" s="1"/>
  <c r="Q3" i="12"/>
  <c r="O11" i="9"/>
  <c r="P11" i="9" s="1"/>
  <c r="R11" i="9" s="1"/>
  <c r="O13" i="9"/>
  <c r="P13" i="9" s="1"/>
  <c r="R13" i="9" s="1"/>
  <c r="O15" i="9"/>
  <c r="P15" i="9" s="1"/>
  <c r="R15" i="9" s="1"/>
  <c r="O17" i="9"/>
  <c r="P17" i="9" s="1"/>
  <c r="R17" i="9" s="1"/>
  <c r="N18" i="9"/>
  <c r="F7" i="10" s="1"/>
  <c r="O6" i="7"/>
  <c r="P6" i="7" s="1"/>
  <c r="R6" i="7" s="1"/>
  <c r="O4" i="7"/>
  <c r="P4" i="7" s="1"/>
  <c r="R4" i="7" s="1"/>
  <c r="O8" i="7"/>
  <c r="P8" i="7" s="1"/>
  <c r="R8" i="7" s="1"/>
  <c r="F12" i="8"/>
  <c r="E6" i="10" s="1"/>
  <c r="O9" i="8"/>
  <c r="P9" i="8" s="1"/>
  <c r="R9" i="8" s="1"/>
  <c r="O11" i="8"/>
  <c r="P11" i="8" s="1"/>
  <c r="R11" i="8" s="1"/>
  <c r="O10" i="8"/>
  <c r="P10" i="8" s="1"/>
  <c r="R10" i="8" s="1"/>
  <c r="O6" i="8"/>
  <c r="P6" i="8" s="1"/>
  <c r="R6" i="8" s="1"/>
  <c r="N3" i="8"/>
  <c r="O6" i="9"/>
  <c r="P6" i="9" s="1"/>
  <c r="R6" i="9" s="1"/>
  <c r="O7" i="9"/>
  <c r="P7" i="9" s="1"/>
  <c r="R7" i="9" s="1"/>
  <c r="O5" i="9"/>
  <c r="P5" i="9" s="1"/>
  <c r="R5" i="9" s="1"/>
  <c r="O9" i="9"/>
  <c r="P9" i="9" s="1"/>
  <c r="R9" i="9" s="1"/>
  <c r="O3" i="9"/>
  <c r="P3" i="9" s="1"/>
  <c r="O4" i="9"/>
  <c r="P4" i="9" s="1"/>
  <c r="R4" i="9" s="1"/>
  <c r="O8" i="9"/>
  <c r="P8" i="9" s="1"/>
  <c r="R8" i="9" s="1"/>
  <c r="O7" i="8"/>
  <c r="P7" i="8" s="1"/>
  <c r="R7" i="8" s="1"/>
  <c r="O5" i="8"/>
  <c r="P5" i="8" s="1"/>
  <c r="R5" i="8" s="1"/>
  <c r="O4" i="8"/>
  <c r="P4" i="8" s="1"/>
  <c r="R4" i="8" s="1"/>
  <c r="O8" i="8"/>
  <c r="P8" i="8" s="1"/>
  <c r="R8" i="8" s="1"/>
  <c r="F10" i="7"/>
  <c r="E5" i="10" s="1"/>
  <c r="N3" i="7"/>
  <c r="N10" i="7" s="1"/>
  <c r="F5" i="10" s="1"/>
  <c r="E10" i="7"/>
  <c r="D5" i="10" s="1"/>
  <c r="E8" i="10" l="1"/>
  <c r="E13" i="10" s="1"/>
  <c r="D8" i="10"/>
  <c r="D13" i="10" s="1"/>
  <c r="Q6" i="12"/>
  <c r="F4" i="10" s="1"/>
  <c r="R3" i="12"/>
  <c r="S3" i="12" s="1"/>
  <c r="O3" i="8"/>
  <c r="P3" i="8" s="1"/>
  <c r="P12" i="8" s="1"/>
  <c r="N12" i="8"/>
  <c r="F6" i="10" s="1"/>
  <c r="P18" i="9"/>
  <c r="R3" i="9"/>
  <c r="O3" i="7"/>
  <c r="P3" i="7" s="1"/>
  <c r="P10" i="7" s="1"/>
  <c r="R3" i="8" l="1"/>
  <c r="R12" i="8" s="1"/>
  <c r="G6" i="10" s="1"/>
  <c r="F8" i="10"/>
  <c r="F10" i="10" s="1"/>
  <c r="F11" i="10" s="1"/>
  <c r="U3" i="12"/>
  <c r="S6" i="12"/>
  <c r="U3" i="9"/>
  <c r="R18" i="9"/>
  <c r="G7" i="10" s="1"/>
  <c r="S3" i="9"/>
  <c r="R3" i="7"/>
  <c r="S3" i="7" s="1"/>
  <c r="U3" i="8" l="1"/>
  <c r="S3" i="8"/>
  <c r="U6" i="12"/>
  <c r="G4" i="10" s="1"/>
  <c r="V3" i="12"/>
  <c r="X3" i="12"/>
  <c r="R10" i="7"/>
  <c r="G5" i="10" s="1"/>
  <c r="U3" i="7"/>
  <c r="G8" i="10" l="1"/>
  <c r="C8" i="13" s="1"/>
  <c r="C9" i="13" s="1"/>
</calcChain>
</file>

<file path=xl/sharedStrings.xml><?xml version="1.0" encoding="utf-8"?>
<sst xmlns="http://schemas.openxmlformats.org/spreadsheetml/2006/main" count="182" uniqueCount="68">
  <si>
    <t>Floor</t>
  </si>
  <si>
    <t>Year of Construction</t>
  </si>
  <si>
    <t>Type of Structure</t>
  </si>
  <si>
    <t>Salvage value</t>
  </si>
  <si>
    <t>TOTAL</t>
  </si>
  <si>
    <t>Depreciation Rate</t>
  </si>
  <si>
    <t>Discounting Factor</t>
  </si>
  <si>
    <t>Remarks:</t>
  </si>
  <si>
    <t xml:space="preserve"> RCC frame structure with  brick wall </t>
  </si>
  <si>
    <t>Gross Replacement Value</t>
  </si>
  <si>
    <t>Depreciation</t>
  </si>
  <si>
    <t>Depreciated Value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</si>
  <si>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</si>
  <si>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</si>
  <si>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</si>
  <si>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</si>
  <si>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</si>
  <si>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</si>
  <si>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</si>
  <si>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1. All the details pertaining to the building area statement such as area, floor, etc. has been taken on the basis of the documents provided to us.</t>
  </si>
  <si>
    <t>3. The valuation is done by considering the Depreciated Replacement Cost Approach.</t>
  </si>
  <si>
    <t>S. No.</t>
  </si>
  <si>
    <t>U. Ground</t>
  </si>
  <si>
    <t>First</t>
  </si>
  <si>
    <t>Second</t>
  </si>
  <si>
    <t>Third</t>
  </si>
  <si>
    <t>Fourth</t>
  </si>
  <si>
    <t>Fifth</t>
  </si>
  <si>
    <t>Ground</t>
  </si>
  <si>
    <t>4. All the buildings are situated at DLF Cybercity, Gurugram, Haryana.</t>
  </si>
  <si>
    <t>Sixth</t>
  </si>
  <si>
    <t>Seventh</t>
  </si>
  <si>
    <t>Eighth</t>
  </si>
  <si>
    <t>Tenth</t>
  </si>
  <si>
    <t>Eleventh</t>
  </si>
  <si>
    <t>Nineth</t>
  </si>
  <si>
    <t>Twelfth</t>
  </si>
  <si>
    <t>Fourteenth</t>
  </si>
  <si>
    <t>Fifteenth</t>
  </si>
  <si>
    <t>Block</t>
  </si>
  <si>
    <t>A</t>
  </si>
  <si>
    <t>B</t>
  </si>
  <si>
    <t>C</t>
  </si>
  <si>
    <t>Total Area
(sq.mtr.)</t>
  </si>
  <si>
    <t>Total Area
(sq.ft.)</t>
  </si>
  <si>
    <t>Total</t>
  </si>
  <si>
    <t>Gross Replacement Value
(INR)</t>
  </si>
  <si>
    <t>Depreciated Replacement Market Value
(INR)</t>
  </si>
  <si>
    <t>Basement under Building-8</t>
  </si>
  <si>
    <t>Level-1</t>
  </si>
  <si>
    <t>Level-2</t>
  </si>
  <si>
    <t>Level-3</t>
  </si>
  <si>
    <t>A-Block</t>
  </si>
  <si>
    <t>B-Block</t>
  </si>
  <si>
    <t>C-Block</t>
  </si>
  <si>
    <t>Total Area
(in sq.mtr.)</t>
  </si>
  <si>
    <t>Total Area
(in sq.ft.)</t>
  </si>
  <si>
    <t>Basement</t>
  </si>
  <si>
    <t>Area</t>
  </si>
  <si>
    <t>Rate</t>
  </si>
  <si>
    <t>per sq.yds.</t>
  </si>
  <si>
    <t>Value</t>
  </si>
  <si>
    <t>Acres</t>
  </si>
  <si>
    <t>sq.yds.</t>
  </si>
  <si>
    <t>per sq.ft.</t>
  </si>
  <si>
    <t>Guideline Rate</t>
  </si>
  <si>
    <t>Building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</si>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</sst>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3" applyNumberFormat="1" applyFont="1" applyAlignment="1">
      <alignment horizontal="center"/>
    </xf>
    <xf numFmtId="0" fontId="0" fillId="0" borderId="0" xfId="0" applyAlignment="1">
      <alignment horizontal="center" vertical="center"/>
    </xf>
    <xf numFmtId="167" fontId="0" fillId="0" borderId="0" xfId="0" applyNumberFormat="1"/>
    <xf numFmtId="164" fontId="2" fillId="0" borderId="1" xfId="3" applyNumberFormat="1" applyFont="1" applyBorder="1" applyAlignment="1">
      <alignment horizontal="left" vertical="center"/>
    </xf>
    <xf numFmtId="164" fontId="0" fillId="0" borderId="0" xfId="3" applyNumberFormat="1" applyFont="1"/>
    <xf numFmtId="164" fontId="0" fillId="0" borderId="1" xfId="3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0" fillId="0" borderId="0" xfId="3" applyFont="1"/>
    <xf numFmtId="43" fontId="2" fillId="0" borderId="1" xfId="3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1" fontId="0" fillId="0" borderId="0" xfId="0" applyNumberFormat="1"/>
    <xf numFmtId="43" fontId="0" fillId="0" borderId="1" xfId="3" applyFont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43" fontId="2" fillId="0" borderId="1" xfId="3" applyFont="1" applyBorder="1" applyAlignment="1">
      <alignment horizontal="center" vertical="center"/>
    </xf>
    <xf numFmtId="164" fontId="2" fillId="0" borderId="0" xfId="3" applyNumberFormat="1" applyFont="1"/>
    <xf numFmtId="164" fontId="2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6EA0-5D62-4813-9C59-5F0B7125DE2A}">
  <dimension ref="B2:Y12"/>
  <sheetViews>
    <sheetView zoomScale="85" zoomScaleNormal="85" zoomScaleSheetLayoutView="85" workbookViewId="0">
      <selection activeCell="E15" sqref="E15"/>
    </sheetView>
  </sheetViews>
  <sheetFormatPr defaultRowHeight="15" x14ac:dyDescent="0.25"/>
  <cols>
    <col min="1" max="1" width="5.140625" customWidth="1"/>
    <col min="2" max="2" width="6.5703125" customWidth="1"/>
    <col min="3" max="3" width="11.140625" style="11" customWidth="1"/>
    <col min="4" max="4" width="20.42578125" style="11" customWidth="1"/>
    <col min="5" max="6" width="9.28515625" style="11" bestFit="1" customWidth="1"/>
    <col min="7" max="7" width="10.28515625" style="11" bestFit="1" customWidth="1"/>
    <col min="8" max="8" width="10.85546875" style="11" bestFit="1" customWidth="1"/>
    <col min="9" max="9" width="10.42578125" style="13" bestFit="1" customWidth="1"/>
    <col min="10" max="10" width="8.85546875" customWidth="1"/>
    <col min="11" max="11" width="12.28515625" bestFit="1" customWidth="1"/>
    <col min="12" max="12" width="12" bestFit="1" customWidth="1"/>
    <col min="13" max="13" width="11.140625" customWidth="1"/>
    <col min="14" max="14" width="7.7109375" hidden="1" customWidth="1"/>
    <col min="15" max="15" width="16.28515625" hidden="1" customWidth="1"/>
    <col min="16" max="16" width="12.85546875" customWidth="1"/>
    <col min="17" max="17" width="16" bestFit="1" customWidth="1"/>
    <col min="18" max="18" width="13.42578125" hidden="1" customWidth="1"/>
    <col min="19" max="19" width="16.140625" hidden="1" customWidth="1"/>
    <col min="20" max="20" width="11.42578125" hidden="1" customWidth="1"/>
    <col min="21" max="21" width="15.42578125" style="12" bestFit="1" customWidth="1"/>
    <col min="22" max="22" width="17" bestFit="1" customWidth="1"/>
    <col min="23" max="23" width="16.42578125" bestFit="1" customWidth="1"/>
    <col min="24" max="25" width="15.42578125" bestFit="1" customWidth="1"/>
  </cols>
  <sheetData>
    <row r="2" spans="2:25" s="9" customFormat="1" ht="60" x14ac:dyDescent="0.25">
      <c r="B2" s="24" t="s">
        <v>21</v>
      </c>
      <c r="C2" s="25" t="s">
        <v>48</v>
      </c>
      <c r="D2" s="25" t="s">
        <v>2</v>
      </c>
      <c r="E2" s="25" t="s">
        <v>52</v>
      </c>
      <c r="F2" s="25" t="s">
        <v>53</v>
      </c>
      <c r="G2" s="25" t="s">
        <v>54</v>
      </c>
      <c r="H2" s="25" t="s">
        <v>55</v>
      </c>
      <c r="I2" s="26" t="s">
        <v>56</v>
      </c>
      <c r="J2" s="25" t="s">
        <v>15</v>
      </c>
      <c r="K2" s="25" t="s">
        <v>1</v>
      </c>
      <c r="L2" s="25" t="s">
        <v>16</v>
      </c>
      <c r="M2" s="25" t="s">
        <v>17</v>
      </c>
      <c r="N2" s="28" t="s">
        <v>3</v>
      </c>
      <c r="O2" s="28" t="s">
        <v>5</v>
      </c>
      <c r="P2" s="25" t="s">
        <v>18</v>
      </c>
      <c r="Q2" s="25" t="s">
        <v>9</v>
      </c>
      <c r="R2" s="28" t="s">
        <v>10</v>
      </c>
      <c r="S2" s="28" t="s">
        <v>11</v>
      </c>
      <c r="T2" s="28" t="s">
        <v>6</v>
      </c>
      <c r="U2" s="25" t="s">
        <v>12</v>
      </c>
    </row>
    <row r="3" spans="2:25" ht="30" x14ac:dyDescent="0.25">
      <c r="B3" s="2">
        <v>1</v>
      </c>
      <c r="C3" s="10" t="s">
        <v>49</v>
      </c>
      <c r="D3" s="10" t="s">
        <v>8</v>
      </c>
      <c r="E3" s="32">
        <v>5601.7169999999996</v>
      </c>
      <c r="F3" s="32">
        <v>2639.7750000000001</v>
      </c>
      <c r="G3" s="32">
        <v>20096.441999999999</v>
      </c>
      <c r="H3" s="33">
        <f>SUM(E3:G3)</f>
        <v>28337.934000000001</v>
      </c>
      <c r="I3" s="18">
        <f>H3*10.7639</f>
        <v>305026.6877826</v>
      </c>
      <c r="J3" s="7">
        <v>12</v>
      </c>
      <c r="K3" s="2">
        <v>2007</v>
      </c>
      <c r="L3" s="2">
        <f>2023-K3</f>
        <v>16</v>
      </c>
      <c r="M3" s="2">
        <v>60</v>
      </c>
      <c r="N3" s="3">
        <v>0.1</v>
      </c>
      <c r="O3" s="4">
        <f>(1-N3)/M3</f>
        <v>1.5000000000000001E-2</v>
      </c>
      <c r="P3" s="19">
        <v>2600</v>
      </c>
      <c r="Q3" s="19">
        <f>P3*I3</f>
        <v>793069388.23476005</v>
      </c>
      <c r="R3" s="19">
        <f t="shared" ref="R3:R5" si="0">Q3*O3*L3</f>
        <v>190336653.17634243</v>
      </c>
      <c r="S3" s="19">
        <f t="shared" ref="S3:S5" si="1">MAX(Q3-R3,0)</f>
        <v>602732735.05841756</v>
      </c>
      <c r="T3" s="20">
        <v>0</v>
      </c>
      <c r="U3" s="19">
        <f t="shared" ref="U3:U5" si="2">IF(S3&gt;N3*Q3,S3*(1-T3),Q3*N3)</f>
        <v>602732735.05841756</v>
      </c>
      <c r="V3" s="8">
        <f>U3/I3</f>
        <v>1975.9999999999998</v>
      </c>
      <c r="W3" s="1"/>
      <c r="X3" s="22">
        <f>U3/Q3</f>
        <v>0.7599999999999999</v>
      </c>
    </row>
    <row r="4" spans="2:25" ht="30" x14ac:dyDescent="0.25">
      <c r="B4" s="2">
        <v>2</v>
      </c>
      <c r="C4" s="10" t="s">
        <v>50</v>
      </c>
      <c r="D4" s="10" t="s">
        <v>8</v>
      </c>
      <c r="E4" s="32">
        <v>0</v>
      </c>
      <c r="F4" s="32">
        <v>0</v>
      </c>
      <c r="G4" s="32">
        <v>8374.0319999999992</v>
      </c>
      <c r="H4" s="33">
        <f>SUM(G4)</f>
        <v>8374.0319999999992</v>
      </c>
      <c r="I4" s="18">
        <f t="shared" ref="I4:I5" si="3">H4*10.7639</f>
        <v>90137.243044799994</v>
      </c>
      <c r="J4" s="7">
        <v>12</v>
      </c>
      <c r="K4" s="2">
        <v>2007</v>
      </c>
      <c r="L4" s="2">
        <f t="shared" ref="L4:L5" si="4">2023-K4</f>
        <v>16</v>
      </c>
      <c r="M4" s="2">
        <v>60</v>
      </c>
      <c r="N4" s="3">
        <v>0.1</v>
      </c>
      <c r="O4" s="4">
        <f t="shared" ref="O4:O5" si="5">(1-N4)/M4</f>
        <v>1.5000000000000001E-2</v>
      </c>
      <c r="P4" s="19">
        <v>2600</v>
      </c>
      <c r="Q4" s="19">
        <f t="shared" ref="Q4:Q5" si="6">P4*I4</f>
        <v>234356831.91647997</v>
      </c>
      <c r="R4" s="19">
        <f t="shared" si="0"/>
        <v>56245639.659955196</v>
      </c>
      <c r="S4" s="19">
        <f t="shared" si="1"/>
        <v>178111192.25652477</v>
      </c>
      <c r="T4" s="20">
        <v>0</v>
      </c>
      <c r="U4" s="19">
        <f t="shared" si="2"/>
        <v>178111192.25652477</v>
      </c>
      <c r="V4" s="8"/>
      <c r="W4" s="1"/>
      <c r="X4" s="22"/>
    </row>
    <row r="5" spans="2:25" ht="30" x14ac:dyDescent="0.25">
      <c r="B5" s="2">
        <v>3</v>
      </c>
      <c r="C5" s="10" t="s">
        <v>51</v>
      </c>
      <c r="D5" s="10" t="s">
        <v>8</v>
      </c>
      <c r="E5" s="32">
        <v>0</v>
      </c>
      <c r="F5" s="32">
        <v>0</v>
      </c>
      <c r="G5" s="32">
        <v>9391.8829999999998</v>
      </c>
      <c r="H5" s="33">
        <f>SUM(H3:H4)</f>
        <v>36711.966</v>
      </c>
      <c r="I5" s="18">
        <f t="shared" si="3"/>
        <v>395163.93082740001</v>
      </c>
      <c r="J5" s="7">
        <v>12</v>
      </c>
      <c r="K5" s="2">
        <v>2007</v>
      </c>
      <c r="L5" s="2">
        <f t="shared" si="4"/>
        <v>16</v>
      </c>
      <c r="M5" s="2">
        <v>60</v>
      </c>
      <c r="N5" s="3">
        <v>0.1</v>
      </c>
      <c r="O5" s="4">
        <f t="shared" si="5"/>
        <v>1.5000000000000001E-2</v>
      </c>
      <c r="P5" s="19">
        <v>2600</v>
      </c>
      <c r="Q5" s="19">
        <f t="shared" si="6"/>
        <v>1027426220.15124</v>
      </c>
      <c r="R5" s="19">
        <f t="shared" si="0"/>
        <v>246582292.83629763</v>
      </c>
      <c r="S5" s="19">
        <f t="shared" si="1"/>
        <v>780843927.31494236</v>
      </c>
      <c r="T5" s="20">
        <v>0</v>
      </c>
      <c r="U5" s="19">
        <f t="shared" si="2"/>
        <v>780843927.31494236</v>
      </c>
      <c r="V5" s="8"/>
      <c r="W5" s="1"/>
      <c r="X5" s="22"/>
    </row>
    <row r="6" spans="2:25" x14ac:dyDescent="0.25">
      <c r="B6" s="40" t="s">
        <v>4</v>
      </c>
      <c r="C6" s="40"/>
      <c r="D6" s="40"/>
      <c r="E6" s="34">
        <f>SUM(E3:E5)</f>
        <v>5601.7169999999996</v>
      </c>
      <c r="F6" s="34">
        <f>SUM(F3:F5)</f>
        <v>2639.7750000000001</v>
      </c>
      <c r="G6" s="34">
        <f>SUM(G3:G5)</f>
        <v>37862.356999999996</v>
      </c>
      <c r="H6" s="23">
        <f>SUM(E6:G6)</f>
        <v>46103.848999999995</v>
      </c>
      <c r="I6" s="16">
        <f>SUM(I3:I5)</f>
        <v>790327.86165480001</v>
      </c>
      <c r="J6" s="6"/>
      <c r="K6" s="27"/>
      <c r="L6" s="27"/>
      <c r="M6" s="27"/>
      <c r="N6" s="27"/>
      <c r="O6" s="27"/>
      <c r="P6" s="27"/>
      <c r="Q6" s="5">
        <f>SUM(Q3:Q5)</f>
        <v>2054852440.30248</v>
      </c>
      <c r="R6" s="5"/>
      <c r="S6" s="5">
        <f>SUM(S3:S5)</f>
        <v>1561687854.6298847</v>
      </c>
      <c r="T6" s="5"/>
      <c r="U6" s="5">
        <f>SUM(U3:U5)</f>
        <v>1561687854.6298847</v>
      </c>
      <c r="V6" s="8"/>
    </row>
    <row r="7" spans="2:25" x14ac:dyDescent="0.25">
      <c r="B7" s="41" t="s">
        <v>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8"/>
    </row>
    <row r="8" spans="2:25" ht="15" customHeight="1" x14ac:dyDescent="0.25">
      <c r="B8" s="42" t="s">
        <v>19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8"/>
    </row>
    <row r="9" spans="2:25" x14ac:dyDescent="0.25">
      <c r="B9" s="41" t="s">
        <v>20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8"/>
      <c r="W9" s="15"/>
      <c r="Y9" s="17"/>
    </row>
    <row r="10" spans="2:25" x14ac:dyDescent="0.25">
      <c r="B10" s="41" t="s">
        <v>29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8"/>
      <c r="Y10" s="1"/>
    </row>
    <row r="12" spans="2:25" x14ac:dyDescent="0.25">
      <c r="W12" s="31">
        <v>33105.599999999999</v>
      </c>
    </row>
  </sheetData>
  <mergeCells count="5">
    <mergeCell ref="B6:D6"/>
    <mergeCell ref="B7:U7"/>
    <mergeCell ref="B8:U8"/>
    <mergeCell ref="B9:U9"/>
    <mergeCell ref="B10:U10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4CDCD-FC61-4961-943E-5F6FF7CE944E}">
  <dimension ref="B2:V16"/>
  <sheetViews>
    <sheetView zoomScale="85" zoomScaleNormal="85" zoomScaleSheetLayoutView="85" workbookViewId="0">
      <selection activeCell="F16" sqref="F16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1" customWidth="1"/>
    <col min="4" max="4" width="20.42578125" style="11" customWidth="1"/>
    <col min="5" max="5" width="10.85546875" style="11" bestFit="1" customWidth="1"/>
    <col min="6" max="6" width="8.85546875" style="13" customWidth="1"/>
    <col min="7" max="7" width="8.85546875" customWidth="1"/>
    <col min="8" max="8" width="12.28515625" bestFit="1" customWidth="1"/>
    <col min="9" max="9" width="12" bestFit="1" customWidth="1"/>
    <col min="10" max="10" width="11.140625" customWidth="1"/>
    <col min="11" max="11" width="7.7109375" hidden="1" customWidth="1"/>
    <col min="12" max="12" width="16.28515625" hidden="1" customWidth="1"/>
    <col min="13" max="13" width="12.85546875" customWidth="1"/>
    <col min="14" max="14" width="16" bestFit="1" customWidth="1"/>
    <col min="15" max="15" width="13.42578125" hidden="1" customWidth="1"/>
    <col min="16" max="16" width="16.140625" hidden="1" customWidth="1"/>
    <col min="17" max="17" width="11.42578125" hidden="1" customWidth="1"/>
    <col min="18" max="18" width="15.42578125" style="12" bestFit="1" customWidth="1"/>
    <col min="19" max="19" width="17" bestFit="1" customWidth="1"/>
    <col min="20" max="20" width="16.42578125" bestFit="1" customWidth="1"/>
    <col min="21" max="22" width="15.42578125" bestFit="1" customWidth="1"/>
  </cols>
  <sheetData>
    <row r="2" spans="2:22" s="9" customFormat="1" ht="60" x14ac:dyDescent="0.25">
      <c r="B2" s="24" t="s">
        <v>21</v>
      </c>
      <c r="C2" s="25" t="s">
        <v>0</v>
      </c>
      <c r="D2" s="25" t="s">
        <v>2</v>
      </c>
      <c r="E2" s="25" t="s">
        <v>13</v>
      </c>
      <c r="F2" s="26" t="s">
        <v>14</v>
      </c>
      <c r="G2" s="25" t="s">
        <v>15</v>
      </c>
      <c r="H2" s="25" t="s">
        <v>1</v>
      </c>
      <c r="I2" s="25" t="s">
        <v>16</v>
      </c>
      <c r="J2" s="25" t="s">
        <v>17</v>
      </c>
      <c r="K2" s="28" t="s">
        <v>3</v>
      </c>
      <c r="L2" s="28" t="s">
        <v>5</v>
      </c>
      <c r="M2" s="25" t="s">
        <v>18</v>
      </c>
      <c r="N2" s="25" t="s">
        <v>9</v>
      </c>
      <c r="O2" s="28" t="s">
        <v>10</v>
      </c>
      <c r="P2" s="28" t="s">
        <v>11</v>
      </c>
      <c r="Q2" s="28" t="s">
        <v>6</v>
      </c>
      <c r="R2" s="25" t="s">
        <v>12</v>
      </c>
    </row>
    <row r="3" spans="2:22" ht="30" x14ac:dyDescent="0.25">
      <c r="B3" s="2">
        <v>1</v>
      </c>
      <c r="C3" s="10" t="s">
        <v>22</v>
      </c>
      <c r="D3" s="10" t="s">
        <v>8</v>
      </c>
      <c r="E3" s="21">
        <v>1829.5840000000001</v>
      </c>
      <c r="F3" s="18">
        <f>E3*10.7639</f>
        <v>19693.459217600001</v>
      </c>
      <c r="G3" s="7">
        <v>12</v>
      </c>
      <c r="H3" s="2">
        <v>2007</v>
      </c>
      <c r="I3" s="2">
        <f>2023-H3</f>
        <v>16</v>
      </c>
      <c r="J3" s="2">
        <v>60</v>
      </c>
      <c r="K3" s="3">
        <v>0.1</v>
      </c>
      <c r="L3" s="4">
        <f>(1-K3)/J3</f>
        <v>1.5000000000000001E-2</v>
      </c>
      <c r="M3" s="19">
        <v>2400</v>
      </c>
      <c r="N3" s="19">
        <f>M3*F3</f>
        <v>47264302.122239999</v>
      </c>
      <c r="O3" s="19">
        <f t="shared" ref="O3" si="0">N3*L3*I3</f>
        <v>11343432.5093376</v>
      </c>
      <c r="P3" s="19">
        <f t="shared" ref="P3" si="1">MAX(N3-O3,0)</f>
        <v>35920869.612902403</v>
      </c>
      <c r="Q3" s="20">
        <v>0</v>
      </c>
      <c r="R3" s="19">
        <f t="shared" ref="R3" si="2">IF(P3&gt;K3*N3,P3*(1-Q3),N3*K3)</f>
        <v>35920869.612902403</v>
      </c>
      <c r="S3" s="8">
        <f>R3/F3</f>
        <v>1824</v>
      </c>
      <c r="T3" s="1"/>
      <c r="U3" s="22">
        <f>R3/N3</f>
        <v>0.76000000000000012</v>
      </c>
    </row>
    <row r="4" spans="2:22" ht="30" x14ac:dyDescent="0.25">
      <c r="B4" s="2">
        <v>2</v>
      </c>
      <c r="C4" s="10" t="s">
        <v>28</v>
      </c>
      <c r="D4" s="10" t="s">
        <v>8</v>
      </c>
      <c r="E4" s="21">
        <v>1574.5709999999999</v>
      </c>
      <c r="F4" s="18">
        <f t="shared" ref="F4:F9" si="3">E4*10.7639</f>
        <v>16948.524786899998</v>
      </c>
      <c r="G4" s="7">
        <v>12</v>
      </c>
      <c r="H4" s="2">
        <v>2007</v>
      </c>
      <c r="I4" s="2">
        <f t="shared" ref="I4:I9" si="4">2023-H4</f>
        <v>16</v>
      </c>
      <c r="J4" s="2">
        <v>60</v>
      </c>
      <c r="K4" s="3">
        <v>0.1</v>
      </c>
      <c r="L4" s="4">
        <f t="shared" ref="L4:L9" si="5">(1-K4)/J4</f>
        <v>1.5000000000000001E-2</v>
      </c>
      <c r="M4" s="19">
        <v>2400</v>
      </c>
      <c r="N4" s="19">
        <f t="shared" ref="N4:N9" si="6">M4*F4</f>
        <v>40676459.488559991</v>
      </c>
      <c r="O4" s="19">
        <f t="shared" ref="O4:O9" si="7">N4*L4*I4</f>
        <v>9762350.2772543989</v>
      </c>
      <c r="P4" s="19">
        <f t="shared" ref="P4:P9" si="8">MAX(N4-O4,0)</f>
        <v>30914109.211305592</v>
      </c>
      <c r="Q4" s="20">
        <v>0</v>
      </c>
      <c r="R4" s="19">
        <f t="shared" ref="R4:R9" si="9">IF(P4&gt;K4*N4,P4*(1-Q4),N4*K4)</f>
        <v>30914109.211305592</v>
      </c>
      <c r="S4" s="8"/>
      <c r="T4" s="1"/>
      <c r="U4" s="22"/>
    </row>
    <row r="5" spans="2:22" ht="30" x14ac:dyDescent="0.25">
      <c r="B5" s="2">
        <v>3</v>
      </c>
      <c r="C5" s="10" t="s">
        <v>23</v>
      </c>
      <c r="D5" s="10" t="s">
        <v>8</v>
      </c>
      <c r="E5" s="21">
        <v>3810.3809999999999</v>
      </c>
      <c r="F5" s="18">
        <f t="shared" si="3"/>
        <v>41014.560045899998</v>
      </c>
      <c r="G5" s="7">
        <v>12</v>
      </c>
      <c r="H5" s="2">
        <v>2007</v>
      </c>
      <c r="I5" s="2">
        <f t="shared" si="4"/>
        <v>16</v>
      </c>
      <c r="J5" s="2">
        <v>60</v>
      </c>
      <c r="K5" s="3">
        <v>0.1</v>
      </c>
      <c r="L5" s="4">
        <f t="shared" si="5"/>
        <v>1.5000000000000001E-2</v>
      </c>
      <c r="M5" s="19">
        <v>2400</v>
      </c>
      <c r="N5" s="19">
        <f t="shared" si="6"/>
        <v>98434944.110159993</v>
      </c>
      <c r="O5" s="19">
        <f t="shared" si="7"/>
        <v>23624386.586438399</v>
      </c>
      <c r="P5" s="19">
        <f t="shared" si="8"/>
        <v>74810557.523721591</v>
      </c>
      <c r="Q5" s="20">
        <v>0</v>
      </c>
      <c r="R5" s="19">
        <f t="shared" si="9"/>
        <v>74810557.523721591</v>
      </c>
      <c r="S5" s="8"/>
      <c r="T5" s="1"/>
      <c r="U5" s="22"/>
    </row>
    <row r="6" spans="2:22" ht="30" x14ac:dyDescent="0.25">
      <c r="B6" s="2">
        <v>4</v>
      </c>
      <c r="C6" s="10" t="s">
        <v>24</v>
      </c>
      <c r="D6" s="10" t="s">
        <v>8</v>
      </c>
      <c r="E6" s="21">
        <v>3813.28</v>
      </c>
      <c r="F6" s="18">
        <f t="shared" si="3"/>
        <v>41045.764592</v>
      </c>
      <c r="G6" s="7">
        <v>12</v>
      </c>
      <c r="H6" s="2">
        <v>2007</v>
      </c>
      <c r="I6" s="2">
        <f t="shared" si="4"/>
        <v>16</v>
      </c>
      <c r="J6" s="2">
        <v>60</v>
      </c>
      <c r="K6" s="3">
        <v>0.1</v>
      </c>
      <c r="L6" s="4">
        <f t="shared" si="5"/>
        <v>1.5000000000000001E-2</v>
      </c>
      <c r="M6" s="19">
        <v>2400</v>
      </c>
      <c r="N6" s="19">
        <f t="shared" si="6"/>
        <v>98509835.020799994</v>
      </c>
      <c r="O6" s="19">
        <f t="shared" si="7"/>
        <v>23642360.404991999</v>
      </c>
      <c r="P6" s="19">
        <f t="shared" si="8"/>
        <v>74867474.615807995</v>
      </c>
      <c r="Q6" s="20">
        <v>0</v>
      </c>
      <c r="R6" s="19">
        <f t="shared" si="9"/>
        <v>74867474.615807995</v>
      </c>
      <c r="S6" s="8"/>
      <c r="T6" s="1"/>
      <c r="U6" s="22"/>
    </row>
    <row r="7" spans="2:22" ht="30" x14ac:dyDescent="0.25">
      <c r="B7" s="2">
        <v>5</v>
      </c>
      <c r="C7" s="10" t="s">
        <v>25</v>
      </c>
      <c r="D7" s="10" t="s">
        <v>8</v>
      </c>
      <c r="E7" s="21">
        <v>3969.3180000000002</v>
      </c>
      <c r="F7" s="18">
        <f t="shared" si="3"/>
        <v>42725.342020199998</v>
      </c>
      <c r="G7" s="7">
        <v>12</v>
      </c>
      <c r="H7" s="2">
        <v>2007</v>
      </c>
      <c r="I7" s="2">
        <f t="shared" si="4"/>
        <v>16</v>
      </c>
      <c r="J7" s="2">
        <v>60</v>
      </c>
      <c r="K7" s="3">
        <v>0.1</v>
      </c>
      <c r="L7" s="4">
        <f t="shared" si="5"/>
        <v>1.5000000000000001E-2</v>
      </c>
      <c r="M7" s="19">
        <v>2400</v>
      </c>
      <c r="N7" s="19">
        <f t="shared" si="6"/>
        <v>102540820.84848</v>
      </c>
      <c r="O7" s="19">
        <f t="shared" si="7"/>
        <v>24609797.003635202</v>
      </c>
      <c r="P7" s="19">
        <f t="shared" si="8"/>
        <v>77931023.844844803</v>
      </c>
      <c r="Q7" s="20">
        <v>0</v>
      </c>
      <c r="R7" s="19">
        <f t="shared" si="9"/>
        <v>77931023.844844803</v>
      </c>
      <c r="S7" s="8"/>
      <c r="T7" s="1"/>
      <c r="U7" s="22"/>
    </row>
    <row r="8" spans="2:22" ht="30" x14ac:dyDescent="0.25">
      <c r="B8" s="2">
        <v>6</v>
      </c>
      <c r="C8" s="10" t="s">
        <v>26</v>
      </c>
      <c r="D8" s="10" t="s">
        <v>8</v>
      </c>
      <c r="E8" s="21">
        <v>3972.7020000000002</v>
      </c>
      <c r="F8" s="18">
        <f t="shared" si="3"/>
        <v>42761.767057800003</v>
      </c>
      <c r="G8" s="7">
        <v>12</v>
      </c>
      <c r="H8" s="2">
        <v>2007</v>
      </c>
      <c r="I8" s="2">
        <f t="shared" si="4"/>
        <v>16</v>
      </c>
      <c r="J8" s="2">
        <v>60</v>
      </c>
      <c r="K8" s="3">
        <v>0.1</v>
      </c>
      <c r="L8" s="4">
        <f t="shared" si="5"/>
        <v>1.5000000000000001E-2</v>
      </c>
      <c r="M8" s="19">
        <v>2400</v>
      </c>
      <c r="N8" s="19">
        <f t="shared" si="6"/>
        <v>102628240.93872</v>
      </c>
      <c r="O8" s="19">
        <f t="shared" si="7"/>
        <v>24630777.825292803</v>
      </c>
      <c r="P8" s="19">
        <f t="shared" si="8"/>
        <v>77997463.113427192</v>
      </c>
      <c r="Q8" s="20">
        <v>0</v>
      </c>
      <c r="R8" s="19">
        <f t="shared" si="9"/>
        <v>77997463.113427192</v>
      </c>
      <c r="S8" s="8"/>
      <c r="T8" s="1"/>
      <c r="U8" s="22"/>
    </row>
    <row r="9" spans="2:22" ht="30" x14ac:dyDescent="0.25">
      <c r="B9" s="2">
        <v>7</v>
      </c>
      <c r="C9" s="10" t="s">
        <v>27</v>
      </c>
      <c r="D9" s="10" t="s">
        <v>8</v>
      </c>
      <c r="E9" s="21">
        <v>3975.009</v>
      </c>
      <c r="F9" s="18">
        <f t="shared" si="3"/>
        <v>42786.599375099999</v>
      </c>
      <c r="G9" s="7">
        <v>12</v>
      </c>
      <c r="H9" s="2">
        <v>2007</v>
      </c>
      <c r="I9" s="2">
        <f t="shared" si="4"/>
        <v>16</v>
      </c>
      <c r="J9" s="2">
        <v>60</v>
      </c>
      <c r="K9" s="3">
        <v>0.1</v>
      </c>
      <c r="L9" s="4">
        <f t="shared" si="5"/>
        <v>1.5000000000000001E-2</v>
      </c>
      <c r="M9" s="19">
        <v>2400</v>
      </c>
      <c r="N9" s="19">
        <f t="shared" si="6"/>
        <v>102687838.50024</v>
      </c>
      <c r="O9" s="19">
        <f t="shared" si="7"/>
        <v>24645081.240057603</v>
      </c>
      <c r="P9" s="19">
        <f t="shared" si="8"/>
        <v>78042757.260182396</v>
      </c>
      <c r="Q9" s="20">
        <v>0</v>
      </c>
      <c r="R9" s="19">
        <f t="shared" si="9"/>
        <v>78042757.260182396</v>
      </c>
      <c r="S9" s="8"/>
      <c r="T9" s="1"/>
      <c r="U9" s="22"/>
    </row>
    <row r="10" spans="2:22" x14ac:dyDescent="0.25">
      <c r="B10" s="40" t="s">
        <v>4</v>
      </c>
      <c r="C10" s="40"/>
      <c r="D10" s="40"/>
      <c r="E10" s="23">
        <f>SUM(E3:E9)</f>
        <v>22944.845000000001</v>
      </c>
      <c r="F10" s="16">
        <f>SUM(F3:F9)</f>
        <v>246976.01709549999</v>
      </c>
      <c r="G10" s="6"/>
      <c r="H10" s="27"/>
      <c r="I10" s="27"/>
      <c r="J10" s="27"/>
      <c r="K10" s="27"/>
      <c r="L10" s="27"/>
      <c r="M10" s="27"/>
      <c r="N10" s="5">
        <f>SUM(N3:N9)</f>
        <v>592742441.02919996</v>
      </c>
      <c r="O10" s="5"/>
      <c r="P10" s="5">
        <f>SUM(P3:P9)</f>
        <v>450484255.18219197</v>
      </c>
      <c r="Q10" s="5"/>
      <c r="R10" s="5">
        <f>SUM(R3:R9)</f>
        <v>450484255.18219197</v>
      </c>
      <c r="S10" s="8"/>
    </row>
    <row r="11" spans="2:22" x14ac:dyDescent="0.25">
      <c r="B11" s="41" t="s">
        <v>7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8"/>
    </row>
    <row r="12" spans="2:22" ht="15" customHeight="1" x14ac:dyDescent="0.25">
      <c r="B12" s="42" t="s">
        <v>19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8"/>
    </row>
    <row r="13" spans="2:22" x14ac:dyDescent="0.25">
      <c r="B13" s="41" t="s">
        <v>20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8"/>
      <c r="T13" s="15"/>
      <c r="V13" s="17"/>
    </row>
    <row r="14" spans="2:22" x14ac:dyDescent="0.25">
      <c r="B14" s="41" t="s">
        <v>29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8"/>
      <c r="V14" s="1"/>
    </row>
    <row r="16" spans="2:22" x14ac:dyDescent="0.25">
      <c r="T16" s="31">
        <v>33105.599999999999</v>
      </c>
    </row>
  </sheetData>
  <mergeCells count="5">
    <mergeCell ref="B10:D10"/>
    <mergeCell ref="B11:R11"/>
    <mergeCell ref="B12:R12"/>
    <mergeCell ref="B13:R13"/>
    <mergeCell ref="B14:R14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4E58-88F0-4D3E-8320-BF5F94DB074C}">
  <dimension ref="B2:V16"/>
  <sheetViews>
    <sheetView topLeftCell="B1" zoomScale="85" zoomScaleNormal="85" zoomScaleSheetLayoutView="85" workbookViewId="0">
      <selection activeCell="H18" sqref="H18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1" customWidth="1"/>
    <col min="4" max="4" width="20.42578125" style="11" customWidth="1"/>
    <col min="5" max="5" width="10.85546875" style="11" bestFit="1" customWidth="1"/>
    <col min="6" max="6" width="8.85546875" style="13" customWidth="1"/>
    <col min="7" max="7" width="8.85546875" customWidth="1"/>
    <col min="8" max="8" width="12.28515625" bestFit="1" customWidth="1"/>
    <col min="9" max="9" width="12" bestFit="1" customWidth="1"/>
    <col min="10" max="10" width="11.140625" customWidth="1"/>
    <col min="11" max="11" width="7.7109375" hidden="1" customWidth="1"/>
    <col min="12" max="12" width="16.28515625" hidden="1" customWidth="1"/>
    <col min="13" max="13" width="12.85546875" customWidth="1"/>
    <col min="14" max="14" width="16" bestFit="1" customWidth="1"/>
    <col min="15" max="15" width="13.42578125" hidden="1" customWidth="1"/>
    <col min="16" max="16" width="16.140625" hidden="1" customWidth="1"/>
    <col min="17" max="17" width="11.42578125" hidden="1" customWidth="1"/>
    <col min="18" max="18" width="15.42578125" style="12" bestFit="1" customWidth="1"/>
    <col min="19" max="19" width="17" bestFit="1" customWidth="1"/>
    <col min="20" max="20" width="16.42578125" bestFit="1" customWidth="1"/>
    <col min="21" max="22" width="15.42578125" bestFit="1" customWidth="1"/>
  </cols>
  <sheetData>
    <row r="2" spans="2:22" s="9" customFormat="1" ht="60" x14ac:dyDescent="0.25">
      <c r="B2" s="24" t="s">
        <v>21</v>
      </c>
      <c r="C2" s="25" t="s">
        <v>0</v>
      </c>
      <c r="D2" s="25" t="s">
        <v>2</v>
      </c>
      <c r="E2" s="25" t="s">
        <v>13</v>
      </c>
      <c r="F2" s="26" t="s">
        <v>14</v>
      </c>
      <c r="G2" s="25" t="s">
        <v>15</v>
      </c>
      <c r="H2" s="25" t="s">
        <v>1</v>
      </c>
      <c r="I2" s="25" t="s">
        <v>16</v>
      </c>
      <c r="J2" s="25" t="s">
        <v>17</v>
      </c>
      <c r="K2" s="28" t="s">
        <v>3</v>
      </c>
      <c r="L2" s="28" t="s">
        <v>5</v>
      </c>
      <c r="M2" s="25" t="s">
        <v>18</v>
      </c>
      <c r="N2" s="25" t="s">
        <v>9</v>
      </c>
      <c r="O2" s="28" t="s">
        <v>10</v>
      </c>
      <c r="P2" s="28" t="s">
        <v>11</v>
      </c>
      <c r="Q2" s="28" t="s">
        <v>6</v>
      </c>
      <c r="R2" s="25" t="s">
        <v>12</v>
      </c>
    </row>
    <row r="3" spans="2:22" ht="30" x14ac:dyDescent="0.25">
      <c r="B3" s="2">
        <v>1</v>
      </c>
      <c r="C3" s="10" t="s">
        <v>22</v>
      </c>
      <c r="D3" s="10" t="s">
        <v>8</v>
      </c>
      <c r="E3" s="21">
        <v>3402.8870000000002</v>
      </c>
      <c r="F3" s="18">
        <f>E3*10.7639</f>
        <v>36628.335379299999</v>
      </c>
      <c r="G3" s="7">
        <v>12</v>
      </c>
      <c r="H3" s="2">
        <v>2007</v>
      </c>
      <c r="I3" s="2">
        <f>2023-H3</f>
        <v>16</v>
      </c>
      <c r="J3" s="2">
        <v>60</v>
      </c>
      <c r="K3" s="3">
        <v>0.1</v>
      </c>
      <c r="L3" s="4">
        <f>(1-K3)/J3</f>
        <v>1.5000000000000001E-2</v>
      </c>
      <c r="M3" s="19">
        <v>2400</v>
      </c>
      <c r="N3" s="19">
        <f>M3*F3</f>
        <v>87908004.910319999</v>
      </c>
      <c r="O3" s="19">
        <f t="shared" ref="O3:O8" si="0">N3*L3*I3</f>
        <v>21097921.178476803</v>
      </c>
      <c r="P3" s="19">
        <f t="shared" ref="P3:P8" si="1">MAX(N3-O3,0)</f>
        <v>66810083.731843196</v>
      </c>
      <c r="Q3" s="20">
        <v>0</v>
      </c>
      <c r="R3" s="19">
        <f t="shared" ref="R3:R8" si="2">IF(P3&gt;K3*N3,P3*(1-Q3),N3*K3)</f>
        <v>66810083.731843196</v>
      </c>
      <c r="S3" s="8">
        <f>R3/F3</f>
        <v>1824</v>
      </c>
      <c r="T3" s="1"/>
      <c r="U3" s="22">
        <f>R3/N3</f>
        <v>0.76</v>
      </c>
    </row>
    <row r="4" spans="2:22" ht="30" x14ac:dyDescent="0.25">
      <c r="B4" s="2">
        <v>2</v>
      </c>
      <c r="C4" s="10" t="s">
        <v>23</v>
      </c>
      <c r="D4" s="10" t="s">
        <v>8</v>
      </c>
      <c r="E4" s="21">
        <v>3743.0549999999998</v>
      </c>
      <c r="F4" s="18">
        <f t="shared" ref="F4:F11" si="3">E4*10.7639</f>
        <v>40289.869714499997</v>
      </c>
      <c r="G4" s="7">
        <v>12</v>
      </c>
      <c r="H4" s="2">
        <v>2007</v>
      </c>
      <c r="I4" s="2">
        <f t="shared" ref="I4:I11" si="4">2023-H4</f>
        <v>16</v>
      </c>
      <c r="J4" s="2">
        <v>60</v>
      </c>
      <c r="K4" s="3">
        <v>0.1</v>
      </c>
      <c r="L4" s="4">
        <f t="shared" ref="L4:L8" si="5">(1-K4)/J4</f>
        <v>1.5000000000000001E-2</v>
      </c>
      <c r="M4" s="19">
        <v>2400</v>
      </c>
      <c r="N4" s="19">
        <f t="shared" ref="N4:N8" si="6">M4*F4</f>
        <v>96695687.314799994</v>
      </c>
      <c r="O4" s="19">
        <f t="shared" si="0"/>
        <v>23206964.955552001</v>
      </c>
      <c r="P4" s="19">
        <f t="shared" si="1"/>
        <v>73488722.359247997</v>
      </c>
      <c r="Q4" s="20">
        <v>0</v>
      </c>
      <c r="R4" s="19">
        <f t="shared" si="2"/>
        <v>73488722.359247997</v>
      </c>
      <c r="S4" s="8"/>
      <c r="T4" s="1"/>
      <c r="U4" s="22"/>
    </row>
    <row r="5" spans="2:22" ht="30" x14ac:dyDescent="0.25">
      <c r="B5" s="2">
        <v>3</v>
      </c>
      <c r="C5" s="10" t="s">
        <v>24</v>
      </c>
      <c r="D5" s="10" t="s">
        <v>8</v>
      </c>
      <c r="E5" s="21">
        <v>3743.0610000000001</v>
      </c>
      <c r="F5" s="18">
        <f t="shared" si="3"/>
        <v>40289.934297899999</v>
      </c>
      <c r="G5" s="7">
        <v>12</v>
      </c>
      <c r="H5" s="2">
        <v>2007</v>
      </c>
      <c r="I5" s="2">
        <f t="shared" si="4"/>
        <v>16</v>
      </c>
      <c r="J5" s="2">
        <v>60</v>
      </c>
      <c r="K5" s="3">
        <v>0.1</v>
      </c>
      <c r="L5" s="4">
        <f t="shared" si="5"/>
        <v>1.5000000000000001E-2</v>
      </c>
      <c r="M5" s="19">
        <v>2400</v>
      </c>
      <c r="N5" s="19">
        <f t="shared" si="6"/>
        <v>96695842.314960003</v>
      </c>
      <c r="O5" s="19">
        <f t="shared" si="0"/>
        <v>23207002.155590404</v>
      </c>
      <c r="P5" s="19">
        <f t="shared" si="1"/>
        <v>73488840.159369603</v>
      </c>
      <c r="Q5" s="20">
        <v>0</v>
      </c>
      <c r="R5" s="19">
        <f t="shared" si="2"/>
        <v>73488840.159369603</v>
      </c>
      <c r="S5" s="8"/>
      <c r="T5" s="1"/>
      <c r="U5" s="22"/>
    </row>
    <row r="6" spans="2:22" ht="30" x14ac:dyDescent="0.25">
      <c r="B6" s="2">
        <v>4</v>
      </c>
      <c r="C6" s="10" t="s">
        <v>25</v>
      </c>
      <c r="D6" s="10" t="s">
        <v>8</v>
      </c>
      <c r="E6" s="21">
        <v>3921.2130000000002</v>
      </c>
      <c r="F6" s="18">
        <f t="shared" si="3"/>
        <v>42207.544610700003</v>
      </c>
      <c r="G6" s="7">
        <v>12</v>
      </c>
      <c r="H6" s="2">
        <v>2007</v>
      </c>
      <c r="I6" s="2">
        <f t="shared" si="4"/>
        <v>16</v>
      </c>
      <c r="J6" s="2">
        <v>60</v>
      </c>
      <c r="K6" s="3">
        <v>0.1</v>
      </c>
      <c r="L6" s="4">
        <f t="shared" si="5"/>
        <v>1.5000000000000001E-2</v>
      </c>
      <c r="M6" s="19">
        <v>2400</v>
      </c>
      <c r="N6" s="19">
        <f t="shared" si="6"/>
        <v>101298107.06568001</v>
      </c>
      <c r="O6" s="19">
        <f t="shared" si="0"/>
        <v>24311545.695763204</v>
      </c>
      <c r="P6" s="19">
        <f t="shared" si="1"/>
        <v>76986561.369916812</v>
      </c>
      <c r="Q6" s="20">
        <v>0</v>
      </c>
      <c r="R6" s="19">
        <f t="shared" si="2"/>
        <v>76986561.369916812</v>
      </c>
      <c r="S6" s="8"/>
      <c r="T6" s="1"/>
      <c r="U6" s="22"/>
    </row>
    <row r="7" spans="2:22" ht="30" x14ac:dyDescent="0.25">
      <c r="B7" s="2">
        <v>5</v>
      </c>
      <c r="C7" s="10" t="s">
        <v>26</v>
      </c>
      <c r="D7" s="10" t="s">
        <v>8</v>
      </c>
      <c r="E7" s="21">
        <v>3924.3020000000001</v>
      </c>
      <c r="F7" s="18">
        <f t="shared" si="3"/>
        <v>42240.794297799999</v>
      </c>
      <c r="G7" s="7">
        <v>12</v>
      </c>
      <c r="H7" s="2">
        <v>2007</v>
      </c>
      <c r="I7" s="2">
        <f t="shared" si="4"/>
        <v>16</v>
      </c>
      <c r="J7" s="2">
        <v>60</v>
      </c>
      <c r="K7" s="3">
        <v>0.1</v>
      </c>
      <c r="L7" s="4">
        <f t="shared" si="5"/>
        <v>1.5000000000000001E-2</v>
      </c>
      <c r="M7" s="19">
        <v>2400</v>
      </c>
      <c r="N7" s="19">
        <f t="shared" si="6"/>
        <v>101377906.31472</v>
      </c>
      <c r="O7" s="19">
        <f t="shared" si="0"/>
        <v>24330697.515532803</v>
      </c>
      <c r="P7" s="19">
        <f t="shared" si="1"/>
        <v>77047208.799187198</v>
      </c>
      <c r="Q7" s="20">
        <v>0</v>
      </c>
      <c r="R7" s="19">
        <f t="shared" si="2"/>
        <v>77047208.799187198</v>
      </c>
      <c r="S7" s="8"/>
      <c r="T7" s="1"/>
      <c r="U7" s="22"/>
    </row>
    <row r="8" spans="2:22" ht="30" x14ac:dyDescent="0.25">
      <c r="B8" s="2">
        <v>6</v>
      </c>
      <c r="C8" s="10" t="s">
        <v>27</v>
      </c>
      <c r="D8" s="10" t="s">
        <v>8</v>
      </c>
      <c r="E8" s="21">
        <v>3927.3870000000002</v>
      </c>
      <c r="F8" s="18">
        <f t="shared" si="3"/>
        <v>42274.000929299997</v>
      </c>
      <c r="G8" s="7">
        <v>12</v>
      </c>
      <c r="H8" s="2">
        <v>2007</v>
      </c>
      <c r="I8" s="2">
        <f t="shared" si="4"/>
        <v>16</v>
      </c>
      <c r="J8" s="2">
        <v>60</v>
      </c>
      <c r="K8" s="3">
        <v>0.1</v>
      </c>
      <c r="L8" s="4">
        <f t="shared" si="5"/>
        <v>1.5000000000000001E-2</v>
      </c>
      <c r="M8" s="19">
        <v>2400</v>
      </c>
      <c r="N8" s="19">
        <f t="shared" si="6"/>
        <v>101457602.23031999</v>
      </c>
      <c r="O8" s="19">
        <f t="shared" si="0"/>
        <v>24349824.5352768</v>
      </c>
      <c r="P8" s="19">
        <f t="shared" si="1"/>
        <v>77107777.695043191</v>
      </c>
      <c r="Q8" s="20">
        <v>0</v>
      </c>
      <c r="R8" s="19">
        <f t="shared" si="2"/>
        <v>77107777.695043191</v>
      </c>
      <c r="S8" s="8"/>
      <c r="T8" s="1"/>
      <c r="U8" s="22"/>
    </row>
    <row r="9" spans="2:22" ht="30" x14ac:dyDescent="0.25">
      <c r="B9" s="2">
        <v>7</v>
      </c>
      <c r="C9" s="10" t="s">
        <v>30</v>
      </c>
      <c r="D9" s="10" t="s">
        <v>8</v>
      </c>
      <c r="E9" s="21">
        <v>3930.4659999999999</v>
      </c>
      <c r="F9" s="18">
        <f t="shared" si="3"/>
        <v>42307.142977399999</v>
      </c>
      <c r="G9" s="7">
        <v>12</v>
      </c>
      <c r="H9" s="2">
        <v>2007</v>
      </c>
      <c r="I9" s="2">
        <f t="shared" si="4"/>
        <v>16</v>
      </c>
      <c r="J9" s="2">
        <v>60</v>
      </c>
      <c r="K9" s="3">
        <v>0.1</v>
      </c>
      <c r="L9" s="4">
        <f t="shared" ref="L9:L11" si="7">(1-K9)/J9</f>
        <v>1.5000000000000001E-2</v>
      </c>
      <c r="M9" s="19">
        <v>2400</v>
      </c>
      <c r="N9" s="19">
        <f t="shared" ref="N9:N11" si="8">M9*F9</f>
        <v>101537143.14576</v>
      </c>
      <c r="O9" s="19">
        <f t="shared" ref="O9:O11" si="9">N9*L9*I9</f>
        <v>24368914.354982402</v>
      </c>
      <c r="P9" s="19">
        <f t="shared" ref="P9:P11" si="10">MAX(N9-O9,0)</f>
        <v>77168228.790777594</v>
      </c>
      <c r="Q9" s="20">
        <v>0</v>
      </c>
      <c r="R9" s="19">
        <f t="shared" ref="R9:R11" si="11">IF(P9&gt;K9*N9,P9*(1-Q9),N9*K9)</f>
        <v>77168228.790777594</v>
      </c>
      <c r="S9" s="8"/>
      <c r="T9" s="1"/>
      <c r="U9" s="22"/>
    </row>
    <row r="10" spans="2:22" ht="30" x14ac:dyDescent="0.25">
      <c r="B10" s="2">
        <v>8</v>
      </c>
      <c r="C10" s="10" t="s">
        <v>31</v>
      </c>
      <c r="D10" s="10" t="s">
        <v>8</v>
      </c>
      <c r="E10" s="21">
        <v>3933.556</v>
      </c>
      <c r="F10" s="18">
        <f t="shared" si="3"/>
        <v>42340.403428400001</v>
      </c>
      <c r="G10" s="7">
        <v>12</v>
      </c>
      <c r="H10" s="2">
        <v>2007</v>
      </c>
      <c r="I10" s="2">
        <f t="shared" si="4"/>
        <v>16</v>
      </c>
      <c r="J10" s="2">
        <v>60</v>
      </c>
      <c r="K10" s="3">
        <v>0.1</v>
      </c>
      <c r="L10" s="4">
        <f t="shared" si="7"/>
        <v>1.5000000000000001E-2</v>
      </c>
      <c r="M10" s="19">
        <v>2400</v>
      </c>
      <c r="N10" s="19">
        <f t="shared" si="8"/>
        <v>101616968.22816001</v>
      </c>
      <c r="O10" s="19">
        <f t="shared" si="9"/>
        <v>24388072.374758404</v>
      </c>
      <c r="P10" s="19">
        <f t="shared" si="10"/>
        <v>77228895.853401601</v>
      </c>
      <c r="Q10" s="20">
        <v>0</v>
      </c>
      <c r="R10" s="19">
        <f t="shared" si="11"/>
        <v>77228895.853401601</v>
      </c>
      <c r="S10" s="8"/>
      <c r="T10" s="1"/>
      <c r="U10" s="22"/>
    </row>
    <row r="11" spans="2:22" ht="30" x14ac:dyDescent="0.25">
      <c r="B11" s="2">
        <v>9</v>
      </c>
      <c r="C11" s="10" t="s">
        <v>32</v>
      </c>
      <c r="D11" s="10" t="s">
        <v>8</v>
      </c>
      <c r="E11" s="21">
        <v>3936.6370000000002</v>
      </c>
      <c r="F11" s="18">
        <f t="shared" si="3"/>
        <v>42373.567004299999</v>
      </c>
      <c r="G11" s="7">
        <v>12</v>
      </c>
      <c r="H11" s="2">
        <v>2007</v>
      </c>
      <c r="I11" s="2">
        <f t="shared" si="4"/>
        <v>16</v>
      </c>
      <c r="J11" s="2">
        <v>60</v>
      </c>
      <c r="K11" s="3">
        <v>0.1</v>
      </c>
      <c r="L11" s="4">
        <f t="shared" si="7"/>
        <v>1.5000000000000001E-2</v>
      </c>
      <c r="M11" s="19">
        <v>2400</v>
      </c>
      <c r="N11" s="19">
        <f t="shared" si="8"/>
        <v>101696560.81032</v>
      </c>
      <c r="O11" s="19">
        <f t="shared" si="9"/>
        <v>24407174.594476804</v>
      </c>
      <c r="P11" s="19">
        <f t="shared" si="10"/>
        <v>77289386.215843201</v>
      </c>
      <c r="Q11" s="20">
        <v>0</v>
      </c>
      <c r="R11" s="19">
        <f t="shared" si="11"/>
        <v>77289386.215843201</v>
      </c>
      <c r="S11" s="8"/>
      <c r="T11" s="1"/>
      <c r="U11" s="22"/>
    </row>
    <row r="12" spans="2:22" x14ac:dyDescent="0.25">
      <c r="B12" s="40" t="s">
        <v>4</v>
      </c>
      <c r="C12" s="40"/>
      <c r="D12" s="40"/>
      <c r="E12" s="23">
        <f>SUM(E3:E11)</f>
        <v>34462.563999999998</v>
      </c>
      <c r="F12" s="16">
        <f>SUM(F3:F11)</f>
        <v>370951.59263960004</v>
      </c>
      <c r="G12" s="6"/>
      <c r="H12" s="27"/>
      <c r="I12" s="27"/>
      <c r="J12" s="27"/>
      <c r="K12" s="27"/>
      <c r="L12" s="27"/>
      <c r="M12" s="27"/>
      <c r="N12" s="5">
        <f>SUM(N3:N11)</f>
        <v>890283822.33504009</v>
      </c>
      <c r="O12" s="5"/>
      <c r="P12" s="5">
        <f>SUM(P3:P8)</f>
        <v>444929194.11460799</v>
      </c>
      <c r="Q12" s="5"/>
      <c r="R12" s="5">
        <f>SUM(R3:R11)</f>
        <v>676615704.97463036</v>
      </c>
      <c r="S12" s="8"/>
    </row>
    <row r="13" spans="2:22" x14ac:dyDescent="0.25">
      <c r="B13" s="41" t="s">
        <v>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8"/>
    </row>
    <row r="14" spans="2:22" ht="15" customHeight="1" x14ac:dyDescent="0.25">
      <c r="B14" s="42" t="s">
        <v>19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8"/>
    </row>
    <row r="15" spans="2:22" x14ac:dyDescent="0.25">
      <c r="B15" s="41" t="s">
        <v>20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8"/>
      <c r="T15" s="15"/>
      <c r="V15" s="17"/>
    </row>
    <row r="16" spans="2:22" x14ac:dyDescent="0.25">
      <c r="B16" s="41" t="s">
        <v>29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8"/>
      <c r="V16" s="1"/>
    </row>
  </sheetData>
  <mergeCells count="5">
    <mergeCell ref="B12:D12"/>
    <mergeCell ref="B13:R13"/>
    <mergeCell ref="B14:R14"/>
    <mergeCell ref="B15:R15"/>
    <mergeCell ref="B16:R16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165F5-87A3-4562-A4FD-5BAA5BA17C62}">
  <dimension ref="B2:V22"/>
  <sheetViews>
    <sheetView topLeftCell="A4" zoomScale="85" zoomScaleNormal="85" zoomScaleSheetLayoutView="85" workbookViewId="0">
      <selection activeCell="I24" sqref="I24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1" customWidth="1"/>
    <col min="4" max="4" width="20.42578125" style="11" customWidth="1"/>
    <col min="5" max="5" width="10.85546875" style="11" bestFit="1" customWidth="1"/>
    <col min="6" max="6" width="8.85546875" style="13" customWidth="1"/>
    <col min="7" max="7" width="8.85546875" customWidth="1"/>
    <col min="8" max="8" width="12.28515625" bestFit="1" customWidth="1"/>
    <col min="9" max="9" width="12" bestFit="1" customWidth="1"/>
    <col min="10" max="10" width="11.140625" customWidth="1"/>
    <col min="11" max="11" width="7.7109375" hidden="1" customWidth="1"/>
    <col min="12" max="12" width="16.28515625" hidden="1" customWidth="1"/>
    <col min="13" max="13" width="12.85546875" customWidth="1"/>
    <col min="14" max="14" width="16" bestFit="1" customWidth="1"/>
    <col min="15" max="15" width="13.42578125" hidden="1" customWidth="1"/>
    <col min="16" max="16" width="16.140625" hidden="1" customWidth="1"/>
    <col min="17" max="17" width="11.42578125" hidden="1" customWidth="1"/>
    <col min="18" max="18" width="15.42578125" style="12" bestFit="1" customWidth="1"/>
    <col min="19" max="19" width="17" bestFit="1" customWidth="1"/>
    <col min="20" max="20" width="16.42578125" bestFit="1" customWidth="1"/>
    <col min="21" max="22" width="15.42578125" bestFit="1" customWidth="1"/>
  </cols>
  <sheetData>
    <row r="2" spans="2:21" s="9" customFormat="1" ht="60" x14ac:dyDescent="0.25">
      <c r="B2" s="24" t="s">
        <v>21</v>
      </c>
      <c r="C2" s="25" t="s">
        <v>0</v>
      </c>
      <c r="D2" s="25" t="s">
        <v>2</v>
      </c>
      <c r="E2" s="25" t="s">
        <v>13</v>
      </c>
      <c r="F2" s="26" t="s">
        <v>14</v>
      </c>
      <c r="G2" s="25" t="s">
        <v>15</v>
      </c>
      <c r="H2" s="25" t="s">
        <v>1</v>
      </c>
      <c r="I2" s="25" t="s">
        <v>16</v>
      </c>
      <c r="J2" s="25" t="s">
        <v>17</v>
      </c>
      <c r="K2" s="28" t="s">
        <v>3</v>
      </c>
      <c r="L2" s="28" t="s">
        <v>5</v>
      </c>
      <c r="M2" s="25" t="s">
        <v>18</v>
      </c>
      <c r="N2" s="25" t="s">
        <v>9</v>
      </c>
      <c r="O2" s="28" t="s">
        <v>10</v>
      </c>
      <c r="P2" s="28" t="s">
        <v>11</v>
      </c>
      <c r="Q2" s="28" t="s">
        <v>6</v>
      </c>
      <c r="R2" s="25" t="s">
        <v>12</v>
      </c>
    </row>
    <row r="3" spans="2:21" ht="30" x14ac:dyDescent="0.25">
      <c r="B3" s="2">
        <v>1</v>
      </c>
      <c r="C3" s="10" t="s">
        <v>22</v>
      </c>
      <c r="D3" s="10" t="s">
        <v>8</v>
      </c>
      <c r="E3" s="21">
        <v>3299.2249999999999</v>
      </c>
      <c r="F3" s="18">
        <f>E3*10.7639</f>
        <v>35512.527977499994</v>
      </c>
      <c r="G3" s="7">
        <v>12</v>
      </c>
      <c r="H3" s="2">
        <v>2007</v>
      </c>
      <c r="I3" s="2">
        <f>2023-H3</f>
        <v>16</v>
      </c>
      <c r="J3" s="2">
        <v>60</v>
      </c>
      <c r="K3" s="3">
        <v>0.1</v>
      </c>
      <c r="L3" s="4">
        <f>(1-K3)/J3</f>
        <v>1.5000000000000001E-2</v>
      </c>
      <c r="M3" s="19">
        <v>2400</v>
      </c>
      <c r="N3" s="19">
        <f>M3*F3</f>
        <v>85230067.145999983</v>
      </c>
      <c r="O3" s="19">
        <f t="shared" ref="O3:O9" si="0">N3*L3*I3</f>
        <v>20455216.115039997</v>
      </c>
      <c r="P3" s="19">
        <f t="shared" ref="P3:P9" si="1">MAX(N3-O3,0)</f>
        <v>64774851.030959986</v>
      </c>
      <c r="Q3" s="20">
        <v>0</v>
      </c>
      <c r="R3" s="19">
        <f t="shared" ref="R3:R9" si="2">IF(P3&gt;K3*N3,P3*(1-Q3),N3*K3)</f>
        <v>64774851.030959986</v>
      </c>
      <c r="S3" s="8">
        <f>R3/F3</f>
        <v>1824</v>
      </c>
      <c r="T3" s="1"/>
      <c r="U3" s="22">
        <f>R3/N3</f>
        <v>0.76</v>
      </c>
    </row>
    <row r="4" spans="2:21" ht="30" x14ac:dyDescent="0.25">
      <c r="B4" s="2">
        <v>2</v>
      </c>
      <c r="C4" s="10" t="s">
        <v>23</v>
      </c>
      <c r="D4" s="10" t="s">
        <v>8</v>
      </c>
      <c r="E4" s="21">
        <v>3847.4740000000002</v>
      </c>
      <c r="F4" s="18">
        <f t="shared" ref="F4:F17" si="3">E4*10.7639</f>
        <v>41413.825388600002</v>
      </c>
      <c r="G4" s="7">
        <v>12</v>
      </c>
      <c r="H4" s="2">
        <v>2007</v>
      </c>
      <c r="I4" s="2">
        <f t="shared" ref="I4:I17" si="4">2023-H4</f>
        <v>16</v>
      </c>
      <c r="J4" s="2">
        <v>60</v>
      </c>
      <c r="K4" s="3">
        <v>0.1</v>
      </c>
      <c r="L4" s="4">
        <f t="shared" ref="L4:L9" si="5">(1-K4)/J4</f>
        <v>1.5000000000000001E-2</v>
      </c>
      <c r="M4" s="19">
        <v>2400</v>
      </c>
      <c r="N4" s="19">
        <f t="shared" ref="N4:N9" si="6">M4*F4</f>
        <v>99393180.932640001</v>
      </c>
      <c r="O4" s="19">
        <f t="shared" si="0"/>
        <v>23854363.423833601</v>
      </c>
      <c r="P4" s="19">
        <f t="shared" si="1"/>
        <v>75538817.508806407</v>
      </c>
      <c r="Q4" s="20">
        <v>0</v>
      </c>
      <c r="R4" s="19">
        <f t="shared" si="2"/>
        <v>75538817.508806407</v>
      </c>
      <c r="S4" s="8"/>
      <c r="T4" s="1"/>
      <c r="U4" s="22"/>
    </row>
    <row r="5" spans="2:21" ht="30" x14ac:dyDescent="0.25">
      <c r="B5" s="2">
        <v>3</v>
      </c>
      <c r="C5" s="10" t="s">
        <v>24</v>
      </c>
      <c r="D5" s="10" t="s">
        <v>8</v>
      </c>
      <c r="E5" s="21">
        <v>3847.4720000000002</v>
      </c>
      <c r="F5" s="18">
        <f t="shared" si="3"/>
        <v>41413.803860799999</v>
      </c>
      <c r="G5" s="7">
        <v>12</v>
      </c>
      <c r="H5" s="2">
        <v>2007</v>
      </c>
      <c r="I5" s="2">
        <f t="shared" si="4"/>
        <v>16</v>
      </c>
      <c r="J5" s="2">
        <v>60</v>
      </c>
      <c r="K5" s="3">
        <v>0.1</v>
      </c>
      <c r="L5" s="4">
        <f t="shared" si="5"/>
        <v>1.5000000000000001E-2</v>
      </c>
      <c r="M5" s="19">
        <v>2400</v>
      </c>
      <c r="N5" s="19">
        <f t="shared" si="6"/>
        <v>99393129.265919998</v>
      </c>
      <c r="O5" s="19">
        <f t="shared" si="0"/>
        <v>23854351.023820803</v>
      </c>
      <c r="P5" s="19">
        <f t="shared" si="1"/>
        <v>75538778.242099196</v>
      </c>
      <c r="Q5" s="20">
        <v>0</v>
      </c>
      <c r="R5" s="19">
        <f t="shared" si="2"/>
        <v>75538778.242099196</v>
      </c>
      <c r="S5" s="8"/>
      <c r="T5" s="1"/>
      <c r="U5" s="22"/>
    </row>
    <row r="6" spans="2:21" ht="30" x14ac:dyDescent="0.25">
      <c r="B6" s="2">
        <v>4</v>
      </c>
      <c r="C6" s="10" t="s">
        <v>25</v>
      </c>
      <c r="D6" s="10" t="s">
        <v>8</v>
      </c>
      <c r="E6" s="21">
        <v>3880.453</v>
      </c>
      <c r="F6" s="18">
        <f t="shared" si="3"/>
        <v>41768.808046699996</v>
      </c>
      <c r="G6" s="7">
        <v>12</v>
      </c>
      <c r="H6" s="2">
        <v>2007</v>
      </c>
      <c r="I6" s="2">
        <f t="shared" si="4"/>
        <v>16</v>
      </c>
      <c r="J6" s="2">
        <v>60</v>
      </c>
      <c r="K6" s="3">
        <v>0.1</v>
      </c>
      <c r="L6" s="4">
        <f t="shared" si="5"/>
        <v>1.5000000000000001E-2</v>
      </c>
      <c r="M6" s="19">
        <v>2400</v>
      </c>
      <c r="N6" s="19">
        <f t="shared" si="6"/>
        <v>100245139.31208</v>
      </c>
      <c r="O6" s="19">
        <f t="shared" si="0"/>
        <v>24058833.4348992</v>
      </c>
      <c r="P6" s="19">
        <f t="shared" si="1"/>
        <v>76186305.8771808</v>
      </c>
      <c r="Q6" s="20">
        <v>0</v>
      </c>
      <c r="R6" s="19">
        <f t="shared" si="2"/>
        <v>76186305.8771808</v>
      </c>
      <c r="S6" s="8"/>
      <c r="T6" s="1"/>
      <c r="U6" s="22"/>
    </row>
    <row r="7" spans="2:21" ht="30" x14ac:dyDescent="0.25">
      <c r="B7" s="2">
        <v>5</v>
      </c>
      <c r="C7" s="10" t="s">
        <v>26</v>
      </c>
      <c r="D7" s="10" t="s">
        <v>8</v>
      </c>
      <c r="E7" s="21">
        <v>4069.8310000000001</v>
      </c>
      <c r="F7" s="18">
        <f t="shared" si="3"/>
        <v>43807.253900900003</v>
      </c>
      <c r="G7" s="7">
        <v>12</v>
      </c>
      <c r="H7" s="2">
        <v>2007</v>
      </c>
      <c r="I7" s="2">
        <f t="shared" si="4"/>
        <v>16</v>
      </c>
      <c r="J7" s="2">
        <v>60</v>
      </c>
      <c r="K7" s="3">
        <v>0.1</v>
      </c>
      <c r="L7" s="4">
        <f t="shared" si="5"/>
        <v>1.5000000000000001E-2</v>
      </c>
      <c r="M7" s="19">
        <v>2400</v>
      </c>
      <c r="N7" s="19">
        <f t="shared" si="6"/>
        <v>105137409.36216001</v>
      </c>
      <c r="O7" s="19">
        <f t="shared" si="0"/>
        <v>25232978.246918406</v>
      </c>
      <c r="P7" s="19">
        <f t="shared" si="1"/>
        <v>79904431.115241602</v>
      </c>
      <c r="Q7" s="20">
        <v>0</v>
      </c>
      <c r="R7" s="19">
        <f t="shared" si="2"/>
        <v>79904431.115241602</v>
      </c>
      <c r="S7" s="8"/>
      <c r="T7" s="1"/>
      <c r="U7" s="22"/>
    </row>
    <row r="8" spans="2:21" ht="30" x14ac:dyDescent="0.25">
      <c r="B8" s="2">
        <v>6</v>
      </c>
      <c r="C8" s="10" t="s">
        <v>27</v>
      </c>
      <c r="D8" s="10" t="s">
        <v>8</v>
      </c>
      <c r="E8" s="21">
        <v>4076.8490000000002</v>
      </c>
      <c r="F8" s="18">
        <f t="shared" si="3"/>
        <v>43882.794951099997</v>
      </c>
      <c r="G8" s="7">
        <v>12</v>
      </c>
      <c r="H8" s="2">
        <v>2007</v>
      </c>
      <c r="I8" s="2">
        <f t="shared" si="4"/>
        <v>16</v>
      </c>
      <c r="J8" s="2">
        <v>60</v>
      </c>
      <c r="K8" s="3">
        <v>0.1</v>
      </c>
      <c r="L8" s="4">
        <f t="shared" si="5"/>
        <v>1.5000000000000001E-2</v>
      </c>
      <c r="M8" s="19">
        <v>2400</v>
      </c>
      <c r="N8" s="19">
        <f t="shared" si="6"/>
        <v>105318707.88263999</v>
      </c>
      <c r="O8" s="19">
        <f t="shared" si="0"/>
        <v>25276489.8918336</v>
      </c>
      <c r="P8" s="19">
        <f t="shared" si="1"/>
        <v>80042217.990806386</v>
      </c>
      <c r="Q8" s="20">
        <v>0</v>
      </c>
      <c r="R8" s="19">
        <f t="shared" si="2"/>
        <v>80042217.990806386</v>
      </c>
      <c r="S8" s="8"/>
      <c r="T8" s="1"/>
      <c r="U8" s="22"/>
    </row>
    <row r="9" spans="2:21" ht="30" x14ac:dyDescent="0.25">
      <c r="B9" s="2">
        <v>7</v>
      </c>
      <c r="C9" s="10" t="s">
        <v>30</v>
      </c>
      <c r="D9" s="10" t="s">
        <v>8</v>
      </c>
      <c r="E9" s="21">
        <v>4080.1179999999999</v>
      </c>
      <c r="F9" s="18">
        <f t="shared" si="3"/>
        <v>43917.982140199994</v>
      </c>
      <c r="G9" s="7">
        <v>12</v>
      </c>
      <c r="H9" s="2">
        <v>2007</v>
      </c>
      <c r="I9" s="2">
        <f t="shared" si="4"/>
        <v>16</v>
      </c>
      <c r="J9" s="2">
        <v>60</v>
      </c>
      <c r="K9" s="3">
        <v>0.1</v>
      </c>
      <c r="L9" s="4">
        <f t="shared" si="5"/>
        <v>1.5000000000000001E-2</v>
      </c>
      <c r="M9" s="19">
        <v>2400</v>
      </c>
      <c r="N9" s="19">
        <f t="shared" si="6"/>
        <v>105403157.13647999</v>
      </c>
      <c r="O9" s="19">
        <f t="shared" si="0"/>
        <v>25296757.7127552</v>
      </c>
      <c r="P9" s="19">
        <f t="shared" si="1"/>
        <v>80106399.423724785</v>
      </c>
      <c r="Q9" s="20">
        <v>0</v>
      </c>
      <c r="R9" s="19">
        <f t="shared" si="2"/>
        <v>80106399.423724785</v>
      </c>
      <c r="S9" s="8"/>
      <c r="T9" s="1"/>
      <c r="U9" s="22"/>
    </row>
    <row r="10" spans="2:21" ht="30" x14ac:dyDescent="0.25">
      <c r="B10" s="2">
        <v>8</v>
      </c>
      <c r="C10" s="10" t="s">
        <v>31</v>
      </c>
      <c r="D10" s="10" t="s">
        <v>8</v>
      </c>
      <c r="E10" s="21">
        <v>4083.4209999999998</v>
      </c>
      <c r="F10" s="18">
        <f t="shared" si="3"/>
        <v>43953.535301899996</v>
      </c>
      <c r="G10" s="7">
        <v>12</v>
      </c>
      <c r="H10" s="2">
        <v>2007</v>
      </c>
      <c r="I10" s="2">
        <f t="shared" si="4"/>
        <v>16</v>
      </c>
      <c r="J10" s="2">
        <v>60</v>
      </c>
      <c r="K10" s="3">
        <v>0.1</v>
      </c>
      <c r="L10" s="4">
        <f t="shared" ref="L10:L17" si="7">(1-K10)/J10</f>
        <v>1.5000000000000001E-2</v>
      </c>
      <c r="M10" s="19">
        <v>2400</v>
      </c>
      <c r="N10" s="19">
        <f t="shared" ref="N10:N17" si="8">M10*F10</f>
        <v>105488484.72455999</v>
      </c>
      <c r="O10" s="19">
        <f t="shared" ref="O10:O17" si="9">N10*L10*I10</f>
        <v>25317236.333894402</v>
      </c>
      <c r="P10" s="19">
        <f t="shared" ref="P10:P17" si="10">MAX(N10-O10,0)</f>
        <v>80171248.390665591</v>
      </c>
      <c r="Q10" s="20">
        <v>0</v>
      </c>
      <c r="R10" s="19">
        <f t="shared" ref="R10:R17" si="11">IF(P10&gt;K10*N10,P10*(1-Q10),N10*K10)</f>
        <v>80171248.390665591</v>
      </c>
      <c r="S10" s="8"/>
      <c r="T10" s="1"/>
      <c r="U10" s="22"/>
    </row>
    <row r="11" spans="2:21" ht="30" x14ac:dyDescent="0.25">
      <c r="B11" s="2">
        <v>9</v>
      </c>
      <c r="C11" s="10" t="s">
        <v>32</v>
      </c>
      <c r="D11" s="10" t="s">
        <v>8</v>
      </c>
      <c r="E11" s="21">
        <v>4086.67</v>
      </c>
      <c r="F11" s="18">
        <f t="shared" si="3"/>
        <v>43988.507212999997</v>
      </c>
      <c r="G11" s="7">
        <v>12</v>
      </c>
      <c r="H11" s="2">
        <v>2007</v>
      </c>
      <c r="I11" s="2">
        <f t="shared" si="4"/>
        <v>16</v>
      </c>
      <c r="J11" s="2">
        <v>60</v>
      </c>
      <c r="K11" s="3">
        <v>0.1</v>
      </c>
      <c r="L11" s="4">
        <f t="shared" si="7"/>
        <v>1.5000000000000001E-2</v>
      </c>
      <c r="M11" s="19">
        <v>2400</v>
      </c>
      <c r="N11" s="19">
        <f t="shared" si="8"/>
        <v>105572417.31119999</v>
      </c>
      <c r="O11" s="19">
        <f t="shared" si="9"/>
        <v>25337380.154688001</v>
      </c>
      <c r="P11" s="19">
        <f t="shared" si="10"/>
        <v>80235037.156511992</v>
      </c>
      <c r="Q11" s="20">
        <v>0</v>
      </c>
      <c r="R11" s="19">
        <f t="shared" si="11"/>
        <v>80235037.156511992</v>
      </c>
      <c r="S11" s="8"/>
      <c r="T11" s="1"/>
      <c r="U11" s="22"/>
    </row>
    <row r="12" spans="2:21" ht="30" x14ac:dyDescent="0.25">
      <c r="B12" s="2">
        <v>10</v>
      </c>
      <c r="C12" s="10" t="s">
        <v>35</v>
      </c>
      <c r="D12" s="10" t="s">
        <v>8</v>
      </c>
      <c r="E12" s="21">
        <v>4089.98</v>
      </c>
      <c r="F12" s="18">
        <f t="shared" si="3"/>
        <v>44024.135721999999</v>
      </c>
      <c r="G12" s="7">
        <v>12</v>
      </c>
      <c r="H12" s="2">
        <v>2007</v>
      </c>
      <c r="I12" s="2">
        <f t="shared" si="4"/>
        <v>16</v>
      </c>
      <c r="J12" s="2">
        <v>60</v>
      </c>
      <c r="K12" s="3">
        <v>0.1</v>
      </c>
      <c r="L12" s="4">
        <f t="shared" si="7"/>
        <v>1.5000000000000001E-2</v>
      </c>
      <c r="M12" s="19">
        <v>2400</v>
      </c>
      <c r="N12" s="19">
        <f t="shared" si="8"/>
        <v>105657925.73279999</v>
      </c>
      <c r="O12" s="19">
        <f t="shared" si="9"/>
        <v>25357902.175872002</v>
      </c>
      <c r="P12" s="19">
        <f t="shared" si="10"/>
        <v>80300023.556927994</v>
      </c>
      <c r="Q12" s="20">
        <v>0</v>
      </c>
      <c r="R12" s="19">
        <f t="shared" si="11"/>
        <v>80300023.556927994</v>
      </c>
      <c r="S12" s="8"/>
      <c r="T12" s="1"/>
      <c r="U12" s="22"/>
    </row>
    <row r="13" spans="2:21" ht="30" x14ac:dyDescent="0.25">
      <c r="B13" s="2">
        <v>11</v>
      </c>
      <c r="C13" s="10" t="s">
        <v>33</v>
      </c>
      <c r="D13" s="10" t="s">
        <v>8</v>
      </c>
      <c r="E13" s="21">
        <v>4093.2739999999999</v>
      </c>
      <c r="F13" s="18">
        <f t="shared" si="3"/>
        <v>44059.592008599997</v>
      </c>
      <c r="G13" s="7">
        <v>12</v>
      </c>
      <c r="H13" s="2">
        <v>2007</v>
      </c>
      <c r="I13" s="2">
        <f t="shared" si="4"/>
        <v>16</v>
      </c>
      <c r="J13" s="2">
        <v>60</v>
      </c>
      <c r="K13" s="3">
        <v>0.1</v>
      </c>
      <c r="L13" s="4">
        <f t="shared" si="7"/>
        <v>1.5000000000000001E-2</v>
      </c>
      <c r="M13" s="19">
        <v>2400</v>
      </c>
      <c r="N13" s="19">
        <f t="shared" si="8"/>
        <v>105743020.82064</v>
      </c>
      <c r="O13" s="19">
        <f t="shared" si="9"/>
        <v>25378324.996953603</v>
      </c>
      <c r="P13" s="19">
        <f t="shared" si="10"/>
        <v>80364695.823686391</v>
      </c>
      <c r="Q13" s="20">
        <v>0</v>
      </c>
      <c r="R13" s="19">
        <f t="shared" si="11"/>
        <v>80364695.823686391</v>
      </c>
      <c r="S13" s="8"/>
      <c r="T13" s="1"/>
      <c r="U13" s="22"/>
    </row>
    <row r="14" spans="2:21" ht="30" x14ac:dyDescent="0.25">
      <c r="B14" s="2">
        <v>12</v>
      </c>
      <c r="C14" s="10" t="s">
        <v>34</v>
      </c>
      <c r="D14" s="10" t="s">
        <v>8</v>
      </c>
      <c r="E14" s="21">
        <v>4096.5439999999999</v>
      </c>
      <c r="F14" s="18">
        <f t="shared" si="3"/>
        <v>44094.7899616</v>
      </c>
      <c r="G14" s="7">
        <v>12</v>
      </c>
      <c r="H14" s="2">
        <v>2007</v>
      </c>
      <c r="I14" s="2">
        <f t="shared" si="4"/>
        <v>16</v>
      </c>
      <c r="J14" s="2">
        <v>60</v>
      </c>
      <c r="K14" s="3">
        <v>0.1</v>
      </c>
      <c r="L14" s="4">
        <f t="shared" si="7"/>
        <v>1.5000000000000001E-2</v>
      </c>
      <c r="M14" s="19">
        <v>2400</v>
      </c>
      <c r="N14" s="19">
        <f t="shared" si="8"/>
        <v>105827495.90784</v>
      </c>
      <c r="O14" s="19">
        <f t="shared" si="9"/>
        <v>25398599.017881602</v>
      </c>
      <c r="P14" s="19">
        <f t="shared" si="10"/>
        <v>80428896.889958397</v>
      </c>
      <c r="Q14" s="20">
        <v>0</v>
      </c>
      <c r="R14" s="19">
        <f t="shared" si="11"/>
        <v>80428896.889958397</v>
      </c>
      <c r="S14" s="8"/>
      <c r="T14" s="1"/>
      <c r="U14" s="22"/>
    </row>
    <row r="15" spans="2:21" ht="30" x14ac:dyDescent="0.25">
      <c r="B15" s="2">
        <v>13</v>
      </c>
      <c r="C15" s="10" t="s">
        <v>36</v>
      </c>
      <c r="D15" s="10" t="s">
        <v>8</v>
      </c>
      <c r="E15" s="21">
        <v>4099.8159999999998</v>
      </c>
      <c r="F15" s="18">
        <f t="shared" si="3"/>
        <v>44130.009442399998</v>
      </c>
      <c r="G15" s="7">
        <v>12</v>
      </c>
      <c r="H15" s="2">
        <v>2007</v>
      </c>
      <c r="I15" s="2">
        <f t="shared" si="4"/>
        <v>16</v>
      </c>
      <c r="J15" s="2">
        <v>60</v>
      </c>
      <c r="K15" s="3">
        <v>0.1</v>
      </c>
      <c r="L15" s="4">
        <f t="shared" si="7"/>
        <v>1.5000000000000001E-2</v>
      </c>
      <c r="M15" s="19">
        <v>2400</v>
      </c>
      <c r="N15" s="19">
        <f t="shared" si="8"/>
        <v>105912022.66176</v>
      </c>
      <c r="O15" s="19">
        <f t="shared" si="9"/>
        <v>25418885.438822404</v>
      </c>
      <c r="P15" s="19">
        <f t="shared" si="10"/>
        <v>80493137.222937599</v>
      </c>
      <c r="Q15" s="20">
        <v>0</v>
      </c>
      <c r="R15" s="19">
        <f t="shared" si="11"/>
        <v>80493137.222937599</v>
      </c>
      <c r="S15" s="8"/>
      <c r="T15" s="1"/>
      <c r="U15" s="22"/>
    </row>
    <row r="16" spans="2:21" ht="30" x14ac:dyDescent="0.25">
      <c r="B16" s="2">
        <v>14</v>
      </c>
      <c r="C16" s="10" t="s">
        <v>37</v>
      </c>
      <c r="D16" s="10" t="s">
        <v>8</v>
      </c>
      <c r="E16" s="21">
        <v>4103.0929999999998</v>
      </c>
      <c r="F16" s="18">
        <f t="shared" si="3"/>
        <v>44165.282742699994</v>
      </c>
      <c r="G16" s="7">
        <v>12</v>
      </c>
      <c r="H16" s="2">
        <v>2007</v>
      </c>
      <c r="I16" s="2">
        <f t="shared" si="4"/>
        <v>16</v>
      </c>
      <c r="J16" s="2">
        <v>60</v>
      </c>
      <c r="K16" s="3">
        <v>0.1</v>
      </c>
      <c r="L16" s="4">
        <f t="shared" si="7"/>
        <v>1.5000000000000001E-2</v>
      </c>
      <c r="M16" s="19">
        <v>2400</v>
      </c>
      <c r="N16" s="19">
        <f t="shared" si="8"/>
        <v>105996678.58247998</v>
      </c>
      <c r="O16" s="19">
        <f t="shared" si="9"/>
        <v>25439202.859795198</v>
      </c>
      <c r="P16" s="19">
        <f t="shared" si="10"/>
        <v>80557475.722684786</v>
      </c>
      <c r="Q16" s="20">
        <v>0</v>
      </c>
      <c r="R16" s="19">
        <f t="shared" si="11"/>
        <v>80557475.722684786</v>
      </c>
      <c r="S16" s="8"/>
      <c r="T16" s="1"/>
      <c r="U16" s="22"/>
    </row>
    <row r="17" spans="2:22" ht="30" x14ac:dyDescent="0.25">
      <c r="B17" s="2">
        <v>15</v>
      </c>
      <c r="C17" s="10" t="s">
        <v>38</v>
      </c>
      <c r="D17" s="10" t="s">
        <v>8</v>
      </c>
      <c r="E17" s="21">
        <v>4106.3729999999996</v>
      </c>
      <c r="F17" s="18">
        <f t="shared" si="3"/>
        <v>44200.588334699991</v>
      </c>
      <c r="G17" s="7">
        <v>12</v>
      </c>
      <c r="H17" s="2">
        <v>2007</v>
      </c>
      <c r="I17" s="2">
        <f t="shared" si="4"/>
        <v>16</v>
      </c>
      <c r="J17" s="2">
        <v>60</v>
      </c>
      <c r="K17" s="3">
        <v>0.1</v>
      </c>
      <c r="L17" s="4">
        <f t="shared" si="7"/>
        <v>1.5000000000000001E-2</v>
      </c>
      <c r="M17" s="19">
        <v>2400</v>
      </c>
      <c r="N17" s="19">
        <f t="shared" si="8"/>
        <v>106081412.00327998</v>
      </c>
      <c r="O17" s="19">
        <f t="shared" si="9"/>
        <v>25459538.880787198</v>
      </c>
      <c r="P17" s="19">
        <f t="shared" si="10"/>
        <v>80621873.12249279</v>
      </c>
      <c r="Q17" s="20">
        <v>0</v>
      </c>
      <c r="R17" s="19">
        <f t="shared" si="11"/>
        <v>80621873.12249279</v>
      </c>
      <c r="S17" s="8"/>
      <c r="T17" s="1"/>
      <c r="U17" s="22"/>
    </row>
    <row r="18" spans="2:22" x14ac:dyDescent="0.25">
      <c r="B18" s="40" t="s">
        <v>4</v>
      </c>
      <c r="C18" s="40"/>
      <c r="D18" s="40"/>
      <c r="E18" s="23">
        <f>SUM(E3:E17)</f>
        <v>59860.593000000001</v>
      </c>
      <c r="F18" s="16">
        <f>SUM(F3:F17)</f>
        <v>644333.43699269986</v>
      </c>
      <c r="G18" s="6"/>
      <c r="H18" s="27"/>
      <c r="I18" s="27"/>
      <c r="J18" s="27"/>
      <c r="K18" s="27"/>
      <c r="L18" s="27"/>
      <c r="M18" s="27"/>
      <c r="N18" s="5">
        <f>SUM(N3:N9)</f>
        <v>700120791.03791988</v>
      </c>
      <c r="O18" s="5"/>
      <c r="P18" s="5">
        <f>SUM(P3:P9)</f>
        <v>532091801.18881917</v>
      </c>
      <c r="Q18" s="5"/>
      <c r="R18" s="5">
        <f>SUM(R3:R9)</f>
        <v>532091801.18881917</v>
      </c>
      <c r="S18" s="8"/>
    </row>
    <row r="19" spans="2:22" x14ac:dyDescent="0.25">
      <c r="B19" s="41" t="s">
        <v>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8"/>
    </row>
    <row r="20" spans="2:22" ht="15" customHeight="1" x14ac:dyDescent="0.25">
      <c r="B20" s="42" t="s">
        <v>19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8"/>
    </row>
    <row r="21" spans="2:22" x14ac:dyDescent="0.25">
      <c r="B21" s="41" t="s">
        <v>20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8"/>
      <c r="T21" s="15"/>
      <c r="V21" s="17"/>
    </row>
    <row r="22" spans="2:22" x14ac:dyDescent="0.25">
      <c r="B22" s="41" t="s">
        <v>29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8"/>
      <c r="V22" s="1"/>
    </row>
  </sheetData>
  <mergeCells count="5">
    <mergeCell ref="B18:D18"/>
    <mergeCell ref="B19:R19"/>
    <mergeCell ref="B20:R20"/>
    <mergeCell ref="B21:R21"/>
    <mergeCell ref="B22:R22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854F-35C2-4BB9-91BD-292EC6F483CA}">
  <dimension ref="B3:G17"/>
  <sheetViews>
    <sheetView workbookViewId="0">
      <selection activeCell="E17" sqref="E17"/>
    </sheetView>
  </sheetViews>
  <sheetFormatPr defaultRowHeight="15" x14ac:dyDescent="0.25"/>
  <cols>
    <col min="1" max="1" width="9.140625" style="14"/>
    <col min="2" max="2" width="6.140625" style="14" bestFit="1" customWidth="1"/>
    <col min="3" max="3" width="9.85546875" style="14" bestFit="1" customWidth="1"/>
    <col min="4" max="4" width="10" style="14" bestFit="1" customWidth="1"/>
    <col min="5" max="5" width="15.28515625" style="14" bestFit="1" customWidth="1"/>
    <col min="6" max="7" width="14.28515625" style="14" bestFit="1" customWidth="1"/>
    <col min="8" max="16384" width="9.140625" style="14"/>
  </cols>
  <sheetData>
    <row r="3" spans="2:7" ht="60" x14ac:dyDescent="0.25">
      <c r="B3" s="25" t="s">
        <v>21</v>
      </c>
      <c r="C3" s="25" t="s">
        <v>39</v>
      </c>
      <c r="D3" s="25" t="s">
        <v>43</v>
      </c>
      <c r="E3" s="25" t="s">
        <v>44</v>
      </c>
      <c r="F3" s="25" t="s">
        <v>46</v>
      </c>
      <c r="G3" s="25" t="s">
        <v>47</v>
      </c>
    </row>
    <row r="4" spans="2:7" x14ac:dyDescent="0.25">
      <c r="B4" s="2">
        <v>1</v>
      </c>
      <c r="C4" s="2" t="s">
        <v>57</v>
      </c>
      <c r="D4" s="29">
        <f>Basement!H6</f>
        <v>46103.848999999995</v>
      </c>
      <c r="E4" s="29">
        <f>Basement!I6</f>
        <v>790327.86165480001</v>
      </c>
      <c r="F4" s="29">
        <f>Basement!Q6</f>
        <v>2054852440.30248</v>
      </c>
      <c r="G4" s="29">
        <f>Basement!U6</f>
        <v>1561687854.6298847</v>
      </c>
    </row>
    <row r="5" spans="2:7" x14ac:dyDescent="0.25">
      <c r="B5" s="2">
        <v>2</v>
      </c>
      <c r="C5" s="2" t="s">
        <v>40</v>
      </c>
      <c r="D5" s="29">
        <f>'Block A'!E10</f>
        <v>22944.845000000001</v>
      </c>
      <c r="E5" s="29">
        <f>'Block A'!F10</f>
        <v>246976.01709549999</v>
      </c>
      <c r="F5" s="29">
        <f>'Block A'!N10</f>
        <v>592742441.02919996</v>
      </c>
      <c r="G5" s="29">
        <f>'Block A'!R10</f>
        <v>450484255.18219197</v>
      </c>
    </row>
    <row r="6" spans="2:7" x14ac:dyDescent="0.25">
      <c r="B6" s="2">
        <v>3</v>
      </c>
      <c r="C6" s="2" t="s">
        <v>41</v>
      </c>
      <c r="D6" s="29">
        <f>'Block B'!E12</f>
        <v>34462.563999999998</v>
      </c>
      <c r="E6" s="29">
        <f>'Block B'!F12</f>
        <v>370951.59263960004</v>
      </c>
      <c r="F6" s="29">
        <f>'Block B'!N12</f>
        <v>890283822.33504009</v>
      </c>
      <c r="G6" s="29">
        <f>'Block B'!R12</f>
        <v>676615704.97463036</v>
      </c>
    </row>
    <row r="7" spans="2:7" x14ac:dyDescent="0.25">
      <c r="B7" s="2">
        <v>4</v>
      </c>
      <c r="C7" s="2" t="s">
        <v>42</v>
      </c>
      <c r="D7" s="29">
        <f>'Block C'!E18</f>
        <v>59860.593000000001</v>
      </c>
      <c r="E7" s="29">
        <f>'Block C'!F18</f>
        <v>644333.43699269986</v>
      </c>
      <c r="F7" s="29">
        <f>'Block C'!N18</f>
        <v>700120791.03791988</v>
      </c>
      <c r="G7" s="29">
        <f>'Block C'!R18</f>
        <v>532091801.18881917</v>
      </c>
    </row>
    <row r="8" spans="2:7" x14ac:dyDescent="0.25">
      <c r="B8" s="40" t="s">
        <v>45</v>
      </c>
      <c r="C8" s="40"/>
      <c r="D8" s="30">
        <f>SUM(D4:D7)</f>
        <v>163371.851</v>
      </c>
      <c r="E8" s="30">
        <f>SUM(E4:E7)</f>
        <v>2052588.9083825997</v>
      </c>
      <c r="F8" s="30">
        <f>SUM(F4:F7)</f>
        <v>4237999494.7046399</v>
      </c>
      <c r="G8" s="30">
        <f>SUM(G4:G7)</f>
        <v>3220879615.9755259</v>
      </c>
    </row>
    <row r="10" spans="2:7" x14ac:dyDescent="0.25">
      <c r="F10" s="37">
        <f>F8-F4</f>
        <v>2183147054.4021597</v>
      </c>
    </row>
    <row r="11" spans="2:7" x14ac:dyDescent="0.25">
      <c r="E11" s="14" t="s">
        <v>67</v>
      </c>
      <c r="F11" s="38">
        <f>F10*0.8</f>
        <v>1746517643.5217278</v>
      </c>
    </row>
    <row r="13" spans="2:7" x14ac:dyDescent="0.25">
      <c r="D13" s="37">
        <f>D8-D4</f>
        <v>117268.00200000001</v>
      </c>
      <c r="E13" s="37">
        <f>E8-E4</f>
        <v>1262261.0467277998</v>
      </c>
    </row>
    <row r="15" spans="2:7" x14ac:dyDescent="0.25">
      <c r="E15" s="39">
        <f>E13*125</f>
        <v>157782630.84097499</v>
      </c>
    </row>
    <row r="16" spans="2:7" x14ac:dyDescent="0.25">
      <c r="E16" s="14">
        <f>2600*5500</f>
        <v>14300000</v>
      </c>
    </row>
    <row r="17" spans="5:5" x14ac:dyDescent="0.25">
      <c r="E17" s="39">
        <f>SUM(E15:E16)</f>
        <v>172082630.84097499</v>
      </c>
    </row>
  </sheetData>
  <mergeCells count="1">
    <mergeCell ref="B8:C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477D7-6406-4011-84D5-2171491B2C57}">
  <dimension ref="B4:G16"/>
  <sheetViews>
    <sheetView tabSelected="1" workbookViewId="0">
      <selection activeCell="R7" sqref="R7"/>
    </sheetView>
  </sheetViews>
  <sheetFormatPr defaultRowHeight="15" x14ac:dyDescent="0.25"/>
  <cols>
    <col min="2" max="2" width="14.28515625" bestFit="1" customWidth="1"/>
    <col min="3" max="3" width="15.28515625" bestFit="1" customWidth="1"/>
  </cols>
  <sheetData>
    <row r="4" spans="2:7" x14ac:dyDescent="0.25">
      <c r="B4" t="s">
        <v>58</v>
      </c>
      <c r="C4">
        <v>6.84</v>
      </c>
      <c r="D4" t="s">
        <v>62</v>
      </c>
    </row>
    <row r="5" spans="2:7" x14ac:dyDescent="0.25">
      <c r="C5" s="17">
        <v>33105.599999999999</v>
      </c>
      <c r="D5" t="s">
        <v>63</v>
      </c>
      <c r="F5" s="17"/>
    </row>
    <row r="6" spans="2:7" x14ac:dyDescent="0.25">
      <c r="B6" t="s">
        <v>59</v>
      </c>
      <c r="C6" s="17">
        <v>425000</v>
      </c>
      <c r="D6" t="s">
        <v>60</v>
      </c>
      <c r="F6" s="17">
        <f>C6/9</f>
        <v>47222.222222222219</v>
      </c>
      <c r="G6" t="s">
        <v>64</v>
      </c>
    </row>
    <row r="7" spans="2:7" x14ac:dyDescent="0.25">
      <c r="B7" t="s">
        <v>61</v>
      </c>
      <c r="C7" s="17">
        <f>C5*C6</f>
        <v>14069880000</v>
      </c>
    </row>
    <row r="8" spans="2:7" x14ac:dyDescent="0.25">
      <c r="B8" t="s">
        <v>66</v>
      </c>
      <c r="C8" s="17">
        <f>Total!G8</f>
        <v>3220879615.9755259</v>
      </c>
    </row>
    <row r="9" spans="2:7" x14ac:dyDescent="0.25">
      <c r="C9" s="35">
        <f>SUM(C7:C8)</f>
        <v>17290759615.975525</v>
      </c>
    </row>
    <row r="10" spans="2:7" x14ac:dyDescent="0.25">
      <c r="C10" s="17">
        <v>17290000000</v>
      </c>
    </row>
    <row r="11" spans="2:7" x14ac:dyDescent="0.25">
      <c r="C11" s="17">
        <f>C10*0.85</f>
        <v>14696500000</v>
      </c>
    </row>
    <row r="12" spans="2:7" x14ac:dyDescent="0.25">
      <c r="C12" s="17">
        <f>C10*0.75</f>
        <v>12967500000</v>
      </c>
    </row>
    <row r="13" spans="2:7" x14ac:dyDescent="0.25">
      <c r="C13" s="17"/>
    </row>
    <row r="14" spans="2:7" x14ac:dyDescent="0.25">
      <c r="B14" t="s">
        <v>65</v>
      </c>
      <c r="C14">
        <v>49500</v>
      </c>
      <c r="D14" t="s">
        <v>60</v>
      </c>
    </row>
    <row r="15" spans="2:7" x14ac:dyDescent="0.25">
      <c r="B15" t="s">
        <v>61</v>
      </c>
      <c r="C15" s="36">
        <f>C14*C5</f>
        <v>1638727200</v>
      </c>
    </row>
    <row r="16" spans="2:7" x14ac:dyDescent="0.25">
      <c r="C16" s="1">
        <f>C14*C5</f>
        <v>1638727200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Basement</vt:lpstr>
      <vt:lpstr>Block A</vt:lpstr>
      <vt:lpstr>Block B</vt:lpstr>
      <vt:lpstr>Block C</vt:lpstr>
      <vt:lpstr>Total</vt:lpstr>
      <vt:lpstr>Land</vt:lpstr>
      <vt:lpstr>Basement!Print_Area</vt:lpstr>
      <vt:lpstr>'Block A'!Print_Area</vt:lpstr>
      <vt:lpstr>'Block B'!Print_Area</vt:lpstr>
      <vt:lpstr>'Block 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2023-10-10T12:47:19Z</dcterms:modified>
</cp:coreProperties>
</file>