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bhinav Chaturvedi's Assignments\In-Progress\Draft Shared\VIS(2023-24)-PL375-Q082-323-512_Emami Krishnapattanam\Report\"/>
    </mc:Choice>
  </mc:AlternateContent>
  <bookViews>
    <workbookView xWindow="0" yWindow="0" windowWidth="24000" windowHeight="9735"/>
  </bookViews>
  <sheets>
    <sheet name="Building Valuation" sheetId="2" r:id="rId1"/>
    <sheet name="Land Valuation" sheetId="3" r:id="rId2"/>
    <sheet name="Sheet2" sheetId="4" r:id="rId3"/>
    <sheet name="Sheet1" sheetId="5" r:id="rId4"/>
  </sheets>
  <externalReferences>
    <externalReference r:id="rId5"/>
  </externalReferences>
  <definedNames>
    <definedName name="_xlnm._FilterDatabase" localSheetId="0" hidden="1">'Building Valuation'!$A$3:$R$38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0" i="2" l="1"/>
  <c r="P42" i="2" l="1"/>
  <c r="R42" i="2" s="1"/>
  <c r="I42" i="2"/>
  <c r="R43" i="2"/>
  <c r="Q43" i="2"/>
  <c r="P43" i="2"/>
  <c r="U52" i="2"/>
  <c r="R52" i="2"/>
  <c r="R51" i="2"/>
  <c r="R48" i="2"/>
  <c r="P44" i="2"/>
  <c r="I27" i="3"/>
  <c r="R47" i="2" s="1"/>
  <c r="E25" i="3"/>
  <c r="E26" i="3" s="1"/>
  <c r="E27" i="3" s="1"/>
  <c r="E29" i="3" s="1"/>
  <c r="E19" i="3"/>
  <c r="H13" i="3"/>
  <c r="I13" i="3" s="1"/>
  <c r="D13" i="3"/>
  <c r="E13" i="3" s="1"/>
  <c r="F13" i="3" s="1"/>
  <c r="H12" i="3"/>
  <c r="D12" i="3"/>
  <c r="E12" i="3" s="1"/>
  <c r="F12" i="3" s="1"/>
  <c r="D11" i="3"/>
  <c r="E11" i="3" s="1"/>
  <c r="F11" i="3" s="1"/>
  <c r="H11" i="3"/>
  <c r="E5" i="3"/>
  <c r="C4" i="3"/>
  <c r="C5" i="3" s="1"/>
  <c r="I43" i="2"/>
  <c r="J2" i="2"/>
  <c r="R45" i="2" l="1"/>
  <c r="P45" i="2"/>
  <c r="E32" i="3"/>
  <c r="E30" i="3"/>
  <c r="E31" i="3" s="1"/>
  <c r="E6" i="3"/>
  <c r="E8" i="3" s="1"/>
  <c r="I11" i="3"/>
  <c r="I12" i="3"/>
  <c r="P37" i="2"/>
  <c r="Q37" i="2" s="1"/>
  <c r="P36" i="2"/>
  <c r="Q36" i="2" s="1"/>
  <c r="P35" i="2"/>
  <c r="Q35" i="2" s="1"/>
  <c r="P34" i="2"/>
  <c r="Q34" i="2" s="1"/>
  <c r="P33" i="2"/>
  <c r="Q33" i="2" s="1"/>
  <c r="P32" i="2"/>
  <c r="Q32" i="2" s="1"/>
  <c r="P31" i="2"/>
  <c r="Q31" i="2" s="1"/>
  <c r="P30" i="2"/>
  <c r="Q30" i="2" s="1"/>
  <c r="P29" i="2"/>
  <c r="Q29" i="2" s="1"/>
  <c r="P28" i="2"/>
  <c r="Q28" i="2" s="1"/>
  <c r="P27" i="2"/>
  <c r="Q27" i="2" s="1"/>
  <c r="P26" i="2"/>
  <c r="Q26" i="2" s="1"/>
  <c r="B26" i="2"/>
  <c r="P25" i="2"/>
  <c r="Q25" i="2" s="1"/>
  <c r="B25" i="2"/>
  <c r="P24" i="2"/>
  <c r="Q24" i="2" s="1"/>
  <c r="P23" i="2"/>
  <c r="Q23" i="2" s="1"/>
  <c r="P22" i="2"/>
  <c r="Q22" i="2" s="1"/>
  <c r="P21" i="2"/>
  <c r="Q21" i="2" s="1"/>
  <c r="P20" i="2"/>
  <c r="Q20" i="2" s="1"/>
  <c r="P19" i="2"/>
  <c r="Q19" i="2" s="1"/>
  <c r="P18" i="2"/>
  <c r="Q18" i="2" s="1"/>
  <c r="B18" i="2"/>
  <c r="P17" i="2"/>
  <c r="Q17" i="2" s="1"/>
  <c r="B17" i="2"/>
  <c r="P16" i="2"/>
  <c r="Q16" i="2" s="1"/>
  <c r="B16" i="2"/>
  <c r="P15" i="2"/>
  <c r="Q15" i="2" s="1"/>
  <c r="B15" i="2"/>
  <c r="P14" i="2"/>
  <c r="Q14" i="2" s="1"/>
  <c r="B14" i="2"/>
  <c r="P13" i="2"/>
  <c r="Q13" i="2" s="1"/>
  <c r="B13" i="2"/>
  <c r="P12" i="2"/>
  <c r="Q12" i="2" s="1"/>
  <c r="P11" i="2"/>
  <c r="Q11" i="2" s="1"/>
  <c r="B11" i="2"/>
  <c r="P10" i="2"/>
  <c r="Q10" i="2" s="1"/>
  <c r="B10" i="2"/>
  <c r="P9" i="2"/>
  <c r="P8" i="2"/>
  <c r="Q8" i="2" s="1"/>
  <c r="P7" i="2"/>
  <c r="Q7" i="2" s="1"/>
  <c r="P6" i="2"/>
  <c r="Q6" i="2" s="1"/>
  <c r="P5" i="2"/>
  <c r="Q5" i="2" s="1"/>
  <c r="P4" i="2"/>
  <c r="L3" i="2"/>
  <c r="J3" i="2"/>
  <c r="I3" i="2"/>
  <c r="H3" i="2"/>
  <c r="G3" i="2"/>
  <c r="F3" i="2"/>
  <c r="E3" i="2"/>
  <c r="D3" i="2"/>
  <c r="C3" i="2"/>
  <c r="B3" i="2"/>
  <c r="Q4" i="2" l="1"/>
  <c r="P2" i="2"/>
  <c r="Q9" i="2"/>
  <c r="R9" i="2" s="1"/>
  <c r="R6" i="2"/>
  <c r="R28" i="2"/>
  <c r="R32" i="2"/>
  <c r="R36" i="2"/>
  <c r="R8" i="2"/>
  <c r="R26" i="2"/>
  <c r="R34" i="2"/>
  <c r="R29" i="2"/>
  <c r="R37" i="2"/>
  <c r="R21" i="2"/>
  <c r="R27" i="2"/>
  <c r="R31" i="2"/>
  <c r="R35" i="2"/>
  <c r="R20" i="2"/>
  <c r="R24" i="2"/>
  <c r="R25" i="2"/>
  <c r="R30" i="2"/>
  <c r="R5" i="2"/>
  <c r="R10" i="2"/>
  <c r="R11" i="2"/>
  <c r="R12" i="2"/>
  <c r="R13" i="2"/>
  <c r="R14" i="2"/>
  <c r="R15" i="2"/>
  <c r="R16" i="2"/>
  <c r="R17" i="2"/>
  <c r="R18" i="2"/>
  <c r="R22" i="2"/>
  <c r="R7" i="2"/>
  <c r="R19" i="2"/>
  <c r="R23" i="2"/>
  <c r="R33" i="2"/>
  <c r="P1" i="2" l="1"/>
  <c r="P46" i="2"/>
  <c r="Q2" i="2"/>
  <c r="R4" i="2"/>
  <c r="R2" i="2" s="1"/>
  <c r="R1" i="2" l="1"/>
  <c r="R46" i="2"/>
  <c r="R49" i="2" s="1"/>
</calcChain>
</file>

<file path=xl/sharedStrings.xml><?xml version="1.0" encoding="utf-8"?>
<sst xmlns="http://schemas.openxmlformats.org/spreadsheetml/2006/main" count="305" uniqueCount="88">
  <si>
    <t>Security Office</t>
  </si>
  <si>
    <t xml:space="preserve"> RCC</t>
  </si>
  <si>
    <t>Tiles</t>
  </si>
  <si>
    <t>Brick-built</t>
  </si>
  <si>
    <t>10"</t>
  </si>
  <si>
    <t xml:space="preserve">Alluminium frame with glass </t>
  </si>
  <si>
    <t xml:space="preserve"> Alluminium -frame with glass</t>
  </si>
  <si>
    <t>ADM - 2 storied  Build ing   Ground floor</t>
  </si>
  <si>
    <t>1st Floor</t>
  </si>
  <si>
    <t>Canteen</t>
  </si>
  <si>
    <t>Toilet</t>
  </si>
  <si>
    <t>Wooden</t>
  </si>
  <si>
    <t>NA</t>
  </si>
  <si>
    <t>Refinary Plant</t>
  </si>
  <si>
    <t>CGI</t>
  </si>
  <si>
    <t>IPS</t>
  </si>
  <si>
    <t>MS Joist</t>
  </si>
  <si>
    <t>Boiler</t>
  </si>
  <si>
    <t>MS JOIST</t>
  </si>
  <si>
    <t>Partially brick build and partially CGI</t>
  </si>
  <si>
    <t>Aluminium frame with glass</t>
  </si>
  <si>
    <t>ETP</t>
  </si>
  <si>
    <t>Toilet Block</t>
  </si>
  <si>
    <t xml:space="preserve"> Asbetos</t>
  </si>
  <si>
    <t>PVC</t>
  </si>
  <si>
    <t>Compressor Room</t>
  </si>
  <si>
    <t>DG Set Room No.1</t>
  </si>
  <si>
    <t>RCC</t>
  </si>
  <si>
    <t>DG Set Room No.2</t>
  </si>
  <si>
    <t>MS Grill</t>
  </si>
  <si>
    <t>PCC Room number 2</t>
  </si>
  <si>
    <t>Window- Aluminium frame with glass</t>
  </si>
  <si>
    <t xml:space="preserve"> TILES</t>
  </si>
  <si>
    <t xml:space="preserve"> MS JOIST</t>
  </si>
  <si>
    <t>E B Office</t>
  </si>
  <si>
    <t>Two wheeler office</t>
  </si>
  <si>
    <t>MS pipe</t>
  </si>
  <si>
    <t>Controll room</t>
  </si>
  <si>
    <t>Fractination plant</t>
  </si>
  <si>
    <t>water treatment planrt</t>
  </si>
  <si>
    <t>water storage reservior</t>
  </si>
  <si>
    <t>Loading Centre</t>
  </si>
  <si>
    <t>TILES</t>
  </si>
  <si>
    <t xml:space="preserve">ware house number 1 </t>
  </si>
  <si>
    <t>Partially brick build and prtially CGI</t>
  </si>
  <si>
    <t>Tin plant</t>
  </si>
  <si>
    <t xml:space="preserve"> Shutter</t>
  </si>
  <si>
    <t>Store</t>
  </si>
  <si>
    <t xml:space="preserve">  MS Sheet </t>
  </si>
  <si>
    <t>Boundary wall</t>
  </si>
  <si>
    <t xml:space="preserve">
Both side plastered with 10 ft </t>
  </si>
  <si>
    <t>Eco Life</t>
  </si>
  <si>
    <t>Sal Value</t>
  </si>
  <si>
    <t>Rates Adopted per sq. ft.</t>
  </si>
  <si>
    <t>GCRC</t>
  </si>
  <si>
    <t>Depreciation</t>
  </si>
  <si>
    <t>Current Depreciated Market Value</t>
  </si>
  <si>
    <t>S. No.</t>
  </si>
  <si>
    <t>Height mtr</t>
  </si>
  <si>
    <t>Good</t>
  </si>
  <si>
    <t>Land Development</t>
  </si>
  <si>
    <t>Land Area</t>
  </si>
  <si>
    <t>Boundary Wall</t>
  </si>
  <si>
    <t>1.45 km</t>
  </si>
  <si>
    <t>sq.ft</t>
  </si>
  <si>
    <t>http://www.boomi.in/property.php?id=15448879&amp;name=Industrial%20Land%20for%20Sale%20at%20Krishnapatnam%20Port,%20Nellore&amp;East=&amp;Sabarmati=&amp;cality=L&amp;T_South_propertytype=6%20BHK%20Residential%20House&amp;propertytype=Industrial%20Land</t>
  </si>
  <si>
    <t>sq.fd</t>
  </si>
  <si>
    <t>sqm</t>
  </si>
  <si>
    <t>acre</t>
  </si>
  <si>
    <t>https://www.indiaproperty.com/1210-sq-yard-agricultural-land-krishnapatnam-port-by-prasad-li7005986?fr=seores</t>
  </si>
  <si>
    <t>https://www.indiaproperty.com/2420-sq-yard-agricultural-land-krishnapatnam-port-by-prasad-li7005706?fr=seores</t>
  </si>
  <si>
    <t>https://www.indiaproperty.com/4840-sq-yard-agricultural-land-krishnapatnam-port-by-prasad-li7006000?fr=seores</t>
  </si>
  <si>
    <t>sqft</t>
  </si>
  <si>
    <t>sqyd</t>
  </si>
  <si>
    <t>per sqyd</t>
  </si>
  <si>
    <t>per acre</t>
  </si>
  <si>
    <t>per sqm</t>
  </si>
  <si>
    <t>Circle Value</t>
  </si>
  <si>
    <t>per sqft</t>
  </si>
  <si>
    <t>Area</t>
  </si>
  <si>
    <t>Rate</t>
  </si>
  <si>
    <t>rate</t>
  </si>
  <si>
    <t>Road</t>
  </si>
  <si>
    <t>1 km</t>
  </si>
  <si>
    <t>Glove</t>
  </si>
  <si>
    <t>Land</t>
  </si>
  <si>
    <t>P&amp;M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</si>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</sst>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9" fontId="3" fillId="0" borderId="1" xfId="2" applyFont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165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9" fontId="0" fillId="0" borderId="0" xfId="2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5" fontId="0" fillId="0" borderId="0" xfId="0" applyNumberFormat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164" fontId="0" fillId="0" borderId="0" xfId="1" applyFont="1"/>
    <xf numFmtId="165" fontId="0" fillId="0" borderId="0" xfId="1" applyNumberFormat="1" applyFont="1"/>
    <xf numFmtId="43" fontId="0" fillId="0" borderId="0" xfId="0" applyNumberFormat="1"/>
    <xf numFmtId="165" fontId="6" fillId="0" borderId="0" xfId="1" applyNumberFormat="1" applyFont="1" applyAlignment="1">
      <alignment vertical="center" wrapText="1"/>
    </xf>
    <xf numFmtId="9" fontId="0" fillId="2" borderId="0" xfId="2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65" fontId="0" fillId="2" borderId="0" xfId="1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43" fontId="0" fillId="2" borderId="0" xfId="0" applyNumberFormat="1" applyFill="1" applyAlignment="1">
      <alignment horizontal="center" vertical="center"/>
    </xf>
    <xf numFmtId="166" fontId="0" fillId="2" borderId="0" xfId="0" applyNumberForma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419100</xdr:colOff>
      <xdr:row>17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117" t="12230" r="7396" b="4280"/>
        <a:stretch/>
      </xdr:blipFill>
      <xdr:spPr>
        <a:xfrm>
          <a:off x="0" y="0"/>
          <a:ext cx="6515100" cy="3381375"/>
        </a:xfrm>
        <a:prstGeom prst="rect">
          <a:avLst/>
        </a:prstGeom>
      </xdr:spPr>
    </xdr:pic>
    <xdr:clientData/>
  </xdr:twoCellAnchor>
  <xdr:twoCellAnchor editAs="oneCell">
    <xdr:from>
      <xdr:col>10</xdr:col>
      <xdr:colOff>400050</xdr:colOff>
      <xdr:row>0</xdr:row>
      <xdr:rowOff>0</xdr:rowOff>
    </xdr:from>
    <xdr:to>
      <xdr:col>22</xdr:col>
      <xdr:colOff>143664</xdr:colOff>
      <xdr:row>17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599" t="11759" r="5412" b="14393"/>
        <a:stretch/>
      </xdr:blipFill>
      <xdr:spPr>
        <a:xfrm>
          <a:off x="6496050" y="0"/>
          <a:ext cx="7058814" cy="3409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bhinav%20Chaturvedi's%20Assignments/In-Progress/Emami%20Agrotech/Emami_FAR%20Work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Working"/>
      <sheetName val="EL&amp;SV"/>
      <sheetName val="Cat-3"/>
      <sheetName val="Cat-4"/>
      <sheetName val="Cat-2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3">
          <cell r="G23">
            <v>3127641979.468399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tabSelected="1" topLeftCell="C31" workbookViewId="0">
      <selection activeCell="J43" sqref="J43"/>
    </sheetView>
  </sheetViews>
  <sheetFormatPr defaultRowHeight="15" x14ac:dyDescent="0.25"/>
  <cols>
    <col min="1" max="1" width="6.7109375" style="7" bestFit="1" customWidth="1"/>
    <col min="2" max="2" width="37.28515625" style="14" customWidth="1"/>
    <col min="3" max="3" width="8.5703125" style="7" bestFit="1" customWidth="1"/>
    <col min="4" max="4" width="10.28515625" style="7" bestFit="1" customWidth="1"/>
    <col min="5" max="5" width="16.42578125" style="7" customWidth="1"/>
    <col min="6" max="6" width="12" style="7" customWidth="1"/>
    <col min="7" max="7" width="15.7109375" style="7" customWidth="1"/>
    <col min="8" max="8" width="23" style="7" customWidth="1"/>
    <col min="9" max="9" width="12" style="7" customWidth="1"/>
    <col min="10" max="10" width="13" style="7" customWidth="1"/>
    <col min="11" max="11" width="7.5703125" style="6" customWidth="1"/>
    <col min="12" max="12" width="11.28515625" style="7" hidden="1" customWidth="1"/>
    <col min="13" max="13" width="7.7109375" style="7" customWidth="1"/>
    <col min="14" max="14" width="9.140625" style="7"/>
    <col min="15" max="15" width="12.7109375" style="7" customWidth="1"/>
    <col min="16" max="16" width="15.85546875" style="7" bestFit="1" customWidth="1"/>
    <col min="17" max="17" width="14.85546875" style="7" bestFit="1" customWidth="1"/>
    <col min="18" max="18" width="15.7109375" style="7" customWidth="1"/>
    <col min="19" max="20" width="9.140625" style="11"/>
    <col min="21" max="21" width="10.5703125" style="11" bestFit="1" customWidth="1"/>
    <col min="22" max="16384" width="9.140625" style="11"/>
  </cols>
  <sheetData>
    <row r="1" spans="1:18" x14ac:dyDescent="0.25">
      <c r="P1" s="18">
        <f>P2/10^7</f>
        <v>26.897805000000002</v>
      </c>
      <c r="Q1" s="7">
        <v>2023</v>
      </c>
      <c r="R1" s="18">
        <f>R2/10^7</f>
        <v>21.366370575000001</v>
      </c>
    </row>
    <row r="2" spans="1:18" x14ac:dyDescent="0.25">
      <c r="J2" s="17">
        <f>SUBTOTAL(9,J4:J37)</f>
        <v>194064</v>
      </c>
      <c r="P2" s="17">
        <f>SUBTOTAL(9,P4:P37)</f>
        <v>268978050</v>
      </c>
      <c r="Q2" s="17">
        <f>SUBTOTAL(9,Q4:Q37)</f>
        <v>55314344.25</v>
      </c>
      <c r="R2" s="17">
        <f>SUBTOTAL(9,R4:R37)</f>
        <v>213663705.75</v>
      </c>
    </row>
    <row r="3" spans="1:18" ht="45" x14ac:dyDescent="0.25">
      <c r="A3" s="9" t="s">
        <v>57</v>
      </c>
      <c r="B3" s="2" t="str">
        <f>UPPER("Description of building /structures")</f>
        <v>DESCRIPTION OF BUILDING /STRUCTURES</v>
      </c>
      <c r="C3" s="9" t="str">
        <f>UPPER("Roof")</f>
        <v>ROOF</v>
      </c>
      <c r="D3" s="9" t="str">
        <f>UPPER("Flooring")</f>
        <v>FLOORING</v>
      </c>
      <c r="E3" s="9" t="str">
        <f>UPPER("Structure")</f>
        <v>STRUCTURE</v>
      </c>
      <c r="F3" s="9" t="str">
        <f>UPPER("Wall thickness ")</f>
        <v xml:space="preserve">WALL THICKNESS </v>
      </c>
      <c r="G3" s="9" t="str">
        <f>UPPER("Door")</f>
        <v>DOOR</v>
      </c>
      <c r="H3" s="9" t="str">
        <f>UPPER("Window")</f>
        <v>WINDOW</v>
      </c>
      <c r="I3" s="9" t="str">
        <f>UPPER("Yr. of  CONSTRUCTION")</f>
        <v>YR. OF  CONSTRUCTION</v>
      </c>
      <c r="J3" s="5" t="str">
        <f>UPPER("Covered Area sft. /rft.")</f>
        <v>COVERED AREA SFT. /RFT.</v>
      </c>
      <c r="K3" s="5" t="s">
        <v>58</v>
      </c>
      <c r="L3" s="1" t="str">
        <f>UPPER("Structure condition")</f>
        <v>STRUCTURE CONDITION</v>
      </c>
      <c r="M3" s="1" t="s">
        <v>51</v>
      </c>
      <c r="N3" s="3" t="s">
        <v>52</v>
      </c>
      <c r="O3" s="1" t="s">
        <v>53</v>
      </c>
      <c r="P3" s="5" t="s">
        <v>54</v>
      </c>
      <c r="Q3" s="4" t="s">
        <v>55</v>
      </c>
      <c r="R3" s="1" t="s">
        <v>56</v>
      </c>
    </row>
    <row r="4" spans="1:18" x14ac:dyDescent="0.25">
      <c r="A4" s="31">
        <v>1</v>
      </c>
      <c r="B4" s="15" t="s">
        <v>0</v>
      </c>
      <c r="C4" s="12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8">
        <v>2012</v>
      </c>
      <c r="J4" s="6">
        <v>723</v>
      </c>
      <c r="K4" s="6">
        <v>3.5</v>
      </c>
      <c r="L4" s="7" t="s">
        <v>59</v>
      </c>
      <c r="M4" s="7">
        <v>60</v>
      </c>
      <c r="N4" s="23">
        <v>0.9</v>
      </c>
      <c r="O4" s="7">
        <v>1200</v>
      </c>
      <c r="P4" s="6">
        <f>O4*J4</f>
        <v>867600</v>
      </c>
      <c r="Q4" s="6">
        <f t="shared" ref="Q4:Q37" si="0">P4*(N4/M4)*($Q$1-I4)</f>
        <v>143154.00000000003</v>
      </c>
      <c r="R4" s="6">
        <f t="shared" ref="R4:R37" si="1">P4-Q4</f>
        <v>724446</v>
      </c>
    </row>
    <row r="5" spans="1:18" x14ac:dyDescent="0.25">
      <c r="A5" s="31">
        <v>2</v>
      </c>
      <c r="B5" s="15" t="s">
        <v>7</v>
      </c>
      <c r="C5" s="12" t="s">
        <v>1</v>
      </c>
      <c r="D5" s="12" t="s">
        <v>2</v>
      </c>
      <c r="E5" s="12" t="s">
        <v>3</v>
      </c>
      <c r="F5" s="12" t="s">
        <v>4</v>
      </c>
      <c r="G5" s="12" t="s">
        <v>5</v>
      </c>
      <c r="H5" s="12" t="s">
        <v>5</v>
      </c>
      <c r="I5" s="8">
        <v>2012</v>
      </c>
      <c r="J5" s="6">
        <v>5008</v>
      </c>
      <c r="K5" s="25">
        <v>8.4499999999999993</v>
      </c>
      <c r="L5" s="7" t="s">
        <v>59</v>
      </c>
      <c r="M5" s="7">
        <v>60</v>
      </c>
      <c r="N5" s="23">
        <v>0.9</v>
      </c>
      <c r="O5" s="7">
        <v>1600</v>
      </c>
      <c r="P5" s="6">
        <f>O5*J5</f>
        <v>8012800</v>
      </c>
      <c r="Q5" s="6">
        <f t="shared" si="0"/>
        <v>1322112.0000000002</v>
      </c>
      <c r="R5" s="6">
        <f t="shared" si="1"/>
        <v>6690688</v>
      </c>
    </row>
    <row r="6" spans="1:18" x14ac:dyDescent="0.25">
      <c r="A6" s="31">
        <v>3</v>
      </c>
      <c r="B6" s="15" t="s">
        <v>8</v>
      </c>
      <c r="C6" s="12" t="s">
        <v>1</v>
      </c>
      <c r="D6" s="12" t="s">
        <v>2</v>
      </c>
      <c r="E6" s="12" t="s">
        <v>3</v>
      </c>
      <c r="F6" s="12" t="s">
        <v>4</v>
      </c>
      <c r="G6" s="12" t="s">
        <v>5</v>
      </c>
      <c r="H6" s="12" t="s">
        <v>5</v>
      </c>
      <c r="I6" s="8">
        <v>2012</v>
      </c>
      <c r="J6" s="6">
        <v>1719</v>
      </c>
      <c r="K6" s="25">
        <v>4.45</v>
      </c>
      <c r="L6" s="7" t="s">
        <v>59</v>
      </c>
      <c r="M6" s="7">
        <v>60</v>
      </c>
      <c r="N6" s="23">
        <v>0.9</v>
      </c>
      <c r="O6" s="24">
        <v>1650</v>
      </c>
      <c r="P6" s="6">
        <f t="shared" ref="P6:P16" si="2">O6*J6</f>
        <v>2836350</v>
      </c>
      <c r="Q6" s="6">
        <f t="shared" si="0"/>
        <v>467997.75</v>
      </c>
      <c r="R6" s="6">
        <f t="shared" si="1"/>
        <v>2368352.25</v>
      </c>
    </row>
    <row r="7" spans="1:18" x14ac:dyDescent="0.25">
      <c r="A7" s="31">
        <v>4</v>
      </c>
      <c r="B7" s="15" t="s">
        <v>9</v>
      </c>
      <c r="C7" s="12" t="s">
        <v>1</v>
      </c>
      <c r="D7" s="12" t="s">
        <v>2</v>
      </c>
      <c r="E7" s="12" t="s">
        <v>3</v>
      </c>
      <c r="F7" s="13" t="s">
        <v>4</v>
      </c>
      <c r="G7" s="12" t="s">
        <v>5</v>
      </c>
      <c r="H7" s="12" t="s">
        <v>5</v>
      </c>
      <c r="I7" s="7">
        <v>2012</v>
      </c>
      <c r="J7" s="6">
        <v>1719</v>
      </c>
      <c r="K7" s="6">
        <v>4</v>
      </c>
      <c r="L7" s="7" t="s">
        <v>59</v>
      </c>
      <c r="M7" s="7">
        <v>60</v>
      </c>
      <c r="N7" s="23">
        <v>0.9</v>
      </c>
      <c r="O7" s="24">
        <v>1400</v>
      </c>
      <c r="P7" s="6">
        <f t="shared" si="2"/>
        <v>2406600</v>
      </c>
      <c r="Q7" s="6">
        <f t="shared" si="0"/>
        <v>397089</v>
      </c>
      <c r="R7" s="6">
        <f t="shared" si="1"/>
        <v>2009511</v>
      </c>
    </row>
    <row r="8" spans="1:18" x14ac:dyDescent="0.25">
      <c r="A8" s="31">
        <v>5</v>
      </c>
      <c r="B8" s="15" t="s">
        <v>10</v>
      </c>
      <c r="C8" s="12" t="s">
        <v>1</v>
      </c>
      <c r="D8" s="12" t="s">
        <v>2</v>
      </c>
      <c r="E8" s="12" t="s">
        <v>3</v>
      </c>
      <c r="F8" s="13" t="s">
        <v>4</v>
      </c>
      <c r="G8" s="12" t="s">
        <v>11</v>
      </c>
      <c r="H8" s="12" t="s">
        <v>12</v>
      </c>
      <c r="I8" s="7">
        <v>2012</v>
      </c>
      <c r="J8" s="6">
        <v>378</v>
      </c>
      <c r="K8" s="6">
        <v>3.35</v>
      </c>
      <c r="L8" s="7" t="s">
        <v>59</v>
      </c>
      <c r="M8" s="7">
        <v>60</v>
      </c>
      <c r="N8" s="23">
        <v>0.9</v>
      </c>
      <c r="O8" s="24">
        <v>1000</v>
      </c>
      <c r="P8" s="6">
        <f t="shared" si="2"/>
        <v>378000</v>
      </c>
      <c r="Q8" s="6">
        <f t="shared" si="0"/>
        <v>62370</v>
      </c>
      <c r="R8" s="6">
        <f t="shared" si="1"/>
        <v>315630</v>
      </c>
    </row>
    <row r="9" spans="1:18" x14ac:dyDescent="0.25">
      <c r="A9" s="31">
        <v>6</v>
      </c>
      <c r="B9" s="26" t="s">
        <v>13</v>
      </c>
      <c r="C9" s="12" t="s">
        <v>1</v>
      </c>
      <c r="D9" s="12" t="s">
        <v>2</v>
      </c>
      <c r="E9" s="12" t="s">
        <v>3</v>
      </c>
      <c r="F9" s="13" t="s">
        <v>4</v>
      </c>
      <c r="G9" s="12" t="s">
        <v>12</v>
      </c>
      <c r="H9" s="12" t="s">
        <v>12</v>
      </c>
      <c r="I9" s="7">
        <v>2012</v>
      </c>
      <c r="J9" s="25">
        <v>17405</v>
      </c>
      <c r="K9" s="25">
        <v>28</v>
      </c>
      <c r="L9" s="7" t="s">
        <v>59</v>
      </c>
      <c r="M9" s="7">
        <v>60</v>
      </c>
      <c r="N9" s="23">
        <v>0.9</v>
      </c>
      <c r="O9" s="24">
        <v>1600</v>
      </c>
      <c r="P9" s="6">
        <f>O9*J9</f>
        <v>27848000</v>
      </c>
      <c r="Q9" s="6">
        <f t="shared" si="0"/>
        <v>4594920.0000000009</v>
      </c>
      <c r="R9" s="6">
        <f t="shared" si="1"/>
        <v>23253080</v>
      </c>
    </row>
    <row r="10" spans="1:18" x14ac:dyDescent="0.25">
      <c r="A10" s="31">
        <v>7</v>
      </c>
      <c r="B10" s="14" t="str">
        <f>PROPER("PUMP HOUSE NUMBEr 1")</f>
        <v>Pump House Number 1</v>
      </c>
      <c r="C10" s="12" t="s">
        <v>14</v>
      </c>
      <c r="D10" s="12" t="s">
        <v>15</v>
      </c>
      <c r="E10" s="12" t="s">
        <v>16</v>
      </c>
      <c r="F10" s="13" t="s">
        <v>4</v>
      </c>
      <c r="G10" s="12" t="s">
        <v>12</v>
      </c>
      <c r="H10" s="12" t="s">
        <v>12</v>
      </c>
      <c r="I10" s="7">
        <v>2012</v>
      </c>
      <c r="J10" s="6">
        <v>642</v>
      </c>
      <c r="K10" s="6">
        <v>4.25</v>
      </c>
      <c r="L10" s="7" t="s">
        <v>59</v>
      </c>
      <c r="M10" s="7">
        <v>45</v>
      </c>
      <c r="N10" s="23">
        <v>0.9</v>
      </c>
      <c r="O10" s="7">
        <v>1200</v>
      </c>
      <c r="P10" s="6">
        <f t="shared" si="2"/>
        <v>770400</v>
      </c>
      <c r="Q10" s="6">
        <f t="shared" si="0"/>
        <v>169488</v>
      </c>
      <c r="R10" s="6">
        <f t="shared" si="1"/>
        <v>600912</v>
      </c>
    </row>
    <row r="11" spans="1:18" x14ac:dyDescent="0.25">
      <c r="A11" s="31">
        <v>8</v>
      </c>
      <c r="B11" s="16" t="str">
        <f>PROPER("PUMP HOUSE NUMBER 2")</f>
        <v>Pump House Number 2</v>
      </c>
      <c r="C11" s="12" t="s">
        <v>14</v>
      </c>
      <c r="D11" s="12" t="s">
        <v>15</v>
      </c>
      <c r="E11" s="12" t="s">
        <v>16</v>
      </c>
      <c r="F11" s="13" t="s">
        <v>4</v>
      </c>
      <c r="G11" s="12" t="s">
        <v>12</v>
      </c>
      <c r="H11" s="12" t="s">
        <v>12</v>
      </c>
      <c r="I11" s="7">
        <v>2012</v>
      </c>
      <c r="J11" s="6">
        <v>483</v>
      </c>
      <c r="K11" s="6">
        <v>4.25</v>
      </c>
      <c r="L11" s="7" t="s">
        <v>59</v>
      </c>
      <c r="M11" s="7">
        <v>45</v>
      </c>
      <c r="N11" s="23">
        <v>0.9</v>
      </c>
      <c r="O11" s="7">
        <v>1200</v>
      </c>
      <c r="P11" s="6">
        <f t="shared" si="2"/>
        <v>579600</v>
      </c>
      <c r="Q11" s="6">
        <f t="shared" si="0"/>
        <v>127512</v>
      </c>
      <c r="R11" s="6">
        <f t="shared" si="1"/>
        <v>452088</v>
      </c>
    </row>
    <row r="12" spans="1:18" x14ac:dyDescent="0.25">
      <c r="A12" s="31">
        <v>9</v>
      </c>
      <c r="B12" s="27" t="s">
        <v>17</v>
      </c>
      <c r="C12" s="12" t="s">
        <v>14</v>
      </c>
      <c r="D12" s="12" t="s">
        <v>15</v>
      </c>
      <c r="E12" s="12" t="s">
        <v>3</v>
      </c>
      <c r="F12" s="13" t="s">
        <v>4</v>
      </c>
      <c r="G12" s="12" t="s">
        <v>12</v>
      </c>
      <c r="H12" s="12" t="s">
        <v>12</v>
      </c>
      <c r="I12" s="7">
        <v>2012</v>
      </c>
      <c r="J12" s="6">
        <v>5569</v>
      </c>
      <c r="K12" s="6">
        <v>16</v>
      </c>
      <c r="L12" s="7" t="s">
        <v>59</v>
      </c>
      <c r="M12" s="7">
        <v>60</v>
      </c>
      <c r="N12" s="23">
        <v>0.9</v>
      </c>
      <c r="O12" s="7">
        <v>1100</v>
      </c>
      <c r="P12" s="6">
        <f t="shared" si="2"/>
        <v>6125900</v>
      </c>
      <c r="Q12" s="6">
        <f t="shared" si="0"/>
        <v>1010773.5</v>
      </c>
      <c r="R12" s="6">
        <f t="shared" si="1"/>
        <v>5115126.5</v>
      </c>
    </row>
    <row r="13" spans="1:18" x14ac:dyDescent="0.25">
      <c r="A13" s="31">
        <v>10</v>
      </c>
      <c r="B13" s="27" t="str">
        <f>PROPER("THERMIC FLUID BOILER-1 2 STORIED BUILDING GROUND FLOOR")</f>
        <v>Thermic Fluid Boiler-1 2 Storied Building Ground Floor</v>
      </c>
      <c r="C13" s="13" t="s">
        <v>14</v>
      </c>
      <c r="D13" s="13" t="s">
        <v>15</v>
      </c>
      <c r="E13" s="13" t="s">
        <v>18</v>
      </c>
      <c r="F13" s="13" t="s">
        <v>4</v>
      </c>
      <c r="G13" s="13" t="s">
        <v>12</v>
      </c>
      <c r="H13" s="13" t="s">
        <v>12</v>
      </c>
      <c r="I13" s="7">
        <v>2012</v>
      </c>
      <c r="J13" s="6">
        <v>1236</v>
      </c>
      <c r="K13" s="25">
        <v>16</v>
      </c>
      <c r="L13" s="7" t="s">
        <v>59</v>
      </c>
      <c r="M13" s="7">
        <v>45</v>
      </c>
      <c r="N13" s="23">
        <v>0.9</v>
      </c>
      <c r="O13" s="24">
        <v>1400</v>
      </c>
      <c r="P13" s="6">
        <f t="shared" si="2"/>
        <v>1730400</v>
      </c>
      <c r="Q13" s="6">
        <f t="shared" si="0"/>
        <v>380688</v>
      </c>
      <c r="R13" s="6">
        <f t="shared" si="1"/>
        <v>1349712</v>
      </c>
    </row>
    <row r="14" spans="1:18" x14ac:dyDescent="0.25">
      <c r="A14" s="31">
        <v>11</v>
      </c>
      <c r="B14" s="27" t="str">
        <f>PROPER("THERMIC FLUID BOILER-1 2 STORIED BUILDING FIRST  FLOOR")</f>
        <v>Thermic Fluid Boiler-1 2 Storied Building First  Floor</v>
      </c>
      <c r="C14" s="28" t="s">
        <v>14</v>
      </c>
      <c r="D14" s="13" t="s">
        <v>15</v>
      </c>
      <c r="E14" s="13" t="s">
        <v>18</v>
      </c>
      <c r="F14" s="13" t="s">
        <v>4</v>
      </c>
      <c r="G14" s="13" t="s">
        <v>12</v>
      </c>
      <c r="H14" s="13" t="s">
        <v>12</v>
      </c>
      <c r="I14" s="7">
        <v>2012</v>
      </c>
      <c r="J14" s="6">
        <v>600</v>
      </c>
      <c r="K14" s="25">
        <v>3</v>
      </c>
      <c r="L14" s="7" t="s">
        <v>59</v>
      </c>
      <c r="M14" s="7">
        <v>45</v>
      </c>
      <c r="N14" s="23">
        <v>0.9</v>
      </c>
      <c r="O14" s="7">
        <v>1500</v>
      </c>
      <c r="P14" s="6">
        <f t="shared" si="2"/>
        <v>900000</v>
      </c>
      <c r="Q14" s="6">
        <f t="shared" si="0"/>
        <v>198000</v>
      </c>
      <c r="R14" s="6">
        <f t="shared" si="1"/>
        <v>702000</v>
      </c>
    </row>
    <row r="15" spans="1:18" x14ac:dyDescent="0.25">
      <c r="A15" s="31">
        <v>12</v>
      </c>
      <c r="B15" s="16" t="str">
        <f>PROPER("THERMIC FLUID BOILER-2")</f>
        <v>Thermic Fluid Boiler-2</v>
      </c>
      <c r="C15" s="13" t="s">
        <v>14</v>
      </c>
      <c r="D15" s="13" t="s">
        <v>15</v>
      </c>
      <c r="E15" s="13" t="s">
        <v>18</v>
      </c>
      <c r="F15" s="13" t="s">
        <v>4</v>
      </c>
      <c r="G15" s="13" t="s">
        <v>12</v>
      </c>
      <c r="H15" s="13" t="s">
        <v>12</v>
      </c>
      <c r="I15" s="7">
        <v>2012</v>
      </c>
      <c r="J15" s="6">
        <v>1236</v>
      </c>
      <c r="K15" s="25">
        <v>16</v>
      </c>
      <c r="L15" s="7" t="s">
        <v>59</v>
      </c>
      <c r="M15" s="7">
        <v>45</v>
      </c>
      <c r="N15" s="23">
        <v>0.9</v>
      </c>
      <c r="O15" s="24">
        <v>1400</v>
      </c>
      <c r="P15" s="6">
        <f t="shared" si="2"/>
        <v>1730400</v>
      </c>
      <c r="Q15" s="6">
        <f t="shared" si="0"/>
        <v>380688</v>
      </c>
      <c r="R15" s="6">
        <f t="shared" si="1"/>
        <v>1349712</v>
      </c>
    </row>
    <row r="16" spans="1:18" x14ac:dyDescent="0.25">
      <c r="A16" s="31">
        <v>13</v>
      </c>
      <c r="B16" s="16" t="str">
        <f>PROPER("CRUSHER HOUSE")</f>
        <v>Crusher House</v>
      </c>
      <c r="C16" s="13" t="s">
        <v>14</v>
      </c>
      <c r="D16" s="13" t="s">
        <v>15</v>
      </c>
      <c r="E16" s="13" t="s">
        <v>18</v>
      </c>
      <c r="F16" s="13" t="s">
        <v>4</v>
      </c>
      <c r="G16" s="13" t="s">
        <v>12</v>
      </c>
      <c r="H16" s="13" t="s">
        <v>12</v>
      </c>
      <c r="I16" s="7">
        <v>2012</v>
      </c>
      <c r="J16" s="6">
        <v>600</v>
      </c>
      <c r="K16" s="25">
        <v>16.75</v>
      </c>
      <c r="L16" s="7" t="s">
        <v>59</v>
      </c>
      <c r="M16" s="7">
        <v>45</v>
      </c>
      <c r="N16" s="23">
        <v>0.9</v>
      </c>
      <c r="O16" s="7">
        <v>1400</v>
      </c>
      <c r="P16" s="6">
        <f t="shared" si="2"/>
        <v>840000</v>
      </c>
      <c r="Q16" s="6">
        <f t="shared" si="0"/>
        <v>184800</v>
      </c>
      <c r="R16" s="6">
        <f t="shared" si="1"/>
        <v>655200</v>
      </c>
    </row>
    <row r="17" spans="1:18" x14ac:dyDescent="0.25">
      <c r="A17" s="31">
        <v>14</v>
      </c>
      <c r="B17" s="16" t="str">
        <f>PROPER("COAL STORAGE HEAD")</f>
        <v>Coal Storage Head</v>
      </c>
      <c r="C17" s="13" t="s">
        <v>14</v>
      </c>
      <c r="D17" s="13" t="s">
        <v>15</v>
      </c>
      <c r="E17" s="13" t="s">
        <v>18</v>
      </c>
      <c r="F17" s="13" t="s">
        <v>4</v>
      </c>
      <c r="G17" s="13" t="s">
        <v>12</v>
      </c>
      <c r="H17" s="13" t="s">
        <v>12</v>
      </c>
      <c r="I17" s="7">
        <v>2012</v>
      </c>
      <c r="J17" s="6">
        <v>15806</v>
      </c>
      <c r="K17" s="6">
        <v>7.5</v>
      </c>
      <c r="L17" s="7" t="s">
        <v>59</v>
      </c>
      <c r="M17" s="7">
        <v>45</v>
      </c>
      <c r="N17" s="23">
        <v>0.9</v>
      </c>
      <c r="O17" s="7">
        <v>1200</v>
      </c>
      <c r="P17" s="6">
        <f t="shared" ref="P17:P37" si="3">J17*O17</f>
        <v>18967200</v>
      </c>
      <c r="Q17" s="6">
        <f t="shared" si="0"/>
        <v>4172784</v>
      </c>
      <c r="R17" s="6">
        <f t="shared" si="1"/>
        <v>14794416</v>
      </c>
    </row>
    <row r="18" spans="1:18" x14ac:dyDescent="0.25">
      <c r="A18" s="31">
        <v>15</v>
      </c>
      <c r="B18" s="16" t="str">
        <f>PROPER("WAX STORAGE HEAD")</f>
        <v>Wax Storage Head</v>
      </c>
      <c r="C18" s="13" t="s">
        <v>14</v>
      </c>
      <c r="D18" s="13" t="s">
        <v>15</v>
      </c>
      <c r="E18" s="13" t="s">
        <v>19</v>
      </c>
      <c r="F18" s="13" t="s">
        <v>4</v>
      </c>
      <c r="G18" s="13" t="s">
        <v>20</v>
      </c>
      <c r="H18" s="13" t="s">
        <v>20</v>
      </c>
      <c r="I18" s="7">
        <v>2012</v>
      </c>
      <c r="J18" s="6">
        <v>765</v>
      </c>
      <c r="K18" s="6">
        <v>17</v>
      </c>
      <c r="L18" s="7" t="s">
        <v>59</v>
      </c>
      <c r="M18" s="7">
        <v>45</v>
      </c>
      <c r="N18" s="23">
        <v>0.9</v>
      </c>
      <c r="O18" s="7">
        <v>1400</v>
      </c>
      <c r="P18" s="6">
        <f t="shared" si="3"/>
        <v>1071000</v>
      </c>
      <c r="Q18" s="6">
        <f t="shared" si="0"/>
        <v>235620</v>
      </c>
      <c r="R18" s="6">
        <f t="shared" si="1"/>
        <v>835380</v>
      </c>
    </row>
    <row r="19" spans="1:18" x14ac:dyDescent="0.25">
      <c r="A19" s="31">
        <v>16</v>
      </c>
      <c r="B19" s="16" t="s">
        <v>21</v>
      </c>
      <c r="C19" s="13" t="s">
        <v>14</v>
      </c>
      <c r="D19" s="13" t="s">
        <v>15</v>
      </c>
      <c r="E19" s="13" t="s">
        <v>18</v>
      </c>
      <c r="F19" s="13" t="s">
        <v>4</v>
      </c>
      <c r="G19" s="13" t="s">
        <v>12</v>
      </c>
      <c r="H19" s="13" t="s">
        <v>12</v>
      </c>
      <c r="I19" s="7">
        <v>2012</v>
      </c>
      <c r="J19" s="6">
        <v>7074</v>
      </c>
      <c r="K19" s="6">
        <v>7</v>
      </c>
      <c r="L19" s="7" t="s">
        <v>59</v>
      </c>
      <c r="M19" s="7">
        <v>45</v>
      </c>
      <c r="N19" s="23">
        <v>0.9</v>
      </c>
      <c r="O19" s="7">
        <v>1200</v>
      </c>
      <c r="P19" s="6">
        <f t="shared" si="3"/>
        <v>8488800</v>
      </c>
      <c r="Q19" s="6">
        <f t="shared" si="0"/>
        <v>1867536</v>
      </c>
      <c r="R19" s="6">
        <f t="shared" si="1"/>
        <v>6621264</v>
      </c>
    </row>
    <row r="20" spans="1:18" x14ac:dyDescent="0.25">
      <c r="A20" s="31">
        <v>17</v>
      </c>
      <c r="B20" s="16" t="s">
        <v>22</v>
      </c>
      <c r="C20" s="13" t="s">
        <v>23</v>
      </c>
      <c r="D20" s="13" t="s">
        <v>15</v>
      </c>
      <c r="E20" s="12" t="s">
        <v>3</v>
      </c>
      <c r="F20" s="13" t="s">
        <v>4</v>
      </c>
      <c r="G20" s="13" t="s">
        <v>24</v>
      </c>
      <c r="H20" s="13" t="s">
        <v>12</v>
      </c>
      <c r="I20" s="7">
        <v>2012</v>
      </c>
      <c r="J20" s="6">
        <v>191</v>
      </c>
      <c r="K20" s="6">
        <v>3.35</v>
      </c>
      <c r="L20" s="7" t="s">
        <v>59</v>
      </c>
      <c r="M20" s="7">
        <v>60</v>
      </c>
      <c r="N20" s="23">
        <v>0.9</v>
      </c>
      <c r="O20" s="7">
        <v>1000</v>
      </c>
      <c r="P20" s="6">
        <f t="shared" si="3"/>
        <v>191000</v>
      </c>
      <c r="Q20" s="6">
        <f t="shared" si="0"/>
        <v>31515</v>
      </c>
      <c r="R20" s="6">
        <f t="shared" si="1"/>
        <v>159485</v>
      </c>
    </row>
    <row r="21" spans="1:18" x14ac:dyDescent="0.25">
      <c r="A21" s="31">
        <v>18</v>
      </c>
      <c r="B21" s="16" t="s">
        <v>25</v>
      </c>
      <c r="C21" s="13" t="s">
        <v>14</v>
      </c>
      <c r="D21" s="13" t="s">
        <v>15</v>
      </c>
      <c r="E21" s="13" t="s">
        <v>18</v>
      </c>
      <c r="F21" s="13" t="s">
        <v>4</v>
      </c>
      <c r="G21" s="13" t="s">
        <v>12</v>
      </c>
      <c r="H21" s="13" t="s">
        <v>12</v>
      </c>
      <c r="I21" s="7">
        <v>2012</v>
      </c>
      <c r="J21" s="6">
        <v>775</v>
      </c>
      <c r="K21" s="6">
        <v>5</v>
      </c>
      <c r="L21" s="7" t="s">
        <v>59</v>
      </c>
      <c r="M21" s="7">
        <v>45</v>
      </c>
      <c r="N21" s="23">
        <v>0.9</v>
      </c>
      <c r="O21" s="7">
        <v>1200</v>
      </c>
      <c r="P21" s="6">
        <f t="shared" si="3"/>
        <v>930000</v>
      </c>
      <c r="Q21" s="6">
        <f t="shared" si="0"/>
        <v>204600</v>
      </c>
      <c r="R21" s="6">
        <f t="shared" si="1"/>
        <v>725400</v>
      </c>
    </row>
    <row r="22" spans="1:18" x14ac:dyDescent="0.25">
      <c r="A22" s="31">
        <v>19</v>
      </c>
      <c r="B22" s="16" t="s">
        <v>26</v>
      </c>
      <c r="C22" s="13" t="s">
        <v>27</v>
      </c>
      <c r="D22" s="13" t="s">
        <v>15</v>
      </c>
      <c r="E22" s="12" t="s">
        <v>3</v>
      </c>
      <c r="F22" s="13" t="s">
        <v>4</v>
      </c>
      <c r="G22" s="13" t="s">
        <v>12</v>
      </c>
      <c r="H22" s="13" t="s">
        <v>12</v>
      </c>
      <c r="I22" s="7">
        <v>2012</v>
      </c>
      <c r="J22" s="6">
        <v>1136</v>
      </c>
      <c r="K22" s="6">
        <v>6</v>
      </c>
      <c r="L22" s="7" t="s">
        <v>59</v>
      </c>
      <c r="M22" s="7">
        <v>60</v>
      </c>
      <c r="N22" s="23">
        <v>0.9</v>
      </c>
      <c r="O22" s="7">
        <v>1400</v>
      </c>
      <c r="P22" s="6">
        <f t="shared" si="3"/>
        <v>1590400</v>
      </c>
      <c r="Q22" s="6">
        <f t="shared" si="0"/>
        <v>262416.00000000006</v>
      </c>
      <c r="R22" s="6">
        <f t="shared" si="1"/>
        <v>1327984</v>
      </c>
    </row>
    <row r="23" spans="1:18" x14ac:dyDescent="0.25">
      <c r="A23" s="31">
        <v>20</v>
      </c>
      <c r="B23" s="16" t="s">
        <v>28</v>
      </c>
      <c r="C23" s="13" t="s">
        <v>27</v>
      </c>
      <c r="D23" s="13" t="s">
        <v>15</v>
      </c>
      <c r="E23" s="12" t="s">
        <v>3</v>
      </c>
      <c r="F23" s="13" t="s">
        <v>4</v>
      </c>
      <c r="G23" s="13" t="s">
        <v>12</v>
      </c>
      <c r="H23" s="13" t="s">
        <v>29</v>
      </c>
      <c r="I23" s="7">
        <v>2012</v>
      </c>
      <c r="J23" s="6">
        <v>1397</v>
      </c>
      <c r="K23" s="6">
        <v>6</v>
      </c>
      <c r="L23" s="7" t="s">
        <v>59</v>
      </c>
      <c r="M23" s="7">
        <v>60</v>
      </c>
      <c r="N23" s="23">
        <v>0.9</v>
      </c>
      <c r="O23" s="7">
        <v>1400</v>
      </c>
      <c r="P23" s="6">
        <f t="shared" si="3"/>
        <v>1955800</v>
      </c>
      <c r="Q23" s="6">
        <f t="shared" si="0"/>
        <v>322707.00000000006</v>
      </c>
      <c r="R23" s="6">
        <f t="shared" si="1"/>
        <v>1633093</v>
      </c>
    </row>
    <row r="24" spans="1:18" x14ac:dyDescent="0.25">
      <c r="A24" s="31">
        <v>21</v>
      </c>
      <c r="B24" s="16" t="s">
        <v>30</v>
      </c>
      <c r="C24" s="13" t="s">
        <v>27</v>
      </c>
      <c r="D24" s="13" t="s">
        <v>15</v>
      </c>
      <c r="E24" s="12" t="s">
        <v>3</v>
      </c>
      <c r="F24" s="13" t="s">
        <v>4</v>
      </c>
      <c r="G24" s="13" t="s">
        <v>12</v>
      </c>
      <c r="H24" s="13" t="s">
        <v>31</v>
      </c>
      <c r="I24" s="7">
        <v>2012</v>
      </c>
      <c r="J24" s="6">
        <v>1194</v>
      </c>
      <c r="K24" s="6">
        <v>6</v>
      </c>
      <c r="L24" s="7" t="s">
        <v>59</v>
      </c>
      <c r="M24" s="7">
        <v>60</v>
      </c>
      <c r="N24" s="23">
        <v>0.9</v>
      </c>
      <c r="O24" s="7">
        <v>1400</v>
      </c>
      <c r="P24" s="6">
        <f t="shared" si="3"/>
        <v>1671600</v>
      </c>
      <c r="Q24" s="6">
        <f t="shared" si="0"/>
        <v>275814.00000000006</v>
      </c>
      <c r="R24" s="6">
        <f t="shared" si="1"/>
        <v>1395786</v>
      </c>
    </row>
    <row r="25" spans="1:18" x14ac:dyDescent="0.25">
      <c r="A25" s="31">
        <v>22</v>
      </c>
      <c r="B25" s="16" t="str">
        <f>PROPER("I.E PLANT")</f>
        <v>I.E Plant</v>
      </c>
      <c r="C25" s="13" t="s">
        <v>14</v>
      </c>
      <c r="D25" s="13" t="s">
        <v>32</v>
      </c>
      <c r="E25" s="13" t="s">
        <v>33</v>
      </c>
      <c r="F25" s="13" t="s">
        <v>4</v>
      </c>
      <c r="G25" s="13" t="s">
        <v>12</v>
      </c>
      <c r="H25" s="13" t="s">
        <v>12</v>
      </c>
      <c r="I25" s="7">
        <v>2012</v>
      </c>
      <c r="J25" s="6">
        <v>5516</v>
      </c>
      <c r="K25" s="25">
        <v>30.725000000000001</v>
      </c>
      <c r="L25" s="7" t="s">
        <v>59</v>
      </c>
      <c r="M25" s="7">
        <v>45</v>
      </c>
      <c r="N25" s="23">
        <v>0.9</v>
      </c>
      <c r="O25" s="24">
        <v>1500</v>
      </c>
      <c r="P25" s="6">
        <f t="shared" si="3"/>
        <v>8274000</v>
      </c>
      <c r="Q25" s="6">
        <f t="shared" si="0"/>
        <v>1820280</v>
      </c>
      <c r="R25" s="6">
        <f t="shared" si="1"/>
        <v>6453720</v>
      </c>
    </row>
    <row r="26" spans="1:18" x14ac:dyDescent="0.25">
      <c r="A26" s="31">
        <v>23</v>
      </c>
      <c r="B26" s="16" t="str">
        <f>PROPER("SWITCH YARD")</f>
        <v>Switch Yard</v>
      </c>
      <c r="C26" s="13" t="s">
        <v>27</v>
      </c>
      <c r="D26" s="13" t="s">
        <v>15</v>
      </c>
      <c r="E26" s="12" t="s">
        <v>3</v>
      </c>
      <c r="F26" s="13" t="s">
        <v>4</v>
      </c>
      <c r="G26" s="13" t="s">
        <v>31</v>
      </c>
      <c r="H26" s="13" t="s">
        <v>31</v>
      </c>
      <c r="I26" s="7">
        <v>2012</v>
      </c>
      <c r="J26" s="6">
        <v>2128</v>
      </c>
      <c r="K26" s="6">
        <v>6</v>
      </c>
      <c r="L26" s="7" t="s">
        <v>59</v>
      </c>
      <c r="M26" s="7">
        <v>60</v>
      </c>
      <c r="N26" s="23">
        <v>0.9</v>
      </c>
      <c r="O26" s="7">
        <v>1400</v>
      </c>
      <c r="P26" s="6">
        <f t="shared" si="3"/>
        <v>2979200</v>
      </c>
      <c r="Q26" s="6">
        <f t="shared" si="0"/>
        <v>491568</v>
      </c>
      <c r="R26" s="6">
        <f t="shared" si="1"/>
        <v>2487632</v>
      </c>
    </row>
    <row r="27" spans="1:18" x14ac:dyDescent="0.25">
      <c r="A27" s="31">
        <v>24</v>
      </c>
      <c r="B27" s="16" t="s">
        <v>34</v>
      </c>
      <c r="C27" s="13" t="s">
        <v>27</v>
      </c>
      <c r="D27" s="13" t="s">
        <v>15</v>
      </c>
      <c r="E27" s="12" t="s">
        <v>3</v>
      </c>
      <c r="F27" s="13" t="s">
        <v>4</v>
      </c>
      <c r="G27" s="13" t="s">
        <v>31</v>
      </c>
      <c r="H27" s="13" t="s">
        <v>31</v>
      </c>
      <c r="I27" s="7">
        <v>2012</v>
      </c>
      <c r="J27" s="6">
        <v>260</v>
      </c>
      <c r="K27" s="25">
        <v>6</v>
      </c>
      <c r="L27" s="7" t="s">
        <v>59</v>
      </c>
      <c r="M27" s="7">
        <v>60</v>
      </c>
      <c r="N27" s="23">
        <v>0.9</v>
      </c>
      <c r="O27" s="7">
        <v>1400</v>
      </c>
      <c r="P27" s="6">
        <f t="shared" si="3"/>
        <v>364000</v>
      </c>
      <c r="Q27" s="6">
        <f t="shared" si="0"/>
        <v>60060</v>
      </c>
      <c r="R27" s="6">
        <f t="shared" si="1"/>
        <v>303940</v>
      </c>
    </row>
    <row r="28" spans="1:18" x14ac:dyDescent="0.25">
      <c r="A28" s="31">
        <v>25</v>
      </c>
      <c r="B28" s="16" t="s">
        <v>35</v>
      </c>
      <c r="C28" s="13" t="s">
        <v>14</v>
      </c>
      <c r="D28" s="13" t="s">
        <v>15</v>
      </c>
      <c r="E28" s="13" t="s">
        <v>36</v>
      </c>
      <c r="F28" s="13" t="s">
        <v>12</v>
      </c>
      <c r="G28" s="13" t="s">
        <v>12</v>
      </c>
      <c r="H28" s="13" t="s">
        <v>12</v>
      </c>
      <c r="I28" s="7">
        <v>2012</v>
      </c>
      <c r="J28" s="6">
        <v>1960</v>
      </c>
      <c r="K28" s="6">
        <v>2.75</v>
      </c>
      <c r="L28" s="7" t="s">
        <v>59</v>
      </c>
      <c r="M28" s="7">
        <v>45</v>
      </c>
      <c r="N28" s="23">
        <v>0.9</v>
      </c>
      <c r="O28" s="7">
        <v>1200</v>
      </c>
      <c r="P28" s="6">
        <f t="shared" si="3"/>
        <v>2352000</v>
      </c>
      <c r="Q28" s="6">
        <f t="shared" si="0"/>
        <v>517440</v>
      </c>
      <c r="R28" s="6">
        <f t="shared" si="1"/>
        <v>1834560</v>
      </c>
    </row>
    <row r="29" spans="1:18" x14ac:dyDescent="0.25">
      <c r="A29" s="31">
        <v>26</v>
      </c>
      <c r="B29" s="16" t="s">
        <v>37</v>
      </c>
      <c r="C29" s="13" t="s">
        <v>27</v>
      </c>
      <c r="D29" s="13" t="s">
        <v>15</v>
      </c>
      <c r="E29" s="12" t="s">
        <v>3</v>
      </c>
      <c r="F29" s="13" t="s">
        <v>4</v>
      </c>
      <c r="G29" s="13" t="s">
        <v>31</v>
      </c>
      <c r="H29" s="13" t="s">
        <v>31</v>
      </c>
      <c r="I29" s="7">
        <v>2012</v>
      </c>
      <c r="J29" s="6">
        <v>162</v>
      </c>
      <c r="K29" s="6">
        <v>3.6</v>
      </c>
      <c r="L29" s="7" t="s">
        <v>59</v>
      </c>
      <c r="M29" s="7">
        <v>60</v>
      </c>
      <c r="N29" s="23">
        <v>0.9</v>
      </c>
      <c r="O29" s="7">
        <v>1400</v>
      </c>
      <c r="P29" s="6">
        <f t="shared" si="3"/>
        <v>226800</v>
      </c>
      <c r="Q29" s="6">
        <f t="shared" si="0"/>
        <v>37422.000000000007</v>
      </c>
      <c r="R29" s="6">
        <f t="shared" si="1"/>
        <v>189378</v>
      </c>
    </row>
    <row r="30" spans="1:18" x14ac:dyDescent="0.25">
      <c r="A30" s="31">
        <v>27</v>
      </c>
      <c r="B30" s="16" t="s">
        <v>38</v>
      </c>
      <c r="C30" s="13" t="s">
        <v>14</v>
      </c>
      <c r="D30" s="13" t="s">
        <v>32</v>
      </c>
      <c r="E30" s="13" t="s">
        <v>33</v>
      </c>
      <c r="F30" s="13" t="s">
        <v>4</v>
      </c>
      <c r="G30" s="13" t="s">
        <v>12</v>
      </c>
      <c r="H30" s="13" t="s">
        <v>12</v>
      </c>
      <c r="I30" s="7">
        <v>2012</v>
      </c>
      <c r="J30" s="6">
        <v>2756</v>
      </c>
      <c r="K30" s="6">
        <v>15.5</v>
      </c>
      <c r="L30" s="7" t="s">
        <v>59</v>
      </c>
      <c r="M30" s="7">
        <v>45</v>
      </c>
      <c r="N30" s="23">
        <v>0.9</v>
      </c>
      <c r="O30" s="7">
        <v>1400</v>
      </c>
      <c r="P30" s="6">
        <f t="shared" si="3"/>
        <v>3858400</v>
      </c>
      <c r="Q30" s="6">
        <f t="shared" si="0"/>
        <v>848848</v>
      </c>
      <c r="R30" s="6">
        <f t="shared" si="1"/>
        <v>3009552</v>
      </c>
    </row>
    <row r="31" spans="1:18" x14ac:dyDescent="0.25">
      <c r="A31" s="31">
        <v>28</v>
      </c>
      <c r="B31" s="16" t="s">
        <v>39</v>
      </c>
      <c r="C31" s="13" t="s">
        <v>14</v>
      </c>
      <c r="D31" s="13" t="s">
        <v>32</v>
      </c>
      <c r="E31" s="13" t="s">
        <v>33</v>
      </c>
      <c r="F31" s="13" t="s">
        <v>4</v>
      </c>
      <c r="G31" s="13" t="s">
        <v>12</v>
      </c>
      <c r="H31" s="13" t="s">
        <v>12</v>
      </c>
      <c r="I31" s="7">
        <v>2012</v>
      </c>
      <c r="J31" s="6">
        <v>1099</v>
      </c>
      <c r="K31" s="6">
        <v>6.5</v>
      </c>
      <c r="L31" s="7" t="s">
        <v>59</v>
      </c>
      <c r="M31" s="7">
        <v>45</v>
      </c>
      <c r="N31" s="23">
        <v>0.9</v>
      </c>
      <c r="O31" s="7">
        <v>1200</v>
      </c>
      <c r="P31" s="6">
        <f t="shared" si="3"/>
        <v>1318800</v>
      </c>
      <c r="Q31" s="6">
        <f t="shared" si="0"/>
        <v>290136</v>
      </c>
      <c r="R31" s="6">
        <f t="shared" si="1"/>
        <v>1028664</v>
      </c>
    </row>
    <row r="32" spans="1:18" x14ac:dyDescent="0.25">
      <c r="A32" s="31">
        <v>29</v>
      </c>
      <c r="B32" s="16" t="s">
        <v>40</v>
      </c>
      <c r="C32" s="13" t="s">
        <v>27</v>
      </c>
      <c r="D32" s="13" t="s">
        <v>15</v>
      </c>
      <c r="E32" s="12" t="s">
        <v>3</v>
      </c>
      <c r="F32" s="13" t="s">
        <v>4</v>
      </c>
      <c r="G32" s="13" t="s">
        <v>12</v>
      </c>
      <c r="H32" s="13" t="s">
        <v>12</v>
      </c>
      <c r="I32" s="7">
        <v>2012</v>
      </c>
      <c r="J32" s="6">
        <v>6435</v>
      </c>
      <c r="K32" s="6">
        <v>3.5</v>
      </c>
      <c r="L32" s="7" t="s">
        <v>59</v>
      </c>
      <c r="M32" s="7">
        <v>60</v>
      </c>
      <c r="N32" s="23">
        <v>0.9</v>
      </c>
      <c r="O32" s="7">
        <v>1400</v>
      </c>
      <c r="P32" s="6">
        <f t="shared" si="3"/>
        <v>9009000</v>
      </c>
      <c r="Q32" s="6">
        <f t="shared" si="0"/>
        <v>1486485</v>
      </c>
      <c r="R32" s="6">
        <f t="shared" si="1"/>
        <v>7522515</v>
      </c>
    </row>
    <row r="33" spans="1:18" x14ac:dyDescent="0.25">
      <c r="A33" s="31">
        <v>30</v>
      </c>
      <c r="B33" s="16" t="s">
        <v>41</v>
      </c>
      <c r="C33" s="13" t="s">
        <v>14</v>
      </c>
      <c r="D33" s="13" t="s">
        <v>42</v>
      </c>
      <c r="E33" s="13" t="s">
        <v>18</v>
      </c>
      <c r="F33" s="13" t="s">
        <v>4</v>
      </c>
      <c r="G33" s="13" t="s">
        <v>12</v>
      </c>
      <c r="H33" s="13" t="s">
        <v>12</v>
      </c>
      <c r="I33" s="7">
        <v>2012</v>
      </c>
      <c r="J33" s="6">
        <v>2060</v>
      </c>
      <c r="K33" s="6">
        <v>7.5</v>
      </c>
      <c r="L33" s="7" t="s">
        <v>59</v>
      </c>
      <c r="M33" s="7">
        <v>45</v>
      </c>
      <c r="N33" s="23">
        <v>0.9</v>
      </c>
      <c r="O33" s="7">
        <v>1200</v>
      </c>
      <c r="P33" s="6">
        <f t="shared" si="3"/>
        <v>2472000</v>
      </c>
      <c r="Q33" s="6">
        <f t="shared" si="0"/>
        <v>543840</v>
      </c>
      <c r="R33" s="6">
        <f t="shared" si="1"/>
        <v>1928160</v>
      </c>
    </row>
    <row r="34" spans="1:18" x14ac:dyDescent="0.25">
      <c r="A34" s="31">
        <v>31</v>
      </c>
      <c r="B34" s="16" t="s">
        <v>43</v>
      </c>
      <c r="C34" s="13" t="s">
        <v>14</v>
      </c>
      <c r="D34" s="13" t="s">
        <v>15</v>
      </c>
      <c r="E34" s="13" t="s">
        <v>44</v>
      </c>
      <c r="F34" s="13" t="s">
        <v>4</v>
      </c>
      <c r="G34" s="13" t="s">
        <v>12</v>
      </c>
      <c r="H34" s="13" t="s">
        <v>12</v>
      </c>
      <c r="I34" s="7">
        <v>2012</v>
      </c>
      <c r="J34" s="6">
        <v>51150</v>
      </c>
      <c r="K34" s="6">
        <v>9.6999999999999993</v>
      </c>
      <c r="L34" s="7" t="s">
        <v>59</v>
      </c>
      <c r="M34" s="7">
        <v>45</v>
      </c>
      <c r="N34" s="23">
        <v>0.9</v>
      </c>
      <c r="O34" s="7">
        <v>1400</v>
      </c>
      <c r="P34" s="6">
        <f t="shared" si="3"/>
        <v>71610000</v>
      </c>
      <c r="Q34" s="6">
        <f t="shared" si="0"/>
        <v>15754200</v>
      </c>
      <c r="R34" s="6">
        <f t="shared" si="1"/>
        <v>55855800</v>
      </c>
    </row>
    <row r="35" spans="1:18" x14ac:dyDescent="0.25">
      <c r="A35" s="31">
        <v>32</v>
      </c>
      <c r="B35" s="16" t="s">
        <v>43</v>
      </c>
      <c r="C35" s="13" t="s">
        <v>14</v>
      </c>
      <c r="D35" s="13" t="s">
        <v>15</v>
      </c>
      <c r="E35" s="13" t="s">
        <v>44</v>
      </c>
      <c r="F35" s="13" t="s">
        <v>4</v>
      </c>
      <c r="G35" s="13" t="s">
        <v>12</v>
      </c>
      <c r="H35" s="13" t="s">
        <v>12</v>
      </c>
      <c r="I35" s="7">
        <v>2012</v>
      </c>
      <c r="J35" s="6">
        <v>51151</v>
      </c>
      <c r="K35" s="6">
        <v>9.6999999999999993</v>
      </c>
      <c r="L35" s="7" t="s">
        <v>59</v>
      </c>
      <c r="M35" s="7">
        <v>45</v>
      </c>
      <c r="N35" s="23">
        <v>0.9</v>
      </c>
      <c r="O35" s="7">
        <v>1400</v>
      </c>
      <c r="P35" s="6">
        <f t="shared" si="3"/>
        <v>71611400</v>
      </c>
      <c r="Q35" s="6">
        <f t="shared" si="0"/>
        <v>15754508</v>
      </c>
      <c r="R35" s="6">
        <f t="shared" si="1"/>
        <v>55856892</v>
      </c>
    </row>
    <row r="36" spans="1:18" x14ac:dyDescent="0.25">
      <c r="A36" s="31">
        <v>33</v>
      </c>
      <c r="B36" s="16" t="s">
        <v>45</v>
      </c>
      <c r="C36" s="13" t="s">
        <v>27</v>
      </c>
      <c r="D36" s="13" t="s">
        <v>15</v>
      </c>
      <c r="E36" s="12" t="s">
        <v>3</v>
      </c>
      <c r="F36" s="13" t="s">
        <v>4</v>
      </c>
      <c r="G36" s="13" t="s">
        <v>46</v>
      </c>
      <c r="H36" s="13" t="s">
        <v>31</v>
      </c>
      <c r="I36" s="7">
        <v>2012</v>
      </c>
      <c r="J36" s="6">
        <v>2667</v>
      </c>
      <c r="K36" s="6">
        <v>5.5</v>
      </c>
      <c r="L36" s="7" t="s">
        <v>59</v>
      </c>
      <c r="M36" s="7">
        <v>60</v>
      </c>
      <c r="N36" s="23">
        <v>0.9</v>
      </c>
      <c r="O36" s="7">
        <v>1400</v>
      </c>
      <c r="P36" s="6">
        <f t="shared" si="3"/>
        <v>3733800</v>
      </c>
      <c r="Q36" s="6">
        <f t="shared" si="0"/>
        <v>616077.00000000012</v>
      </c>
      <c r="R36" s="6">
        <f t="shared" si="1"/>
        <v>3117723</v>
      </c>
    </row>
    <row r="37" spans="1:18" x14ac:dyDescent="0.25">
      <c r="A37" s="31">
        <v>34</v>
      </c>
      <c r="B37" s="16" t="s">
        <v>47</v>
      </c>
      <c r="C37" s="13" t="s">
        <v>14</v>
      </c>
      <c r="D37" s="13" t="s">
        <v>15</v>
      </c>
      <c r="E37" s="13" t="s">
        <v>18</v>
      </c>
      <c r="F37" s="13" t="s">
        <v>4</v>
      </c>
      <c r="G37" s="13" t="s">
        <v>48</v>
      </c>
      <c r="H37" s="13" t="s">
        <v>12</v>
      </c>
      <c r="I37" s="7">
        <v>2012</v>
      </c>
      <c r="J37" s="6">
        <v>1064</v>
      </c>
      <c r="K37" s="6">
        <v>3</v>
      </c>
      <c r="L37" s="7" t="s">
        <v>59</v>
      </c>
      <c r="M37" s="7">
        <v>45</v>
      </c>
      <c r="N37" s="23">
        <v>0.9</v>
      </c>
      <c r="O37" s="7">
        <v>1200</v>
      </c>
      <c r="P37" s="6">
        <f t="shared" si="3"/>
        <v>1276800</v>
      </c>
      <c r="Q37" s="6">
        <f t="shared" si="0"/>
        <v>280896</v>
      </c>
      <c r="R37" s="6">
        <f t="shared" si="1"/>
        <v>995904</v>
      </c>
    </row>
    <row r="38" spans="1:18" x14ac:dyDescent="0.25">
      <c r="A38" s="31">
        <v>35</v>
      </c>
      <c r="B38" s="16" t="s">
        <v>49</v>
      </c>
      <c r="C38" s="13"/>
      <c r="D38" s="13"/>
      <c r="E38" s="13" t="s">
        <v>50</v>
      </c>
      <c r="F38" s="13" t="s">
        <v>4</v>
      </c>
      <c r="G38" s="13"/>
      <c r="H38" s="13"/>
      <c r="I38" s="7">
        <v>2012</v>
      </c>
      <c r="J38" s="6">
        <v>400</v>
      </c>
      <c r="K38" s="6">
        <v>3</v>
      </c>
      <c r="N38" s="10"/>
      <c r="P38" s="6"/>
      <c r="Q38" s="6"/>
      <c r="R38" s="6"/>
    </row>
    <row r="41" spans="1:18" x14ac:dyDescent="0.25">
      <c r="E41" s="32" t="s">
        <v>61</v>
      </c>
      <c r="F41" s="32"/>
      <c r="G41" s="32"/>
      <c r="H41" s="32"/>
      <c r="I41" s="32"/>
    </row>
    <row r="42" spans="1:18" x14ac:dyDescent="0.25">
      <c r="B42" s="14" t="s">
        <v>60</v>
      </c>
      <c r="E42" s="24">
        <v>29.96</v>
      </c>
      <c r="F42" s="24"/>
      <c r="G42" s="24"/>
      <c r="H42" s="24"/>
      <c r="I42" s="25">
        <f>E42*4046.84*0.3</f>
        <v>36372.997920000002</v>
      </c>
      <c r="J42" s="24">
        <v>150</v>
      </c>
      <c r="K42" s="25"/>
      <c r="L42" s="24"/>
      <c r="M42" s="29"/>
      <c r="N42" s="24"/>
      <c r="O42" s="24"/>
      <c r="P42" s="30">
        <f>J42*I42</f>
        <v>5455949.6880000001</v>
      </c>
      <c r="Q42" s="24"/>
      <c r="R42" s="30">
        <f>P42</f>
        <v>5455949.6880000001</v>
      </c>
    </row>
    <row r="43" spans="1:18" x14ac:dyDescent="0.25">
      <c r="B43" s="14" t="s">
        <v>62</v>
      </c>
      <c r="E43" s="7" t="s">
        <v>63</v>
      </c>
      <c r="I43" s="6">
        <f>1.45*10000</f>
        <v>14500</v>
      </c>
      <c r="J43" s="7">
        <v>6000</v>
      </c>
      <c r="P43" s="17">
        <f>J43*I43</f>
        <v>87000000</v>
      </c>
      <c r="Q43" s="17">
        <f>P43*(90%/45)*11</f>
        <v>19140000</v>
      </c>
      <c r="R43" s="17">
        <f>P43-Q43</f>
        <v>67860000</v>
      </c>
    </row>
    <row r="44" spans="1:18" x14ac:dyDescent="0.25">
      <c r="B44" s="14" t="s">
        <v>82</v>
      </c>
      <c r="E44" s="7" t="s">
        <v>83</v>
      </c>
      <c r="I44" s="6">
        <v>1000</v>
      </c>
      <c r="J44" s="7">
        <v>1500</v>
      </c>
      <c r="P44" s="17">
        <f>J44*I44*3</f>
        <v>4500000</v>
      </c>
      <c r="R44" s="17">
        <v>5000000</v>
      </c>
    </row>
    <row r="45" spans="1:18" x14ac:dyDescent="0.25">
      <c r="I45" s="17"/>
      <c r="J45" s="17"/>
      <c r="P45" s="17">
        <f>SUM(P42:P44)</f>
        <v>96955949.687999994</v>
      </c>
      <c r="R45" s="17">
        <f>R44+R43+R42</f>
        <v>78315949.687999994</v>
      </c>
    </row>
    <row r="46" spans="1:18" x14ac:dyDescent="0.25">
      <c r="P46" s="6">
        <f>P45+P2</f>
        <v>365933999.68799996</v>
      </c>
      <c r="R46" s="6">
        <f>R45+R2</f>
        <v>291979655.43799996</v>
      </c>
    </row>
    <row r="47" spans="1:18" x14ac:dyDescent="0.25">
      <c r="Q47" s="7" t="s">
        <v>85</v>
      </c>
      <c r="R47" s="6">
        <f>'Land Valuation'!I27</f>
        <v>239680000</v>
      </c>
    </row>
    <row r="48" spans="1:18" x14ac:dyDescent="0.25">
      <c r="Q48" s="7" t="s">
        <v>86</v>
      </c>
      <c r="R48" s="6">
        <f>[1]Sheet2!$G$23</f>
        <v>3127641979.468399</v>
      </c>
    </row>
    <row r="49" spans="17:21" x14ac:dyDescent="0.25">
      <c r="Q49" s="7" t="s">
        <v>87</v>
      </c>
      <c r="R49" s="17">
        <f>R48+R47+R46</f>
        <v>3659301634.9063988</v>
      </c>
    </row>
    <row r="50" spans="17:21" x14ac:dyDescent="0.25">
      <c r="R50" s="6">
        <f>366*10^7</f>
        <v>3660000000</v>
      </c>
      <c r="U50" s="11">
        <v>368</v>
      </c>
    </row>
    <row r="51" spans="17:21" x14ac:dyDescent="0.25">
      <c r="R51" s="6">
        <f>R50*0.85</f>
        <v>3111000000</v>
      </c>
      <c r="U51" s="11">
        <v>314</v>
      </c>
    </row>
    <row r="52" spans="17:21" x14ac:dyDescent="0.25">
      <c r="R52" s="6">
        <f>R50*0.75</f>
        <v>2745000000</v>
      </c>
      <c r="U52" s="11">
        <f>U51/U50</f>
        <v>0.85326086956521741</v>
      </c>
    </row>
  </sheetData>
  <autoFilter ref="A3:R38"/>
  <mergeCells count="1">
    <mergeCell ref="E41:I41"/>
  </mergeCells>
  <dataValidations disablePrompts="1" count="1">
    <dataValidation type="list" allowBlank="1" showInputMessage="1" showErrorMessage="1" sqref="L4:L38">
      <formula1>"Very Good, Good, Average, Poor, Ordinary with wreckages in the structure"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2"/>
  <sheetViews>
    <sheetView workbookViewId="0">
      <selection activeCell="I27" sqref="I27"/>
    </sheetView>
  </sheetViews>
  <sheetFormatPr defaultRowHeight="15" x14ac:dyDescent="0.25"/>
  <cols>
    <col min="3" max="3" width="11.85546875" bestFit="1" customWidth="1"/>
    <col min="4" max="4" width="10.5703125" style="20" bestFit="1" customWidth="1"/>
    <col min="5" max="5" width="14.85546875" style="20" bestFit="1" customWidth="1"/>
    <col min="7" max="7" width="9.5703125" bestFit="1" customWidth="1"/>
    <col min="8" max="8" width="13.7109375" customWidth="1"/>
    <col min="9" max="9" width="13.28515625" style="20" bestFit="1" customWidth="1"/>
    <col min="10" max="10" width="54.42578125" customWidth="1"/>
  </cols>
  <sheetData>
    <row r="3" spans="2:10" x14ac:dyDescent="0.25">
      <c r="C3" s="22">
        <v>217800</v>
      </c>
      <c r="D3" s="20" t="s">
        <v>64</v>
      </c>
    </row>
    <row r="4" spans="2:10" x14ac:dyDescent="0.25">
      <c r="C4" s="20">
        <f>C3/10.764</f>
        <v>20234.113712374583</v>
      </c>
    </row>
    <row r="5" spans="2:10" x14ac:dyDescent="0.25">
      <c r="C5" s="19">
        <f>C4/4046.84</f>
        <v>4.9999786777768787</v>
      </c>
      <c r="D5" s="19">
        <v>2.2000000000000002</v>
      </c>
      <c r="E5" s="20">
        <f>D5*10^7</f>
        <v>22000000</v>
      </c>
      <c r="H5" t="s">
        <v>65</v>
      </c>
    </row>
    <row r="6" spans="2:10" x14ac:dyDescent="0.25">
      <c r="E6" s="20">
        <f>E5/C5</f>
        <v>4400018.7636363637</v>
      </c>
    </row>
    <row r="7" spans="2:10" x14ac:dyDescent="0.25">
      <c r="E7" s="20">
        <v>29.96</v>
      </c>
    </row>
    <row r="8" spans="2:10" x14ac:dyDescent="0.25">
      <c r="E8" s="20">
        <f>E7*E6</f>
        <v>131824562.15854546</v>
      </c>
    </row>
    <row r="10" spans="2:10" x14ac:dyDescent="0.25">
      <c r="C10" t="s">
        <v>66</v>
      </c>
      <c r="D10" s="20" t="s">
        <v>64</v>
      </c>
      <c r="E10" s="20" t="s">
        <v>67</v>
      </c>
      <c r="F10" t="s">
        <v>68</v>
      </c>
    </row>
    <row r="11" spans="2:10" x14ac:dyDescent="0.25">
      <c r="B11" s="21"/>
      <c r="C11">
        <v>1210</v>
      </c>
      <c r="D11" s="20">
        <f>C11*9</f>
        <v>10890</v>
      </c>
      <c r="E11" s="20">
        <f>D11/10.764</f>
        <v>1011.7056856187291</v>
      </c>
      <c r="F11" s="21">
        <f>E11/4046.84</f>
        <v>0.24999893388884392</v>
      </c>
      <c r="G11">
        <v>7</v>
      </c>
      <c r="H11" s="20">
        <f>G11*10^5</f>
        <v>700000</v>
      </c>
      <c r="I11" s="20">
        <f>H11/F11</f>
        <v>2800011.9404958677</v>
      </c>
      <c r="J11" t="s">
        <v>69</v>
      </c>
    </row>
    <row r="12" spans="2:10" x14ac:dyDescent="0.25">
      <c r="B12" s="21"/>
      <c r="C12">
        <v>2420</v>
      </c>
      <c r="D12" s="20">
        <f>C12*9</f>
        <v>21780</v>
      </c>
      <c r="E12" s="20">
        <f>D12/10.764</f>
        <v>2023.4113712374583</v>
      </c>
      <c r="F12" s="21">
        <f>E12/4046.84</f>
        <v>0.49999786777768784</v>
      </c>
      <c r="G12">
        <v>13</v>
      </c>
      <c r="H12" s="20">
        <f>G12*10^5</f>
        <v>1300000</v>
      </c>
      <c r="I12" s="20">
        <f>H12/F12</f>
        <v>2600011.0876033055</v>
      </c>
      <c r="J12" t="s">
        <v>70</v>
      </c>
    </row>
    <row r="13" spans="2:10" x14ac:dyDescent="0.25">
      <c r="B13" s="21"/>
      <c r="C13">
        <v>4840</v>
      </c>
      <c r="D13" s="20">
        <f>C13*9</f>
        <v>43560</v>
      </c>
      <c r="E13" s="20">
        <f>D13/10.764</f>
        <v>4046.8227424749166</v>
      </c>
      <c r="F13" s="21">
        <f>E13/4046.84</f>
        <v>0.99999573555537569</v>
      </c>
      <c r="G13">
        <v>26</v>
      </c>
      <c r="H13" s="20">
        <f>G13*10^5</f>
        <v>2600000</v>
      </c>
      <c r="I13" s="20">
        <f>H13/F13</f>
        <v>2600011.0876033055</v>
      </c>
      <c r="J13" t="s">
        <v>71</v>
      </c>
    </row>
    <row r="18" spans="4:9" x14ac:dyDescent="0.25">
      <c r="D18" s="20">
        <v>70</v>
      </c>
      <c r="E18" s="20">
        <v>80</v>
      </c>
    </row>
    <row r="19" spans="4:9" x14ac:dyDescent="0.25">
      <c r="D19" s="20">
        <v>100</v>
      </c>
      <c r="E19" s="20">
        <f>E18*E7</f>
        <v>2396.8000000000002</v>
      </c>
    </row>
    <row r="24" spans="4:9" x14ac:dyDescent="0.25">
      <c r="D24" s="33" t="s">
        <v>77</v>
      </c>
      <c r="E24" s="19">
        <v>29.96</v>
      </c>
      <c r="F24" t="s">
        <v>68</v>
      </c>
      <c r="G24" s="32" t="s">
        <v>79</v>
      </c>
    </row>
    <row r="25" spans="4:9" x14ac:dyDescent="0.25">
      <c r="D25" s="33"/>
      <c r="E25" s="20">
        <f>E24*4046.84</f>
        <v>121243.32640000001</v>
      </c>
      <c r="F25" t="s">
        <v>67</v>
      </c>
      <c r="G25" s="32"/>
    </row>
    <row r="26" spans="4:9" x14ac:dyDescent="0.25">
      <c r="D26" s="33"/>
      <c r="E26" s="20">
        <f>E25*10.764</f>
        <v>1305063.1653696001</v>
      </c>
      <c r="F26" t="s">
        <v>72</v>
      </c>
      <c r="G26" s="32"/>
      <c r="I26" s="20">
        <v>8000000</v>
      </c>
    </row>
    <row r="27" spans="4:9" x14ac:dyDescent="0.25">
      <c r="D27" s="33"/>
      <c r="E27" s="20">
        <f>E26/9</f>
        <v>145007.01837440001</v>
      </c>
      <c r="F27" t="s">
        <v>73</v>
      </c>
      <c r="G27" s="32"/>
      <c r="I27" s="20">
        <f>I26*E24</f>
        <v>239680000</v>
      </c>
    </row>
    <row r="28" spans="4:9" x14ac:dyDescent="0.25">
      <c r="D28" s="33"/>
      <c r="E28" s="20">
        <v>1100</v>
      </c>
      <c r="F28" t="s">
        <v>74</v>
      </c>
      <c r="G28" t="s">
        <v>80</v>
      </c>
    </row>
    <row r="29" spans="4:9" x14ac:dyDescent="0.25">
      <c r="D29" s="33"/>
      <c r="E29" s="20">
        <f>E28*E27</f>
        <v>159507720.21184</v>
      </c>
      <c r="G29" t="s">
        <v>77</v>
      </c>
    </row>
    <row r="30" spans="4:9" x14ac:dyDescent="0.25">
      <c r="D30" s="33"/>
      <c r="E30" s="20">
        <f>E29/E24</f>
        <v>5324022.7039999999</v>
      </c>
      <c r="F30" t="s">
        <v>75</v>
      </c>
      <c r="G30" s="32" t="s">
        <v>81</v>
      </c>
    </row>
    <row r="31" spans="4:9" x14ac:dyDescent="0.25">
      <c r="D31" s="33"/>
      <c r="E31" s="19">
        <f>E30/E25</f>
        <v>43.911882510013349</v>
      </c>
      <c r="F31" t="s">
        <v>76</v>
      </c>
      <c r="G31" s="32"/>
    </row>
    <row r="32" spans="4:9" x14ac:dyDescent="0.25">
      <c r="E32" s="20">
        <f>E29/E26</f>
        <v>122.22222222222221</v>
      </c>
      <c r="F32" t="s">
        <v>78</v>
      </c>
      <c r="G32" s="32"/>
    </row>
  </sheetData>
  <mergeCells count="3">
    <mergeCell ref="D24:D31"/>
    <mergeCell ref="G24:G27"/>
    <mergeCell ref="G30:G3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8"/>
  <sheetViews>
    <sheetView workbookViewId="0">
      <selection activeCell="J1" sqref="J1"/>
    </sheetView>
  </sheetViews>
  <sheetFormatPr defaultRowHeight="15" x14ac:dyDescent="0.25"/>
  <sheetData>
    <row r="28" spans="5:5" x14ac:dyDescent="0.25">
      <c r="E28" t="s">
        <v>84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J1"/>
  <sheetViews>
    <sheetView workbookViewId="0">
      <selection activeCell="J1" sqref="J1"/>
    </sheetView>
  </sheetViews>
  <sheetFormatPr defaultRowHeight="15" x14ac:dyDescent="0.25"/>
  <cols>
    <col min="4" max="4" width="12.28515625" bestFit="1" customWidth="1"/>
    <col min="6" max="6" width="9.5703125" style="20" bestFit="1" customWidth="1"/>
    <col min="7" max="10" width="9.28515625" style="20" bestFit="1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Building Valuation</vt:lpstr>
      <vt:lpstr>Land Valuation</vt:lpstr>
      <vt:lpstr>Sheet2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Deepak Singh</dc:creator>
  <cp:lastModifiedBy>Abhinav Chaturvedi</cp:lastModifiedBy>
  <dcterms:created xsi:type="dcterms:W3CDTF">2023-12-07T05:59:11Z</dcterms:created>
  <dcterms:modified xsi:type="dcterms:W3CDTF">2024-05-09T05:36:53Z</dcterms:modified>
</cp:coreProperties>
</file>