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Z:\In Progress Files\Yash Bhatnagar\WIP\VIS(2023-24)-PL387-315-499Varahmurti\"/>
    </mc:Choice>
  </mc:AlternateContent>
  <xr:revisionPtr revIDLastSave="0" documentId="13_ncr:1_{98144E8B-C78F-4467-B716-75B4A7FF1B4D}" xr6:coauthVersionLast="47" xr6:coauthVersionMax="47" xr10:uidLastSave="{00000000-0000-0000-0000-000000000000}"/>
  <bookViews>
    <workbookView showVerticalScroll="0" xWindow="-120" yWindow="-120" windowWidth="21840" windowHeight="13140" xr2:uid="{00000000-000D-0000-FFFF-FFFF00000000}"/>
  </bookViews>
  <sheets>
    <sheet name="Building" sheetId="1" r:id="rId1"/>
    <sheet name="Boundary" sheetId="3" r:id="rId2"/>
  </sheets>
  <definedNames>
    <definedName name="_xlnm.Print_Area" localSheetId="0">Building!$A$1:$R$18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5" i="1" l="1"/>
  <c r="W6" i="1"/>
  <c r="W18" i="1"/>
  <c r="W19" i="1"/>
  <c r="W11" i="1"/>
  <c r="T8" i="1"/>
  <c r="T12" i="1"/>
  <c r="T13" i="1"/>
  <c r="E14" i="1"/>
  <c r="E5" i="1"/>
  <c r="T5" i="1" s="1"/>
  <c r="E6" i="1"/>
  <c r="T6" i="1" s="1"/>
  <c r="E7" i="1"/>
  <c r="T7" i="1" s="1"/>
  <c r="E8" i="1"/>
  <c r="E9" i="1"/>
  <c r="T9" i="1" s="1"/>
  <c r="E10" i="1"/>
  <c r="T10" i="1" s="1"/>
  <c r="E11" i="1"/>
  <c r="T11" i="1" s="1"/>
  <c r="E4" i="1"/>
  <c r="T4" i="1" s="1"/>
  <c r="K6" i="3"/>
  <c r="I6" i="3"/>
  <c r="F6" i="3"/>
  <c r="T14" i="1" l="1"/>
  <c r="W8" i="1"/>
  <c r="L6" i="3"/>
  <c r="M6" i="3" s="1"/>
  <c r="O6" i="3" s="1"/>
  <c r="P38" i="1" l="1"/>
  <c r="P37" i="1"/>
  <c r="L5" i="1"/>
  <c r="L6" i="1"/>
  <c r="L7" i="1"/>
  <c r="L8" i="1"/>
  <c r="L9" i="1"/>
  <c r="L10" i="1"/>
  <c r="L11" i="1"/>
  <c r="O5" i="1"/>
  <c r="N5" i="1"/>
  <c r="P5" i="1" s="1"/>
  <c r="N6" i="1"/>
  <c r="O6" i="1" s="1"/>
  <c r="N7" i="1"/>
  <c r="N8" i="1"/>
  <c r="N9" i="1"/>
  <c r="O9" i="1" s="1"/>
  <c r="P9" i="1" s="1"/>
  <c r="R9" i="1" s="1"/>
  <c r="N10" i="1"/>
  <c r="N11" i="1"/>
  <c r="I5" i="1"/>
  <c r="I6" i="1"/>
  <c r="I7" i="1"/>
  <c r="I8" i="1"/>
  <c r="I9" i="1"/>
  <c r="I10" i="1"/>
  <c r="I11" i="1"/>
  <c r="D14" i="1"/>
  <c r="T40" i="1"/>
  <c r="T41" i="1" s="1"/>
  <c r="T38" i="1"/>
  <c r="N38" i="1"/>
  <c r="N39" i="1" s="1"/>
  <c r="S38" i="1"/>
  <c r="P6" i="1" l="1"/>
  <c r="O11" i="1"/>
  <c r="O7" i="1"/>
  <c r="P11" i="1"/>
  <c r="R11" i="1" s="1"/>
  <c r="O8" i="1"/>
  <c r="P8" i="1" s="1"/>
  <c r="R8" i="1" s="1"/>
  <c r="O10" i="1"/>
  <c r="P10" i="1" s="1"/>
  <c r="R10" i="1" s="1"/>
  <c r="N14" i="1"/>
  <c r="W21" i="1" s="1"/>
  <c r="P7" i="1"/>
  <c r="T39" i="1"/>
  <c r="T42" i="1"/>
  <c r="T43" i="1" s="1"/>
  <c r="T44" i="1" s="1"/>
  <c r="R6" i="1"/>
  <c r="R5" i="1"/>
  <c r="N4" i="1"/>
  <c r="R7" i="1" l="1"/>
  <c r="L4" i="1"/>
  <c r="I4" i="1" l="1"/>
  <c r="O4" i="1" l="1"/>
  <c r="O14" i="1" s="1"/>
  <c r="P4" i="1" l="1"/>
  <c r="P14" i="1" s="1"/>
  <c r="R4" i="1" l="1"/>
  <c r="R14" i="1" s="1"/>
  <c r="W15" i="1" s="1"/>
  <c r="W16" i="1" s="1"/>
</calcChain>
</file>

<file path=xl/sharedStrings.xml><?xml version="1.0" encoding="utf-8"?>
<sst xmlns="http://schemas.openxmlformats.org/spreadsheetml/2006/main" count="69" uniqueCount="51">
  <si>
    <t>SR. No.</t>
  </si>
  <si>
    <t>Floor</t>
  </si>
  <si>
    <t>Year of Construction</t>
  </si>
  <si>
    <t xml:space="preserve">Year of Valuation </t>
  </si>
  <si>
    <t>Type of Structure</t>
  </si>
  <si>
    <t>Salvage value</t>
  </si>
  <si>
    <t>TOTAL</t>
  </si>
  <si>
    <t>Depreciation Rate</t>
  </si>
  <si>
    <t xml:space="preserve">Depreciation
(INR) </t>
  </si>
  <si>
    <t>Depreciated Value
(INR)</t>
  </si>
  <si>
    <t>Depreciated Replacement Market Value
(INR)</t>
  </si>
  <si>
    <t>Discounting Factor</t>
  </si>
  <si>
    <r>
      <t xml:space="preserve">Total Life Consumed 
</t>
    </r>
    <r>
      <rPr>
        <b/>
        <i/>
        <sz val="10"/>
        <rFont val="Calibri"/>
        <family val="2"/>
        <scheme val="minor"/>
      </rPr>
      <t>(in years)</t>
    </r>
  </si>
  <si>
    <r>
      <t xml:space="preserve">Total Economical Life
</t>
    </r>
    <r>
      <rPr>
        <b/>
        <i/>
        <sz val="10"/>
        <rFont val="Calibri"/>
        <family val="2"/>
        <scheme val="minor"/>
      </rPr>
      <t>(in years)</t>
    </r>
  </si>
  <si>
    <r>
      <t xml:space="preserve">Area 
</t>
    </r>
    <r>
      <rPr>
        <b/>
        <i/>
        <sz val="10"/>
        <rFont val="Calibri"/>
        <family val="2"/>
        <scheme val="minor"/>
      </rPr>
      <t>(in sq.ft)</t>
    </r>
  </si>
  <si>
    <t>Remarks:</t>
  </si>
  <si>
    <r>
      <t>3.</t>
    </r>
    <r>
      <rPr>
        <i/>
        <sz val="10"/>
        <color theme="1"/>
        <rFont val="Calibri"/>
        <family val="2"/>
        <scheme val="minor"/>
      </rPr>
      <t xml:space="preserve"> The valuation is done by considering the depreciated replacement cost approach.</t>
    </r>
  </si>
  <si>
    <t>Circle Rate</t>
  </si>
  <si>
    <t xml:space="preserve">Ground Floor </t>
  </si>
  <si>
    <r>
      <t xml:space="preserve">Built-up Area  Rate 
</t>
    </r>
    <r>
      <rPr>
        <b/>
        <i/>
        <sz val="10"/>
        <rFont val="Calibri"/>
        <family val="2"/>
        <scheme val="minor"/>
      </rPr>
      <t>(in per sq.ft)</t>
    </r>
  </si>
  <si>
    <t>Fair Market Value
(INR)</t>
  </si>
  <si>
    <t>First Floor</t>
  </si>
  <si>
    <t>RCC Framed Structure</t>
  </si>
  <si>
    <r>
      <t xml:space="preserve">1. </t>
    </r>
    <r>
      <rPr>
        <b/>
        <i/>
        <sz val="10"/>
        <color theme="1"/>
        <rFont val="Calibri"/>
        <family val="2"/>
        <scheme val="minor"/>
      </rPr>
      <t>All the details pertaing to the building area statement such as area, floor, etc has been taken from  site survey since no other relevant building area statement has been provided to us by the bank or client.</t>
    </r>
  </si>
  <si>
    <t>Second Floor</t>
  </si>
  <si>
    <t>Store area</t>
  </si>
  <si>
    <t xml:space="preserve">meeting </t>
  </si>
  <si>
    <t>toilet</t>
  </si>
  <si>
    <t>GI Shed</t>
  </si>
  <si>
    <t>Guard room</t>
  </si>
  <si>
    <r>
      <t xml:space="preserve">2. </t>
    </r>
    <r>
      <rPr>
        <i/>
        <sz val="10"/>
        <color theme="1"/>
        <rFont val="Calibri"/>
        <family val="2"/>
        <scheme val="minor"/>
      </rPr>
      <t>All the structure that has been taken in the area statemnet belonging to M/S. VARAHMURTI FLEXIRUB INDUSTRIES PVT. LTD.</t>
    </r>
  </si>
  <si>
    <t>Boundary wall valuation</t>
  </si>
  <si>
    <r>
      <t xml:space="preserve">Wall
</t>
    </r>
    <r>
      <rPr>
        <b/>
        <i/>
        <sz val="10"/>
        <rFont val="Calibri"/>
        <family val="2"/>
        <scheme val="minor"/>
      </rPr>
      <t>(in Running mtr.)As per approved map approx.</t>
    </r>
  </si>
  <si>
    <r>
      <t xml:space="preserve">Plinth Area  Rate 
</t>
    </r>
    <r>
      <rPr>
        <b/>
        <i/>
        <sz val="10"/>
        <rFont val="Calibri"/>
        <family val="2"/>
        <scheme val="minor"/>
      </rPr>
      <t>(in per running mtr)</t>
    </r>
  </si>
  <si>
    <t>Gross Replacement Value
(INR)</t>
  </si>
  <si>
    <t>land</t>
  </si>
  <si>
    <t>building</t>
  </si>
  <si>
    <t>Circle Value</t>
  </si>
  <si>
    <t>Circle Rate (per sq.mtr.)</t>
  </si>
  <si>
    <t>total cicrle</t>
  </si>
  <si>
    <t>Area  (in sq.mtr)</t>
  </si>
  <si>
    <r>
      <t xml:space="preserve">Height  </t>
    </r>
    <r>
      <rPr>
        <b/>
        <i/>
        <sz val="10"/>
        <rFont val="Calibri"/>
        <family val="2"/>
        <scheme val="minor"/>
      </rPr>
      <t>(in ft.)</t>
    </r>
  </si>
  <si>
    <t>wall</t>
  </si>
  <si>
    <t xml:space="preserve">building </t>
  </si>
  <si>
    <t>FMV</t>
  </si>
  <si>
    <t>rv</t>
  </si>
  <si>
    <t>dv</t>
  </si>
  <si>
    <t>round off</t>
  </si>
  <si>
    <t>Circle</t>
  </si>
  <si>
    <t>ins.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</si>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</sst>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quot;₹&quot;\ * #,##0.00_ ;_ &quot;₹&quot;\ * \-#,##0.00_ ;_ &quot;₹&quot;\ * &quot;-&quot;??_ ;_ @_ "/>
    <numFmt numFmtId="43" formatCode="_ * #,##0.00_ ;_ * \-#,##0.00_ ;_ * &quot;-&quot;??_ ;_ @_ "/>
    <numFmt numFmtId="164" formatCode="_(* #,##0.00_);_(* \(#,##0.00\);_(* &quot;-&quot;??_);_(@_)"/>
    <numFmt numFmtId="165" formatCode="_ * #,##0_ ;_ * \-#,##0_ ;_ * &quot;-&quot;??_ ;_ @_ "/>
    <numFmt numFmtId="166" formatCode="0.0000"/>
    <numFmt numFmtId="167" formatCode="_ &quot;₹&quot;\ * #,##0_ ;_ &quot;₹&quot;\ * \-#,##0_ ;_ &quot;₹&quot;\ * &quot;-&quot;??_ ;_ @_ "/>
    <numFmt numFmtId="168" formatCode="_ [$₹-4009]\ * #,##0_ ;_ [$₹-4009]\ * \-#,##0_ ;_ [$₹-4009]\ * &quot;-&quot;??_ ;_ @_ "/>
    <numFmt numFmtId="169" formatCode="_ [$₹-4009]\ * #,##0.00_ ;_ [$₹-4009]\ * \-#,##0.00_ ;_ [$₹-4009]\ * &quot;-&quot;??_ ;_ @_ "/>
    <numFmt numFmtId="170" formatCode="_ [$₹-4009]\ * #,##0_ ;_ [$₹-4009]\ * \-#,##0_ ;_ [$₹-4009]\ * &quot;-&quot;????_ ;_ @_ "/>
    <numFmt numFmtId="171" formatCode="_ &quot;₹&quot;\ * #,##0.0_ ;_ &quot;₹&quot;\ * \-#,##0.0_ ;_ &quot;₹&quot;\ * &quot;-&quot;?_ ;_ @_ "/>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i/>
      <sz val="11"/>
      <color theme="1"/>
      <name val="Calibri"/>
      <family val="2"/>
      <scheme val="minor"/>
    </font>
    <font>
      <b/>
      <sz val="11"/>
      <name val="Calibri"/>
      <family val="2"/>
      <scheme val="minor"/>
    </font>
    <font>
      <b/>
      <i/>
      <sz val="10"/>
      <name val="Calibri"/>
      <family val="2"/>
      <scheme val="minor"/>
    </font>
    <font>
      <sz val="11"/>
      <name val="Calibri"/>
      <family val="2"/>
      <scheme val="minor"/>
    </font>
    <font>
      <i/>
      <sz val="11"/>
      <color theme="1"/>
      <name val="Calibri"/>
      <family val="2"/>
      <scheme val="minor"/>
    </font>
    <font>
      <b/>
      <i/>
      <sz val="10"/>
      <color theme="1"/>
      <name val="Calibri"/>
      <family val="2"/>
      <scheme val="minor"/>
    </font>
    <font>
      <i/>
      <sz val="10"/>
      <color theme="1"/>
      <name val="Calibri"/>
      <family val="2"/>
      <scheme val="minor"/>
    </font>
    <font>
      <b/>
      <sz val="12"/>
      <name val="Calibri"/>
      <family val="2"/>
      <scheme val="minor"/>
    </font>
    <font>
      <b/>
      <sz val="12"/>
      <color theme="1"/>
      <name val="Calibri"/>
      <family val="2"/>
      <scheme val="minor"/>
    </font>
    <font>
      <b/>
      <sz val="14"/>
      <color theme="1"/>
      <name val="Calibri"/>
      <family val="2"/>
      <scheme val="minor"/>
    </font>
  </fonts>
  <fills count="7">
    <fill>
      <patternFill patternType="none"/>
    </fill>
    <fill>
      <patternFill patternType="gray125"/>
    </fill>
    <fill>
      <patternFill patternType="solid">
        <fgColor theme="4" tint="0.39997558519241921"/>
        <bgColor indexed="64"/>
      </patternFill>
    </fill>
    <fill>
      <patternFill patternType="solid">
        <fgColor rgb="FF1E3661"/>
        <bgColor indexed="64"/>
      </patternFill>
    </fill>
    <fill>
      <patternFill patternType="solid">
        <fgColor rgb="FFFFFF00"/>
        <bgColor indexed="64"/>
      </patternFill>
    </fill>
    <fill>
      <patternFill patternType="solid">
        <fgColor theme="4"/>
        <bgColor indexed="64"/>
      </patternFill>
    </fill>
    <fill>
      <patternFill patternType="solid">
        <fgColor theme="4"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62">
    <xf numFmtId="0" fontId="0" fillId="0" borderId="0" xfId="0"/>
    <xf numFmtId="165" fontId="0" fillId="0" borderId="0" xfId="0" applyNumberFormat="1"/>
    <xf numFmtId="0" fontId="0" fillId="0" borderId="1" xfId="0" applyBorder="1" applyAlignment="1">
      <alignment horizontal="center" vertical="center"/>
    </xf>
    <xf numFmtId="9" fontId="0" fillId="0" borderId="1" xfId="0" applyNumberFormat="1" applyBorder="1" applyAlignment="1">
      <alignment horizontal="center" vertical="center"/>
    </xf>
    <xf numFmtId="44" fontId="0" fillId="0" borderId="0" xfId="0" applyNumberFormat="1"/>
    <xf numFmtId="166" fontId="0" fillId="0" borderId="1" xfId="0" applyNumberFormat="1" applyBorder="1" applyAlignment="1">
      <alignment horizontal="center" vertical="center"/>
    </xf>
    <xf numFmtId="167" fontId="0" fillId="0" borderId="1" xfId="1" applyNumberFormat="1" applyFont="1" applyBorder="1" applyAlignment="1">
      <alignment horizontal="center" vertical="center"/>
    </xf>
    <xf numFmtId="167" fontId="2" fillId="0" borderId="1" xfId="1" applyNumberFormat="1" applyFont="1" applyBorder="1" applyAlignment="1">
      <alignment horizontal="center" vertical="center"/>
    </xf>
    <xf numFmtId="167" fontId="0" fillId="0" borderId="0" xfId="0" applyNumberFormat="1"/>
    <xf numFmtId="1" fontId="0" fillId="0" borderId="1" xfId="0" applyNumberFormat="1" applyBorder="1" applyAlignment="1">
      <alignment horizontal="center" vertical="center"/>
    </xf>
    <xf numFmtId="9" fontId="0" fillId="0" borderId="1" xfId="2" applyFont="1" applyBorder="1" applyAlignment="1">
      <alignment horizontal="center" vertical="center"/>
    </xf>
    <xf numFmtId="44" fontId="0" fillId="0" borderId="0" xfId="1" applyFont="1"/>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7" fillId="0" borderId="0" xfId="0" applyFont="1"/>
    <xf numFmtId="0" fontId="0" fillId="0" borderId="1" xfId="0" applyBorder="1" applyAlignment="1">
      <alignment horizontal="center" vertical="center" wrapText="1"/>
    </xf>
    <xf numFmtId="0" fontId="0" fillId="0" borderId="0" xfId="0" applyAlignment="1">
      <alignment wrapText="1"/>
    </xf>
    <xf numFmtId="0" fontId="0" fillId="0" borderId="0" xfId="0" applyAlignment="1">
      <alignment horizontal="center"/>
    </xf>
    <xf numFmtId="0" fontId="2" fillId="5" borderId="0" xfId="0" applyFont="1" applyFill="1"/>
    <xf numFmtId="0" fontId="2" fillId="5" borderId="0" xfId="0" applyFont="1" applyFill="1" applyAlignment="1">
      <alignment wrapText="1"/>
    </xf>
    <xf numFmtId="168" fontId="0" fillId="4" borderId="0" xfId="0" applyNumberFormat="1" applyFill="1"/>
    <xf numFmtId="168" fontId="2" fillId="4" borderId="0" xfId="0" applyNumberFormat="1" applyFont="1" applyFill="1"/>
    <xf numFmtId="167" fontId="2" fillId="4" borderId="0" xfId="1" applyNumberFormat="1" applyFont="1" applyFill="1"/>
    <xf numFmtId="165" fontId="0" fillId="0" borderId="1" xfId="3" applyNumberFormat="1" applyFont="1" applyBorder="1" applyAlignment="1">
      <alignment vertical="center"/>
    </xf>
    <xf numFmtId="165" fontId="0" fillId="0" borderId="0" xfId="3" applyNumberFormat="1" applyFont="1" applyAlignment="1">
      <alignment horizontal="left"/>
    </xf>
    <xf numFmtId="0" fontId="11" fillId="5" borderId="0" xfId="0" applyFont="1" applyFill="1" applyAlignment="1">
      <alignment horizontal="center"/>
    </xf>
    <xf numFmtId="168" fontId="0" fillId="0" borderId="0" xfId="0" applyNumberFormat="1"/>
    <xf numFmtId="0" fontId="12" fillId="5" borderId="0" xfId="0" applyFont="1" applyFill="1"/>
    <xf numFmtId="168" fontId="0" fillId="4" borderId="0" xfId="0" applyNumberFormat="1" applyFill="1" applyAlignment="1">
      <alignment horizontal="center"/>
    </xf>
    <xf numFmtId="169" fontId="2" fillId="0" borderId="0" xfId="0" applyNumberFormat="1" applyFont="1"/>
    <xf numFmtId="167" fontId="2" fillId="4" borderId="1" xfId="1" applyNumberFormat="1" applyFont="1" applyFill="1" applyBorder="1" applyAlignment="1">
      <alignment horizontal="center" vertical="center"/>
    </xf>
    <xf numFmtId="0" fontId="2" fillId="0" borderId="0" xfId="0" applyFont="1" applyAlignment="1">
      <alignment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170" fontId="0" fillId="0" borderId="0" xfId="0" applyNumberFormat="1"/>
    <xf numFmtId="165" fontId="0" fillId="0" borderId="0" xfId="3" applyNumberFormat="1" applyFont="1"/>
    <xf numFmtId="171" fontId="0" fillId="0" borderId="0" xfId="0" applyNumberFormat="1"/>
    <xf numFmtId="43" fontId="0" fillId="0" borderId="0" xfId="0" applyNumberFormat="1"/>
    <xf numFmtId="167" fontId="0" fillId="0" borderId="0" xfId="1" applyNumberFormat="1" applyFont="1"/>
    <xf numFmtId="1" fontId="0" fillId="0" borderId="0" xfId="0" applyNumberFormat="1"/>
    <xf numFmtId="169" fontId="0" fillId="0" borderId="0" xfId="0" applyNumberFormat="1"/>
    <xf numFmtId="2" fontId="0" fillId="0" borderId="0" xfId="0" applyNumberFormat="1"/>
    <xf numFmtId="165" fontId="2" fillId="0" borderId="0" xfId="3" applyNumberFormat="1" applyFont="1"/>
    <xf numFmtId="165" fontId="2" fillId="0" borderId="0" xfId="0" applyNumberFormat="1" applyFont="1"/>
    <xf numFmtId="165" fontId="5" fillId="2" borderId="1" xfId="3"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0" fontId="2" fillId="0" borderId="5" xfId="0" applyFont="1" applyBorder="1" applyAlignment="1">
      <alignment horizontal="center" vertical="center"/>
    </xf>
    <xf numFmtId="165" fontId="2" fillId="0" borderId="5" xfId="3" applyNumberFormat="1" applyFont="1" applyBorder="1" applyAlignment="1">
      <alignment horizontal="left" vertical="center"/>
    </xf>
    <xf numFmtId="167" fontId="2" fillId="0" borderId="5" xfId="1" applyNumberFormat="1" applyFont="1" applyBorder="1" applyAlignment="1">
      <alignment horizontal="center" vertical="center"/>
    </xf>
    <xf numFmtId="167" fontId="0" fillId="0" borderId="2" xfId="1" applyNumberFormat="1" applyFont="1" applyBorder="1" applyAlignment="1">
      <alignment horizontal="center" vertical="center"/>
    </xf>
    <xf numFmtId="167" fontId="2" fillId="0" borderId="6" xfId="1" applyNumberFormat="1" applyFont="1" applyBorder="1" applyAlignment="1">
      <alignment horizontal="center" vertical="center"/>
    </xf>
    <xf numFmtId="165" fontId="0" fillId="0" borderId="1" xfId="0" applyNumberFormat="1" applyBorder="1"/>
    <xf numFmtId="43" fontId="0" fillId="0" borderId="1" xfId="3" applyFont="1" applyBorder="1" applyAlignment="1">
      <alignment vertical="center"/>
    </xf>
    <xf numFmtId="164" fontId="0" fillId="0" borderId="0" xfId="0" applyNumberFormat="1"/>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0" borderId="1" xfId="0" applyFont="1" applyBorder="1" applyAlignment="1">
      <alignment horizontal="left" vertical="center"/>
    </xf>
    <xf numFmtId="0" fontId="8" fillId="0" borderId="1" xfId="0" applyFont="1" applyBorder="1" applyAlignment="1">
      <alignment horizontal="left" vertical="center" wrapText="1"/>
    </xf>
    <xf numFmtId="0" fontId="13" fillId="5" borderId="0" xfId="0" applyFont="1" applyFill="1" applyAlignment="1">
      <alignment horizontal="center"/>
    </xf>
    <xf numFmtId="0" fontId="2" fillId="0" borderId="5" xfId="0" applyFont="1" applyBorder="1" applyAlignment="1">
      <alignment horizontal="center" vertical="center"/>
    </xf>
    <xf numFmtId="0" fontId="8" fillId="0" borderId="1" xfId="0" applyFont="1" applyBorder="1" applyAlignment="1">
      <alignment horizontal="left" vertical="center"/>
    </xf>
    <xf numFmtId="0" fontId="3" fillId="3" borderId="4" xfId="0" applyFont="1" applyFill="1" applyBorder="1" applyAlignment="1">
      <alignment horizontal="center" vertical="center" wrapText="1"/>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1E36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W44"/>
  <sheetViews>
    <sheetView tabSelected="1" topLeftCell="C1" zoomScale="80" zoomScaleNormal="80" zoomScaleSheetLayoutView="85" workbookViewId="0">
      <selection activeCell="W8" sqref="W8"/>
    </sheetView>
  </sheetViews>
  <sheetFormatPr defaultRowHeight="15" x14ac:dyDescent="0.25"/>
  <cols>
    <col min="1" max="1" width="6.42578125" customWidth="1"/>
    <col min="2" max="2" width="13.85546875" customWidth="1"/>
    <col min="3" max="3" width="26.7109375" style="16" customWidth="1"/>
    <col min="4" max="4" width="13" style="24" customWidth="1"/>
    <col min="5" max="5" width="14" style="24" customWidth="1"/>
    <col min="6" max="6" width="12.140625" customWidth="1"/>
    <col min="7" max="7" width="16" customWidth="1"/>
    <col min="8" max="8" width="10.28515625" hidden="1" customWidth="1"/>
    <col min="9" max="9" width="14.85546875" customWidth="1"/>
    <col min="10" max="10" width="16" customWidth="1"/>
    <col min="11" max="11" width="7.7109375" hidden="1" customWidth="1"/>
    <col min="12" max="12" width="7.85546875" hidden="1" customWidth="1"/>
    <col min="13" max="13" width="17.42578125" bestFit="1" customWidth="1"/>
    <col min="14" max="14" width="17.85546875" customWidth="1"/>
    <col min="15" max="15" width="16.140625" hidden="1" customWidth="1"/>
    <col min="16" max="16" width="18.140625" hidden="1" customWidth="1"/>
    <col min="17" max="17" width="19.7109375" hidden="1" customWidth="1"/>
    <col min="18" max="18" width="18.28515625" style="17" customWidth="1"/>
    <col min="19" max="19" width="17" bestFit="1" customWidth="1"/>
    <col min="20" max="20" width="16.42578125" bestFit="1" customWidth="1"/>
    <col min="21" max="21" width="14.28515625" bestFit="1" customWidth="1"/>
    <col min="22" max="22" width="13.140625" customWidth="1"/>
    <col min="23" max="23" width="16.28515625" customWidth="1"/>
  </cols>
  <sheetData>
    <row r="2" spans="1:23" ht="15.75" customHeight="1" x14ac:dyDescent="0.25">
      <c r="A2" s="54" t="s">
        <v>50</v>
      </c>
      <c r="B2" s="55"/>
      <c r="C2" s="55"/>
      <c r="D2" s="55"/>
      <c r="E2" s="55"/>
      <c r="F2" s="55"/>
      <c r="G2" s="55"/>
      <c r="H2" s="55"/>
      <c r="I2" s="55"/>
      <c r="J2" s="55"/>
      <c r="K2" s="55"/>
      <c r="L2" s="55"/>
      <c r="M2" s="55"/>
      <c r="N2" s="55"/>
      <c r="O2" s="55"/>
      <c r="P2" s="55"/>
      <c r="Q2" s="55"/>
      <c r="R2" s="55"/>
      <c r="S2" s="55"/>
      <c r="T2" s="55"/>
    </row>
    <row r="3" spans="1:23" s="14" customFormat="1" ht="57.75" customHeight="1" x14ac:dyDescent="0.25">
      <c r="A3" s="12" t="s">
        <v>0</v>
      </c>
      <c r="B3" s="12" t="s">
        <v>1</v>
      </c>
      <c r="C3" s="13" t="s">
        <v>4</v>
      </c>
      <c r="D3" s="44" t="s">
        <v>14</v>
      </c>
      <c r="E3" s="44" t="s">
        <v>40</v>
      </c>
      <c r="F3" s="13" t="s">
        <v>41</v>
      </c>
      <c r="G3" s="13" t="s">
        <v>2</v>
      </c>
      <c r="H3" s="45" t="s">
        <v>3</v>
      </c>
      <c r="I3" s="13" t="s">
        <v>12</v>
      </c>
      <c r="J3" s="13" t="s">
        <v>13</v>
      </c>
      <c r="K3" s="45" t="s">
        <v>5</v>
      </c>
      <c r="L3" s="45" t="s">
        <v>7</v>
      </c>
      <c r="M3" s="13" t="s">
        <v>19</v>
      </c>
      <c r="N3" s="13" t="s">
        <v>20</v>
      </c>
      <c r="O3" s="45" t="s">
        <v>8</v>
      </c>
      <c r="P3" s="45" t="s">
        <v>9</v>
      </c>
      <c r="Q3" s="45" t="s">
        <v>11</v>
      </c>
      <c r="R3" s="13" t="s">
        <v>10</v>
      </c>
      <c r="S3" s="13" t="s">
        <v>38</v>
      </c>
      <c r="T3" s="13" t="s">
        <v>37</v>
      </c>
    </row>
    <row r="4" spans="1:23" x14ac:dyDescent="0.25">
      <c r="A4" s="32">
        <v>1</v>
      </c>
      <c r="B4" s="15" t="s">
        <v>18</v>
      </c>
      <c r="C4" s="15" t="s">
        <v>22</v>
      </c>
      <c r="D4" s="23">
        <v>18304</v>
      </c>
      <c r="E4" s="52">
        <f>D4/10.764</f>
        <v>1700.4830917874397</v>
      </c>
      <c r="F4" s="9">
        <v>15</v>
      </c>
      <c r="G4" s="33">
        <v>2008</v>
      </c>
      <c r="H4" s="33">
        <v>2023</v>
      </c>
      <c r="I4" s="2">
        <f>H4-G4</f>
        <v>15</v>
      </c>
      <c r="J4" s="33">
        <v>60</v>
      </c>
      <c r="K4" s="3">
        <v>0.1</v>
      </c>
      <c r="L4" s="5">
        <f>(1-K4)/J4</f>
        <v>1.5000000000000001E-2</v>
      </c>
      <c r="M4" s="6">
        <v>1400</v>
      </c>
      <c r="N4" s="6">
        <f>M4*D4</f>
        <v>25625600</v>
      </c>
      <c r="O4" s="6">
        <f t="shared" ref="O4:O11" si="0">N4*L4*I4</f>
        <v>5765760.0000000009</v>
      </c>
      <c r="P4" s="6">
        <f t="shared" ref="P4:P11" si="1">MAX(N4-O4,0)</f>
        <v>19859840</v>
      </c>
      <c r="Q4" s="10">
        <v>0</v>
      </c>
      <c r="R4" s="49">
        <f>P4</f>
        <v>19859840</v>
      </c>
      <c r="S4" s="6">
        <v>10000</v>
      </c>
      <c r="T4" s="51">
        <f>E4*S4</f>
        <v>17004830.917874396</v>
      </c>
      <c r="U4" s="1"/>
      <c r="V4" t="s">
        <v>48</v>
      </c>
    </row>
    <row r="5" spans="1:23" x14ac:dyDescent="0.25">
      <c r="A5" s="32">
        <v>2</v>
      </c>
      <c r="B5" s="15" t="s">
        <v>21</v>
      </c>
      <c r="C5" s="15" t="s">
        <v>22</v>
      </c>
      <c r="D5" s="23">
        <v>18304</v>
      </c>
      <c r="E5" s="52">
        <f t="shared" ref="E5:E11" si="2">D5/10.764</f>
        <v>1700.4830917874397</v>
      </c>
      <c r="F5" s="9">
        <v>15</v>
      </c>
      <c r="G5" s="33">
        <v>2008</v>
      </c>
      <c r="H5" s="33">
        <v>2023</v>
      </c>
      <c r="I5" s="2">
        <f t="shared" ref="I5:I11" si="3">H5-G5</f>
        <v>15</v>
      </c>
      <c r="J5" s="33">
        <v>60</v>
      </c>
      <c r="K5" s="3">
        <v>0.1</v>
      </c>
      <c r="L5" s="5">
        <f t="shared" ref="L5:L11" si="4">(1-K5)/J5</f>
        <v>1.5000000000000001E-2</v>
      </c>
      <c r="M5" s="6">
        <v>1400</v>
      </c>
      <c r="N5" s="6">
        <f t="shared" ref="N5:N11" si="5">M5*D5</f>
        <v>25625600</v>
      </c>
      <c r="O5" s="6">
        <f t="shared" si="0"/>
        <v>5765760.0000000009</v>
      </c>
      <c r="P5" s="6">
        <f t="shared" si="1"/>
        <v>19859840</v>
      </c>
      <c r="Q5" s="10"/>
      <c r="R5" s="49">
        <f t="shared" ref="R5:R11" si="6">P5</f>
        <v>19859840</v>
      </c>
      <c r="S5" s="6">
        <v>10000</v>
      </c>
      <c r="T5" s="51">
        <f t="shared" ref="T5:T13" si="7">E5*S5</f>
        <v>17004830.917874396</v>
      </c>
      <c r="U5" s="1"/>
      <c r="V5" t="s">
        <v>35</v>
      </c>
      <c r="W5" s="7">
        <f>14000*3570</f>
        <v>49980000</v>
      </c>
    </row>
    <row r="6" spans="1:23" x14ac:dyDescent="0.25">
      <c r="A6" s="32">
        <v>3</v>
      </c>
      <c r="B6" s="15" t="s">
        <v>24</v>
      </c>
      <c r="C6" s="15" t="s">
        <v>22</v>
      </c>
      <c r="D6" s="23">
        <v>3848</v>
      </c>
      <c r="E6" s="52">
        <f t="shared" si="2"/>
        <v>357.48792270531402</v>
      </c>
      <c r="F6" s="9">
        <v>10</v>
      </c>
      <c r="G6" s="33">
        <v>2008</v>
      </c>
      <c r="H6" s="33">
        <v>2023</v>
      </c>
      <c r="I6" s="2">
        <f t="shared" si="3"/>
        <v>15</v>
      </c>
      <c r="J6" s="33">
        <v>60</v>
      </c>
      <c r="K6" s="3">
        <v>0.1</v>
      </c>
      <c r="L6" s="5">
        <f t="shared" si="4"/>
        <v>1.5000000000000001E-2</v>
      </c>
      <c r="M6" s="6">
        <v>1400</v>
      </c>
      <c r="N6" s="6">
        <f t="shared" si="5"/>
        <v>5387200</v>
      </c>
      <c r="O6" s="6">
        <f t="shared" si="0"/>
        <v>1212120</v>
      </c>
      <c r="P6" s="6">
        <f t="shared" si="1"/>
        <v>4175080</v>
      </c>
      <c r="Q6" s="10"/>
      <c r="R6" s="49">
        <f t="shared" si="6"/>
        <v>4175080</v>
      </c>
      <c r="S6" s="6">
        <v>10000</v>
      </c>
      <c r="T6" s="51">
        <f t="shared" si="7"/>
        <v>3574879.2270531403</v>
      </c>
      <c r="U6" s="1"/>
      <c r="V6" t="s">
        <v>36</v>
      </c>
      <c r="W6" s="8">
        <f>T14</f>
        <v>48523671.497584552</v>
      </c>
    </row>
    <row r="7" spans="1:23" x14ac:dyDescent="0.25">
      <c r="A7" s="32">
        <v>4</v>
      </c>
      <c r="B7" s="15" t="s">
        <v>24</v>
      </c>
      <c r="C7" s="15" t="s">
        <v>28</v>
      </c>
      <c r="D7" s="23">
        <v>10504</v>
      </c>
      <c r="E7" s="52">
        <f t="shared" si="2"/>
        <v>975.84541062801941</v>
      </c>
      <c r="F7" s="9">
        <v>25</v>
      </c>
      <c r="G7" s="33">
        <v>2008</v>
      </c>
      <c r="H7" s="33">
        <v>2023</v>
      </c>
      <c r="I7" s="2">
        <f t="shared" si="3"/>
        <v>15</v>
      </c>
      <c r="J7" s="33">
        <v>60</v>
      </c>
      <c r="K7" s="3">
        <v>0.1</v>
      </c>
      <c r="L7" s="5">
        <f t="shared" si="4"/>
        <v>1.5000000000000001E-2</v>
      </c>
      <c r="M7" s="6">
        <v>1100</v>
      </c>
      <c r="N7" s="6">
        <f t="shared" si="5"/>
        <v>11554400</v>
      </c>
      <c r="O7" s="6">
        <f t="shared" si="0"/>
        <v>2599740</v>
      </c>
      <c r="P7" s="6">
        <f t="shared" si="1"/>
        <v>8954660</v>
      </c>
      <c r="Q7" s="10"/>
      <c r="R7" s="49">
        <f t="shared" si="6"/>
        <v>8954660</v>
      </c>
      <c r="S7" s="6">
        <v>10000</v>
      </c>
      <c r="T7" s="51">
        <f t="shared" si="7"/>
        <v>9758454.1062801946</v>
      </c>
      <c r="U7" s="1"/>
      <c r="W7" s="7"/>
    </row>
    <row r="8" spans="1:23" x14ac:dyDescent="0.25">
      <c r="A8" s="32">
        <v>5</v>
      </c>
      <c r="B8" s="15" t="s">
        <v>25</v>
      </c>
      <c r="C8" s="15" t="s">
        <v>22</v>
      </c>
      <c r="D8" s="23">
        <v>400</v>
      </c>
      <c r="E8" s="52">
        <f t="shared" si="2"/>
        <v>37.160906726124118</v>
      </c>
      <c r="F8" s="9">
        <v>10</v>
      </c>
      <c r="G8" s="33">
        <v>2008</v>
      </c>
      <c r="H8" s="33">
        <v>2023</v>
      </c>
      <c r="I8" s="2">
        <f t="shared" si="3"/>
        <v>15</v>
      </c>
      <c r="J8" s="33">
        <v>60</v>
      </c>
      <c r="K8" s="3">
        <v>0.1</v>
      </c>
      <c r="L8" s="5">
        <f t="shared" si="4"/>
        <v>1.5000000000000001E-2</v>
      </c>
      <c r="M8" s="6">
        <v>1200</v>
      </c>
      <c r="N8" s="6">
        <f t="shared" si="5"/>
        <v>480000</v>
      </c>
      <c r="O8" s="6">
        <f t="shared" si="0"/>
        <v>108000.00000000001</v>
      </c>
      <c r="P8" s="6">
        <f t="shared" si="1"/>
        <v>372000</v>
      </c>
      <c r="Q8" s="10"/>
      <c r="R8" s="49">
        <f t="shared" si="6"/>
        <v>372000</v>
      </c>
      <c r="S8" s="6">
        <v>10000</v>
      </c>
      <c r="T8" s="51">
        <f t="shared" si="7"/>
        <v>371609.0672612412</v>
      </c>
      <c r="U8" s="1"/>
      <c r="V8" t="s">
        <v>39</v>
      </c>
      <c r="W8" s="8">
        <f>W5+W6</f>
        <v>98503671.497584552</v>
      </c>
    </row>
    <row r="9" spans="1:23" x14ac:dyDescent="0.25">
      <c r="A9" s="32">
        <v>6</v>
      </c>
      <c r="B9" s="15" t="s">
        <v>26</v>
      </c>
      <c r="C9" s="15" t="s">
        <v>22</v>
      </c>
      <c r="D9" s="23">
        <v>216</v>
      </c>
      <c r="E9" s="52">
        <f t="shared" si="2"/>
        <v>20.066889632107024</v>
      </c>
      <c r="F9" s="9">
        <v>10</v>
      </c>
      <c r="G9" s="33">
        <v>2008</v>
      </c>
      <c r="H9" s="33">
        <v>2023</v>
      </c>
      <c r="I9" s="2">
        <f t="shared" si="3"/>
        <v>15</v>
      </c>
      <c r="J9" s="33">
        <v>60</v>
      </c>
      <c r="K9" s="3">
        <v>0.1</v>
      </c>
      <c r="L9" s="5">
        <f t="shared" si="4"/>
        <v>1.5000000000000001E-2</v>
      </c>
      <c r="M9" s="6">
        <v>1200</v>
      </c>
      <c r="N9" s="6">
        <f t="shared" si="5"/>
        <v>259200</v>
      </c>
      <c r="O9" s="6">
        <f t="shared" si="0"/>
        <v>58320.000000000007</v>
      </c>
      <c r="P9" s="6">
        <f t="shared" si="1"/>
        <v>200880</v>
      </c>
      <c r="Q9" s="10"/>
      <c r="R9" s="49">
        <f t="shared" si="6"/>
        <v>200880</v>
      </c>
      <c r="S9" s="6">
        <v>10000</v>
      </c>
      <c r="T9" s="51">
        <f t="shared" si="7"/>
        <v>200668.89632107023</v>
      </c>
      <c r="U9" s="1"/>
    </row>
    <row r="10" spans="1:23" x14ac:dyDescent="0.25">
      <c r="A10" s="32">
        <v>7</v>
      </c>
      <c r="B10" s="15" t="s">
        <v>27</v>
      </c>
      <c r="C10" s="15" t="s">
        <v>22</v>
      </c>
      <c r="D10" s="23">
        <v>216</v>
      </c>
      <c r="E10" s="52">
        <f t="shared" si="2"/>
        <v>20.066889632107024</v>
      </c>
      <c r="F10" s="9">
        <v>10</v>
      </c>
      <c r="G10" s="33">
        <v>2008</v>
      </c>
      <c r="H10" s="33">
        <v>2023</v>
      </c>
      <c r="I10" s="2">
        <f t="shared" si="3"/>
        <v>15</v>
      </c>
      <c r="J10" s="33">
        <v>60</v>
      </c>
      <c r="K10" s="3">
        <v>0.1</v>
      </c>
      <c r="L10" s="5">
        <f t="shared" si="4"/>
        <v>1.5000000000000001E-2</v>
      </c>
      <c r="M10" s="6">
        <v>1200</v>
      </c>
      <c r="N10" s="6">
        <f t="shared" si="5"/>
        <v>259200</v>
      </c>
      <c r="O10" s="6">
        <f t="shared" si="0"/>
        <v>58320.000000000007</v>
      </c>
      <c r="P10" s="6">
        <f t="shared" si="1"/>
        <v>200880</v>
      </c>
      <c r="Q10" s="10"/>
      <c r="R10" s="49">
        <f t="shared" si="6"/>
        <v>200880</v>
      </c>
      <c r="S10" s="6">
        <v>10000</v>
      </c>
      <c r="T10" s="51">
        <f t="shared" si="7"/>
        <v>200668.89632107023</v>
      </c>
      <c r="U10" s="1"/>
    </row>
    <row r="11" spans="1:23" x14ac:dyDescent="0.25">
      <c r="A11" s="32">
        <v>8</v>
      </c>
      <c r="B11" s="15" t="s">
        <v>29</v>
      </c>
      <c r="C11" s="15" t="s">
        <v>22</v>
      </c>
      <c r="D11" s="23">
        <v>438.88</v>
      </c>
      <c r="E11" s="52">
        <f t="shared" si="2"/>
        <v>40.772946859903385</v>
      </c>
      <c r="F11" s="9">
        <v>10</v>
      </c>
      <c r="G11" s="33">
        <v>2008</v>
      </c>
      <c r="H11" s="33">
        <v>2023</v>
      </c>
      <c r="I11" s="2">
        <f t="shared" si="3"/>
        <v>15</v>
      </c>
      <c r="J11" s="33">
        <v>60</v>
      </c>
      <c r="K11" s="3">
        <v>0.1</v>
      </c>
      <c r="L11" s="5">
        <f t="shared" si="4"/>
        <v>1.5000000000000001E-2</v>
      </c>
      <c r="M11" s="6">
        <v>1200</v>
      </c>
      <c r="N11" s="6">
        <f t="shared" si="5"/>
        <v>526656</v>
      </c>
      <c r="O11" s="6">
        <f t="shared" si="0"/>
        <v>118497.60000000002</v>
      </c>
      <c r="P11" s="6">
        <f t="shared" si="1"/>
        <v>408158.39999999997</v>
      </c>
      <c r="Q11" s="10"/>
      <c r="R11" s="49">
        <f t="shared" si="6"/>
        <v>408158.39999999997</v>
      </c>
      <c r="S11" s="6">
        <v>10000</v>
      </c>
      <c r="T11" s="51">
        <f t="shared" si="7"/>
        <v>407729.46859903383</v>
      </c>
      <c r="U11" s="1"/>
      <c r="V11" t="s">
        <v>35</v>
      </c>
      <c r="W11" s="6">
        <f>14000*3570</f>
        <v>49980000</v>
      </c>
    </row>
    <row r="12" spans="1:23" hidden="1" x14ac:dyDescent="0.25">
      <c r="A12" s="32"/>
      <c r="B12" s="15"/>
      <c r="C12" s="15"/>
      <c r="D12" s="23"/>
      <c r="E12" s="23"/>
      <c r="F12" s="9"/>
      <c r="G12" s="33"/>
      <c r="H12" s="33"/>
      <c r="I12" s="2"/>
      <c r="J12" s="33"/>
      <c r="K12" s="3"/>
      <c r="L12" s="5"/>
      <c r="M12" s="6"/>
      <c r="N12" s="6"/>
      <c r="O12" s="6"/>
      <c r="P12" s="6"/>
      <c r="Q12" s="10"/>
      <c r="R12" s="49"/>
      <c r="S12" s="6">
        <v>14000</v>
      </c>
      <c r="T12" s="51">
        <f t="shared" si="7"/>
        <v>0</v>
      </c>
      <c r="U12" s="1"/>
    </row>
    <row r="13" spans="1:23" hidden="1" x14ac:dyDescent="0.25">
      <c r="S13" s="6">
        <v>14000</v>
      </c>
      <c r="T13" s="51">
        <f t="shared" si="7"/>
        <v>0</v>
      </c>
    </row>
    <row r="14" spans="1:23" ht="21" customHeight="1" x14ac:dyDescent="0.25">
      <c r="A14" s="59" t="s">
        <v>6</v>
      </c>
      <c r="B14" s="59"/>
      <c r="C14" s="59"/>
      <c r="D14" s="47">
        <f>SUM(D4:D13)</f>
        <v>52230.879999999997</v>
      </c>
      <c r="E14" s="47">
        <f>SUM(E4:E13)</f>
        <v>4852.3671497584537</v>
      </c>
      <c r="F14" s="46"/>
      <c r="G14" s="59"/>
      <c r="H14" s="59"/>
      <c r="I14" s="59"/>
      <c r="J14" s="59"/>
      <c r="K14" s="59"/>
      <c r="L14" s="59"/>
      <c r="M14" s="59"/>
      <c r="N14" s="48">
        <f>SUM(N4:N13)</f>
        <v>69717856</v>
      </c>
      <c r="O14" s="48">
        <f>SUM(O4:O13)</f>
        <v>15686517.600000001</v>
      </c>
      <c r="P14" s="48">
        <f>SUM(P4:P11)</f>
        <v>54031338.399999999</v>
      </c>
      <c r="Q14" s="48"/>
      <c r="R14" s="50">
        <f>SUM(R4:R13)</f>
        <v>54031338.399999999</v>
      </c>
      <c r="S14" s="50"/>
      <c r="T14" s="7">
        <f t="shared" ref="T14" si="8">SUM(T4:T13)</f>
        <v>48523671.497584552</v>
      </c>
      <c r="V14" t="s">
        <v>42</v>
      </c>
      <c r="W14" s="6">
        <v>590550</v>
      </c>
    </row>
    <row r="15" spans="1:23" x14ac:dyDescent="0.25">
      <c r="A15" s="56" t="s">
        <v>15</v>
      </c>
      <c r="B15" s="56"/>
      <c r="C15" s="56"/>
      <c r="D15" s="56"/>
      <c r="E15" s="56"/>
      <c r="F15" s="56"/>
      <c r="G15" s="56"/>
      <c r="H15" s="56"/>
      <c r="I15" s="56"/>
      <c r="J15" s="56"/>
      <c r="K15" s="56"/>
      <c r="L15" s="56"/>
      <c r="M15" s="56"/>
      <c r="N15" s="56"/>
      <c r="O15" s="56"/>
      <c r="P15" s="56"/>
      <c r="Q15" s="56"/>
      <c r="R15" s="56"/>
      <c r="S15" s="56"/>
      <c r="T15" s="56"/>
      <c r="V15" t="s">
        <v>43</v>
      </c>
      <c r="W15" s="8">
        <f>R14</f>
        <v>54031338.399999999</v>
      </c>
    </row>
    <row r="16" spans="1:23" ht="15" customHeight="1" x14ac:dyDescent="0.25">
      <c r="A16" s="57" t="s">
        <v>23</v>
      </c>
      <c r="B16" s="57"/>
      <c r="C16" s="57"/>
      <c r="D16" s="57"/>
      <c r="E16" s="57"/>
      <c r="F16" s="57"/>
      <c r="G16" s="57"/>
      <c r="H16" s="57"/>
      <c r="I16" s="57"/>
      <c r="J16" s="57"/>
      <c r="K16" s="57"/>
      <c r="L16" s="57"/>
      <c r="M16" s="57"/>
      <c r="N16" s="57"/>
      <c r="O16" s="57"/>
      <c r="P16" s="57"/>
      <c r="Q16" s="57"/>
      <c r="R16" s="57"/>
      <c r="S16" s="57"/>
      <c r="T16" s="57"/>
      <c r="V16" t="s">
        <v>44</v>
      </c>
      <c r="W16" s="8">
        <f>W11+W14+W15</f>
        <v>104601888.40000001</v>
      </c>
    </row>
    <row r="17" spans="1:23" ht="15" customHeight="1" x14ac:dyDescent="0.25">
      <c r="A17" s="57" t="s">
        <v>30</v>
      </c>
      <c r="B17" s="57"/>
      <c r="C17" s="57"/>
      <c r="D17" s="57"/>
      <c r="E17" s="57"/>
      <c r="F17" s="57"/>
      <c r="G17" s="57"/>
      <c r="H17" s="57"/>
      <c r="I17" s="57"/>
      <c r="J17" s="57"/>
      <c r="K17" s="57"/>
      <c r="L17" s="57"/>
      <c r="M17" s="57"/>
      <c r="N17" s="57"/>
      <c r="O17" s="57"/>
      <c r="P17" s="57"/>
      <c r="Q17" s="57"/>
      <c r="R17" s="57"/>
      <c r="S17" s="57"/>
      <c r="T17" s="57"/>
      <c r="V17" t="s">
        <v>47</v>
      </c>
      <c r="W17" s="8">
        <v>104600000</v>
      </c>
    </row>
    <row r="18" spans="1:23" x14ac:dyDescent="0.25">
      <c r="A18" s="60" t="s">
        <v>16</v>
      </c>
      <c r="B18" s="60"/>
      <c r="C18" s="60"/>
      <c r="D18" s="60"/>
      <c r="E18" s="60"/>
      <c r="F18" s="60"/>
      <c r="G18" s="60"/>
      <c r="H18" s="60"/>
      <c r="I18" s="60"/>
      <c r="J18" s="60"/>
      <c r="K18" s="60"/>
      <c r="L18" s="60"/>
      <c r="M18" s="60"/>
      <c r="N18" s="60"/>
      <c r="O18" s="60"/>
      <c r="P18" s="60"/>
      <c r="Q18" s="60"/>
      <c r="R18" s="60"/>
      <c r="S18" s="60"/>
      <c r="T18" s="60"/>
      <c r="V18" t="s">
        <v>45</v>
      </c>
      <c r="W18" s="8">
        <f>W17*0.85</f>
        <v>88910000</v>
      </c>
    </row>
    <row r="19" spans="1:23" x14ac:dyDescent="0.25">
      <c r="S19" s="11"/>
      <c r="V19" t="s">
        <v>46</v>
      </c>
      <c r="W19" s="8">
        <f>W17*0.75</f>
        <v>78450000</v>
      </c>
    </row>
    <row r="20" spans="1:23" ht="18.75" x14ac:dyDescent="0.3">
      <c r="I20" s="18"/>
      <c r="J20" s="20"/>
      <c r="P20" s="58" t="s">
        <v>17</v>
      </c>
      <c r="Q20" s="58"/>
      <c r="S20" s="11"/>
    </row>
    <row r="21" spans="1:23" ht="15.75" x14ac:dyDescent="0.25">
      <c r="I21" s="18"/>
      <c r="J21" s="20"/>
      <c r="M21" s="35"/>
      <c r="P21" s="25"/>
      <c r="Q21" s="20"/>
      <c r="S21" s="11"/>
      <c r="V21" t="s">
        <v>49</v>
      </c>
      <c r="W21" s="53">
        <f>0.8*N14</f>
        <v>55774284.800000004</v>
      </c>
    </row>
    <row r="22" spans="1:23" ht="15.75" x14ac:dyDescent="0.25">
      <c r="I22" s="18"/>
      <c r="J22" s="20"/>
      <c r="P22" s="25"/>
      <c r="Q22" s="20"/>
      <c r="S22" s="28"/>
    </row>
    <row r="23" spans="1:23" ht="15.75" x14ac:dyDescent="0.25">
      <c r="I23" s="18"/>
      <c r="J23" s="20"/>
      <c r="P23" s="27"/>
      <c r="Q23" s="28"/>
      <c r="S23" s="11"/>
    </row>
    <row r="24" spans="1:23" ht="11.25" customHeight="1" x14ac:dyDescent="0.25">
      <c r="I24" s="19"/>
      <c r="J24" s="30"/>
      <c r="M24" s="26"/>
      <c r="S24" s="11"/>
    </row>
    <row r="25" spans="1:23" ht="18" customHeight="1" x14ac:dyDescent="0.25">
      <c r="I25" s="19"/>
      <c r="J25" s="21"/>
      <c r="Q25" s="29"/>
      <c r="S25" s="11"/>
    </row>
    <row r="26" spans="1:23" x14ac:dyDescent="0.25">
      <c r="F26" s="18"/>
      <c r="G26" s="22"/>
      <c r="S26" s="11"/>
    </row>
    <row r="27" spans="1:23" x14ac:dyDescent="0.25">
      <c r="F27" s="18"/>
      <c r="G27" s="22"/>
      <c r="S27" s="11"/>
    </row>
    <row r="28" spans="1:23" ht="15" customHeight="1" x14ac:dyDescent="0.25">
      <c r="S28" s="11"/>
    </row>
    <row r="29" spans="1:23" x14ac:dyDescent="0.25">
      <c r="U29" s="35"/>
    </row>
    <row r="30" spans="1:23" x14ac:dyDescent="0.25">
      <c r="S30" s="8"/>
      <c r="T30" s="38"/>
      <c r="U30" s="4"/>
    </row>
    <row r="32" spans="1:23" x14ac:dyDescent="0.25">
      <c r="C32" s="31"/>
      <c r="M32" s="34"/>
    </row>
    <row r="35" spans="10:20" x14ac:dyDescent="0.25">
      <c r="J35" s="36"/>
      <c r="P35" s="41"/>
      <c r="T35" s="39"/>
    </row>
    <row r="36" spans="10:20" x14ac:dyDescent="0.25">
      <c r="P36" s="42"/>
      <c r="T36" s="35"/>
    </row>
    <row r="37" spans="10:20" x14ac:dyDescent="0.25">
      <c r="P37" s="43">
        <f>P36*0.85</f>
        <v>0</v>
      </c>
      <c r="S37" s="35">
        <v>175000000</v>
      </c>
    </row>
    <row r="38" spans="10:20" x14ac:dyDescent="0.25">
      <c r="N38" s="35">
        <f>165000000</f>
        <v>165000000</v>
      </c>
      <c r="P38" s="43">
        <f>P36*0.75</f>
        <v>0</v>
      </c>
      <c r="S38" s="37">
        <f>S37/1800</f>
        <v>97222.222222222219</v>
      </c>
      <c r="T38" s="1">
        <f>T36+U29</f>
        <v>0</v>
      </c>
    </row>
    <row r="39" spans="10:20" ht="15" customHeight="1" x14ac:dyDescent="0.25">
      <c r="N39" s="1">
        <f>N38/2000</f>
        <v>82500</v>
      </c>
      <c r="P39" s="1"/>
      <c r="T39" s="35">
        <f>J22+T38</f>
        <v>0</v>
      </c>
    </row>
    <row r="40" spans="10:20" x14ac:dyDescent="0.25">
      <c r="T40">
        <f>0.9/60</f>
        <v>1.5000000000000001E-2</v>
      </c>
    </row>
    <row r="41" spans="10:20" x14ac:dyDescent="0.25">
      <c r="T41">
        <f>T40*15</f>
        <v>0.22500000000000001</v>
      </c>
    </row>
    <row r="42" spans="10:20" x14ac:dyDescent="0.25">
      <c r="T42" s="37">
        <f>T38*T41</f>
        <v>0</v>
      </c>
    </row>
    <row r="43" spans="10:20" x14ac:dyDescent="0.25">
      <c r="T43" s="37">
        <f>T38-T42</f>
        <v>0</v>
      </c>
    </row>
    <row r="44" spans="10:20" x14ac:dyDescent="0.25">
      <c r="T44" s="40">
        <f>J22+T43</f>
        <v>0</v>
      </c>
    </row>
  </sheetData>
  <mergeCells count="8">
    <mergeCell ref="A2:T2"/>
    <mergeCell ref="A15:T15"/>
    <mergeCell ref="A16:T16"/>
    <mergeCell ref="A17:T17"/>
    <mergeCell ref="P20:Q20"/>
    <mergeCell ref="A14:C14"/>
    <mergeCell ref="G14:M14"/>
    <mergeCell ref="A18:T18"/>
  </mergeCells>
  <pageMargins left="0.31496062992125984" right="0.31496062992125984" top="0.31496062992125984" bottom="0.31496062992125984"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4:O21"/>
  <sheetViews>
    <sheetView workbookViewId="0">
      <selection activeCell="H18" sqref="H18"/>
    </sheetView>
  </sheetViews>
  <sheetFormatPr defaultRowHeight="15" x14ac:dyDescent="0.25"/>
  <cols>
    <col min="7" max="7" width="10.42578125" customWidth="1"/>
    <col min="8" max="8" width="13.5703125" customWidth="1"/>
    <col min="9" max="9" width="15.42578125" customWidth="1"/>
    <col min="11" max="11" width="13.28515625" customWidth="1"/>
    <col min="12" max="12" width="12" customWidth="1"/>
    <col min="13" max="13" width="14" customWidth="1"/>
    <col min="15" max="15" width="11.5703125" customWidth="1"/>
  </cols>
  <sheetData>
    <row r="4" spans="3:15" ht="15.75" x14ac:dyDescent="0.25">
      <c r="C4" s="61" t="s">
        <v>31</v>
      </c>
      <c r="D4" s="61"/>
      <c r="E4" s="61"/>
      <c r="F4" s="61"/>
      <c r="G4" s="61"/>
      <c r="H4" s="61"/>
      <c r="I4" s="61"/>
      <c r="J4" s="61"/>
      <c r="K4" s="61"/>
      <c r="L4" s="61"/>
      <c r="M4" s="61"/>
      <c r="N4" s="61"/>
      <c r="O4" s="61"/>
    </row>
    <row r="5" spans="3:15" ht="105" x14ac:dyDescent="0.25">
      <c r="C5" s="13" t="s">
        <v>32</v>
      </c>
      <c r="D5" s="13" t="s">
        <v>2</v>
      </c>
      <c r="E5" s="13" t="s">
        <v>3</v>
      </c>
      <c r="F5" s="13" t="s">
        <v>12</v>
      </c>
      <c r="G5" s="13" t="s">
        <v>13</v>
      </c>
      <c r="H5" s="13" t="s">
        <v>5</v>
      </c>
      <c r="I5" s="13" t="s">
        <v>7</v>
      </c>
      <c r="J5" s="13" t="s">
        <v>33</v>
      </c>
      <c r="K5" s="13" t="s">
        <v>34</v>
      </c>
      <c r="L5" s="13" t="s">
        <v>8</v>
      </c>
      <c r="M5" s="13" t="s">
        <v>9</v>
      </c>
      <c r="N5" s="13" t="s">
        <v>11</v>
      </c>
      <c r="O5" s="13" t="s">
        <v>10</v>
      </c>
    </row>
    <row r="6" spans="3:15" x14ac:dyDescent="0.25">
      <c r="C6" s="9">
        <v>254</v>
      </c>
      <c r="D6" s="2">
        <v>2008</v>
      </c>
      <c r="E6" s="2">
        <v>2023</v>
      </c>
      <c r="F6" s="2">
        <f>E6-D6</f>
        <v>15</v>
      </c>
      <c r="G6" s="2">
        <v>60</v>
      </c>
      <c r="H6" s="3">
        <v>0.1</v>
      </c>
      <c r="I6" s="5">
        <f>(1-H6)/G6</f>
        <v>1.5000000000000001E-2</v>
      </c>
      <c r="J6" s="6">
        <v>3000</v>
      </c>
      <c r="K6" s="6">
        <f>J6*C6</f>
        <v>762000</v>
      </c>
      <c r="L6" s="6">
        <f>K6*I6*F6</f>
        <v>171450</v>
      </c>
      <c r="M6" s="6">
        <f>MAX(K6-L6,0)</f>
        <v>590550</v>
      </c>
      <c r="N6" s="10">
        <v>0</v>
      </c>
      <c r="O6" s="6">
        <f>IF(M6&gt;H6*K6,M6*(1-N6),K6*H6)</f>
        <v>590550</v>
      </c>
    </row>
    <row r="15" spans="3:15" x14ac:dyDescent="0.25">
      <c r="K15" s="39"/>
    </row>
    <row r="18" spans="6:7" x14ac:dyDescent="0.25">
      <c r="F18" s="17"/>
    </row>
    <row r="20" spans="6:7" x14ac:dyDescent="0.25">
      <c r="G20" s="39"/>
    </row>
    <row r="21" spans="6:7" x14ac:dyDescent="0.25">
      <c r="G21" s="39"/>
    </row>
  </sheetData>
  <mergeCells count="1">
    <mergeCell ref="C4:O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Building</vt:lpstr>
      <vt:lpstr>Boundary</vt:lpstr>
      <vt:lpstr>Building!Print_Area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trainee4</dc:creator>
  <cp:lastModifiedBy>Mahesh Joshi</cp:lastModifiedBy>
  <cp:lastPrinted>2022-01-07T08:12:53Z</cp:lastPrinted>
  <dcterms:created xsi:type="dcterms:W3CDTF">2021-09-16T11:33:35Z</dcterms:created>
  <dcterms:modified xsi:type="dcterms:W3CDTF">2023-09-22T11:28:04Z</dcterms:modified>
</cp:coreProperties>
</file>