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735" activeTab="4"/>
  </bookViews>
  <sheets>
    <sheet name="Old" sheetId="1" r:id="rId1"/>
    <sheet name="Sheet2" sheetId="2" r:id="rId2"/>
    <sheet name="Sheet3" sheetId="3" r:id="rId3"/>
    <sheet name="B. Valuation" sheetId="4" r:id="rId4"/>
    <sheet name="Sheet1" sheetId="5" r:id="rId5"/>
  </sheets>
  <definedNames>
    <definedName name="_xlnm._FilterDatabase" localSheetId="3" hidden="1">'B. Valuation'!$A$3:$M$35</definedName>
    <definedName name="_xlnm._FilterDatabase" localSheetId="0" hidden="1">Old!$A$3:$Q$22</definedName>
  </definedNames>
  <calcPr calcId="152511"/>
</workbook>
</file>

<file path=xl/calcChain.xml><?xml version="1.0" encoding="utf-8"?>
<calcChain xmlns="http://schemas.openxmlformats.org/spreadsheetml/2006/main">
  <c r="P1" i="4" l="1"/>
  <c r="P39" i="4"/>
  <c r="R42" i="4"/>
  <c r="R41" i="4"/>
  <c r="R40" i="4"/>
  <c r="R39" i="4"/>
  <c r="R37" i="4"/>
  <c r="L32" i="4" l="1"/>
  <c r="L33" i="4"/>
  <c r="F9" i="5"/>
  <c r="F35" i="4" l="1"/>
  <c r="L35" i="4" s="1"/>
  <c r="P35" i="4" s="1"/>
  <c r="Q35" i="4" s="1"/>
  <c r="R35" i="4" s="1"/>
  <c r="F34" i="4"/>
  <c r="L34" i="4" s="1"/>
  <c r="P34" i="4" s="1"/>
  <c r="Q34" i="4" s="1"/>
  <c r="R34" i="4" s="1"/>
  <c r="F33" i="4"/>
  <c r="P33" i="4" s="1"/>
  <c r="Q33" i="4" s="1"/>
  <c r="R33" i="4" s="1"/>
  <c r="F32" i="4"/>
  <c r="P32" i="4" s="1"/>
  <c r="Q32" i="4" s="1"/>
  <c r="R32" i="4" s="1"/>
  <c r="F31" i="4"/>
  <c r="L31" i="4" s="1"/>
  <c r="P31" i="4" s="1"/>
  <c r="Q31" i="4" s="1"/>
  <c r="R31" i="4" s="1"/>
  <c r="F30" i="4"/>
  <c r="L30" i="4" s="1"/>
  <c r="P30" i="4" s="1"/>
  <c r="Q30" i="4" s="1"/>
  <c r="R30" i="4" s="1"/>
  <c r="F29" i="4"/>
  <c r="L29" i="4" s="1"/>
  <c r="P29" i="4" s="1"/>
  <c r="Q29" i="4" s="1"/>
  <c r="R29" i="4" s="1"/>
  <c r="F28" i="4"/>
  <c r="L28" i="4" s="1"/>
  <c r="P28" i="4" s="1"/>
  <c r="Q28" i="4" s="1"/>
  <c r="R28" i="4" s="1"/>
  <c r="F27" i="4"/>
  <c r="L27" i="4" s="1"/>
  <c r="P27" i="4" s="1"/>
  <c r="Q27" i="4" s="1"/>
  <c r="R27" i="4" s="1"/>
  <c r="F26" i="4"/>
  <c r="L26" i="4" s="1"/>
  <c r="P26" i="4" s="1"/>
  <c r="Q26" i="4" s="1"/>
  <c r="R26" i="4" s="1"/>
  <c r="F25" i="4"/>
  <c r="L25" i="4" s="1"/>
  <c r="P25" i="4" s="1"/>
  <c r="Q25" i="4" s="1"/>
  <c r="R25" i="4" s="1"/>
  <c r="F24" i="4"/>
  <c r="L24" i="4" s="1"/>
  <c r="P24" i="4" s="1"/>
  <c r="Q24" i="4" s="1"/>
  <c r="R24" i="4" s="1"/>
  <c r="F23" i="4"/>
  <c r="L23" i="4" s="1"/>
  <c r="P23" i="4" s="1"/>
  <c r="Q23" i="4" s="1"/>
  <c r="R23" i="4" s="1"/>
  <c r="F22" i="4"/>
  <c r="L22" i="4" s="1"/>
  <c r="P22" i="4" s="1"/>
  <c r="Q22" i="4" s="1"/>
  <c r="R22" i="4" s="1"/>
  <c r="F21" i="4"/>
  <c r="L21" i="4" s="1"/>
  <c r="P21" i="4" s="1"/>
  <c r="Q21" i="4" s="1"/>
  <c r="R21" i="4" s="1"/>
  <c r="F20" i="4"/>
  <c r="L20" i="4" s="1"/>
  <c r="P20" i="4" s="1"/>
  <c r="Q20" i="4" s="1"/>
  <c r="R20" i="4" s="1"/>
  <c r="F19" i="4"/>
  <c r="L19" i="4" s="1"/>
  <c r="P19" i="4" s="1"/>
  <c r="Q19" i="4" s="1"/>
  <c r="R19" i="4" s="1"/>
  <c r="F18" i="4"/>
  <c r="L18" i="4" s="1"/>
  <c r="P18" i="4" s="1"/>
  <c r="Q18" i="4" s="1"/>
  <c r="R18" i="4" s="1"/>
  <c r="F17" i="4"/>
  <c r="L17" i="4" s="1"/>
  <c r="P17" i="4" s="1"/>
  <c r="Q17" i="4" s="1"/>
  <c r="R17" i="4" s="1"/>
  <c r="F16" i="4"/>
  <c r="L16" i="4" s="1"/>
  <c r="P16" i="4" s="1"/>
  <c r="Q16" i="4" s="1"/>
  <c r="R16" i="4" s="1"/>
  <c r="F15" i="4"/>
  <c r="L15" i="4" s="1"/>
  <c r="P15" i="4" s="1"/>
  <c r="Q15" i="4" s="1"/>
  <c r="R15" i="4" s="1"/>
  <c r="F14" i="4"/>
  <c r="L14" i="4" s="1"/>
  <c r="P14" i="4" s="1"/>
  <c r="Q14" i="4" s="1"/>
  <c r="R14" i="4" s="1"/>
  <c r="F13" i="4"/>
  <c r="L13" i="4" s="1"/>
  <c r="P13" i="4" s="1"/>
  <c r="Q13" i="4" s="1"/>
  <c r="R13" i="4" s="1"/>
  <c r="F12" i="4"/>
  <c r="L12" i="4" s="1"/>
  <c r="P12" i="4" s="1"/>
  <c r="Q12" i="4" s="1"/>
  <c r="R12" i="4" s="1"/>
  <c r="F11" i="4"/>
  <c r="L11" i="4" s="1"/>
  <c r="P11" i="4" s="1"/>
  <c r="Q11" i="4" s="1"/>
  <c r="R11" i="4" s="1"/>
  <c r="F10" i="4"/>
  <c r="L10" i="4" s="1"/>
  <c r="P10" i="4" s="1"/>
  <c r="Q10" i="4" s="1"/>
  <c r="R10" i="4" s="1"/>
  <c r="F9" i="4"/>
  <c r="L9" i="4" s="1"/>
  <c r="P9" i="4" s="1"/>
  <c r="Q9" i="4" s="1"/>
  <c r="R9" i="4" s="1"/>
  <c r="F8" i="4"/>
  <c r="L8" i="4" s="1"/>
  <c r="P8" i="4" s="1"/>
  <c r="Q8" i="4" s="1"/>
  <c r="R8" i="4" s="1"/>
  <c r="F7" i="4"/>
  <c r="L7" i="4" s="1"/>
  <c r="P7" i="4" s="1"/>
  <c r="Q7" i="4" s="1"/>
  <c r="R7" i="4" s="1"/>
  <c r="F6" i="4"/>
  <c r="L6" i="4" s="1"/>
  <c r="P6" i="4" s="1"/>
  <c r="Q6" i="4" s="1"/>
  <c r="R6" i="4" s="1"/>
  <c r="F5" i="4"/>
  <c r="L5" i="4" s="1"/>
  <c r="P5" i="4" s="1"/>
  <c r="Q5" i="4" s="1"/>
  <c r="R5" i="4" s="1"/>
  <c r="F4" i="4"/>
  <c r="E2" i="2"/>
  <c r="F2" i="2"/>
  <c r="E3" i="2"/>
  <c r="F3" i="2"/>
  <c r="E4" i="2"/>
  <c r="F4" i="2"/>
  <c r="E5" i="2"/>
  <c r="F5" i="2"/>
  <c r="E6" i="2"/>
  <c r="F6" i="2"/>
  <c r="E7" i="2"/>
  <c r="F7" i="2"/>
  <c r="E8" i="2"/>
  <c r="F8" i="2"/>
  <c r="E9" i="2"/>
  <c r="F9" i="2"/>
  <c r="F10" i="2"/>
  <c r="L4" i="4" l="1"/>
  <c r="P4" i="4" s="1"/>
  <c r="Q4" i="4" s="1"/>
  <c r="R4" i="4" s="1"/>
  <c r="R2" i="4" s="1"/>
  <c r="F2" i="4"/>
  <c r="Q24" i="1"/>
  <c r="L2" i="4" l="1"/>
  <c r="P2" i="4"/>
  <c r="F13" i="3"/>
  <c r="L13" i="3" s="1"/>
  <c r="F12" i="3"/>
  <c r="L12" i="3" s="1"/>
  <c r="F10" i="3"/>
  <c r="L10" i="3" s="1"/>
  <c r="G11" i="3"/>
  <c r="F11" i="3" s="1"/>
  <c r="L11" i="3" s="1"/>
  <c r="G8" i="3"/>
  <c r="L8" i="3" s="1"/>
  <c r="F5" i="3"/>
  <c r="L4" i="3" s="1"/>
  <c r="F4" i="3"/>
  <c r="B3" i="3"/>
  <c r="B4" i="3" s="1"/>
  <c r="M21" i="1" l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J21" i="1"/>
  <c r="O21" i="1" s="1"/>
  <c r="P21" i="1" s="1"/>
  <c r="Q21" i="1" s="1"/>
  <c r="J20" i="1"/>
  <c r="O20" i="1" s="1"/>
  <c r="P20" i="1" s="1"/>
  <c r="Q20" i="1" s="1"/>
  <c r="J19" i="1"/>
  <c r="O19" i="1" s="1"/>
  <c r="P19" i="1" s="1"/>
  <c r="Q19" i="1" s="1"/>
  <c r="J18" i="1"/>
  <c r="O18" i="1" s="1"/>
  <c r="P18" i="1" s="1"/>
  <c r="Q18" i="1" s="1"/>
  <c r="J17" i="1"/>
  <c r="O17" i="1" s="1"/>
  <c r="P17" i="1" s="1"/>
  <c r="Q17" i="1" s="1"/>
  <c r="J16" i="1"/>
  <c r="O16" i="1" s="1"/>
  <c r="P16" i="1" s="1"/>
  <c r="Q16" i="1" s="1"/>
  <c r="J15" i="1"/>
  <c r="O15" i="1" s="1"/>
  <c r="P15" i="1" s="1"/>
  <c r="Q15" i="1" s="1"/>
  <c r="J14" i="1"/>
  <c r="O14" i="1" s="1"/>
  <c r="P14" i="1" s="1"/>
  <c r="Q14" i="1" s="1"/>
  <c r="J13" i="1"/>
  <c r="O13" i="1" s="1"/>
  <c r="P13" i="1" s="1"/>
  <c r="Q13" i="1" s="1"/>
  <c r="J12" i="1"/>
  <c r="O12" i="1" s="1"/>
  <c r="P12" i="1" s="1"/>
  <c r="Q12" i="1" s="1"/>
  <c r="J11" i="1"/>
  <c r="O11" i="1" s="1"/>
  <c r="P11" i="1" s="1"/>
  <c r="Q11" i="1" s="1"/>
  <c r="J10" i="1"/>
  <c r="O10" i="1" s="1"/>
  <c r="P10" i="1" s="1"/>
  <c r="Q10" i="1" s="1"/>
  <c r="J9" i="1"/>
  <c r="O9" i="1" s="1"/>
  <c r="P9" i="1" s="1"/>
  <c r="Q9" i="1" s="1"/>
  <c r="J8" i="1"/>
  <c r="O8" i="1" s="1"/>
  <c r="P8" i="1" s="1"/>
  <c r="Q8" i="1" s="1"/>
  <c r="J7" i="1"/>
  <c r="O7" i="1" s="1"/>
  <c r="P7" i="1" s="1"/>
  <c r="Q7" i="1" s="1"/>
  <c r="J6" i="1"/>
  <c r="O6" i="1" s="1"/>
  <c r="P6" i="1" s="1"/>
  <c r="Q6" i="1" s="1"/>
  <c r="J5" i="1"/>
  <c r="O5" i="1" s="1"/>
  <c r="P5" i="1" s="1"/>
  <c r="Q5" i="1" s="1"/>
  <c r="J4" i="1"/>
  <c r="O4" i="1" s="1"/>
  <c r="P4" i="1" s="1"/>
  <c r="J22" i="1" l="1"/>
  <c r="J2" i="1"/>
  <c r="O2" i="1"/>
  <c r="O22" i="1"/>
  <c r="Q4" i="1"/>
  <c r="P22" i="1"/>
  <c r="J1" i="1" l="1"/>
  <c r="Q2" i="1"/>
  <c r="Q22" i="1"/>
</calcChain>
</file>

<file path=xl/sharedStrings.xml><?xml version="1.0" encoding="utf-8"?>
<sst xmlns="http://schemas.openxmlformats.org/spreadsheetml/2006/main" count="253" uniqueCount="93">
  <si>
    <t>Security Cabin</t>
  </si>
  <si>
    <t>GF</t>
  </si>
  <si>
    <t>RCC</t>
  </si>
  <si>
    <t>Good</t>
  </si>
  <si>
    <t>Length(Ft)</t>
  </si>
  <si>
    <t>Width(Ft)</t>
  </si>
  <si>
    <t>Descrition</t>
  </si>
  <si>
    <t>Floor</t>
  </si>
  <si>
    <t>Height (Ft)</t>
  </si>
  <si>
    <t>YoC</t>
  </si>
  <si>
    <t>Type</t>
  </si>
  <si>
    <t>Condition</t>
  </si>
  <si>
    <t>Admin Building</t>
  </si>
  <si>
    <t>FF</t>
  </si>
  <si>
    <t>VFC (Vaccume Forming Area)</t>
  </si>
  <si>
    <t>Raw Material Dept.</t>
  </si>
  <si>
    <t>Finished Goods</t>
  </si>
  <si>
    <t>RCC+Shed</t>
  </si>
  <si>
    <t>General Store</t>
  </si>
  <si>
    <t>Dock Area</t>
  </si>
  <si>
    <t>IMD Process Area</t>
  </si>
  <si>
    <t>Tool Room</t>
  </si>
  <si>
    <t>Utility Area</t>
  </si>
  <si>
    <t xml:space="preserve">DG, Pump, CT, Etc. </t>
  </si>
  <si>
    <t>Pallet Area (IMD)</t>
  </si>
  <si>
    <t>Pallet Area</t>
  </si>
  <si>
    <t>Pallet Storage Area</t>
  </si>
  <si>
    <t>Rm Storage Area</t>
  </si>
  <si>
    <t>Area</t>
  </si>
  <si>
    <t>S. No.</t>
  </si>
  <si>
    <t>CoC</t>
  </si>
  <si>
    <t>Blow Moulding Area</t>
  </si>
  <si>
    <t>GCRC</t>
  </si>
  <si>
    <t>Dep.</t>
  </si>
  <si>
    <t>EL</t>
  </si>
  <si>
    <t>Sal.</t>
  </si>
  <si>
    <t>DRC</t>
  </si>
  <si>
    <t>Age</t>
  </si>
  <si>
    <t>1 guntha</t>
  </si>
  <si>
    <t>101 sqm</t>
  </si>
  <si>
    <t>https://www.princerealestate.in/sell/factory-industrial-building-athal-road-silvassa_833827.htm</t>
  </si>
  <si>
    <t>Price</t>
  </si>
  <si>
    <t>Land Area</t>
  </si>
  <si>
    <t>sqm</t>
  </si>
  <si>
    <t>BUA</t>
  </si>
  <si>
    <t>sqm Shed</t>
  </si>
  <si>
    <t>Land Rate</t>
  </si>
  <si>
    <t>per sqm</t>
  </si>
  <si>
    <t>http://www.adproperties.in/sell/industrial-land-silvassa_624872.htm</t>
  </si>
  <si>
    <t>https://www.princerealestate.in/sell/industrial-land-plot-vapi-main-road-silvassa_834549.htm</t>
  </si>
  <si>
    <t>https://www.princerealestate.in/sell/industrial-land-plot-amli-ind-estate-silvassa_886952.htm</t>
  </si>
  <si>
    <t>https://www.princerealestate.in/sell/industrial-land-plot-amli-ind-estate-silvassa_905958.htm</t>
  </si>
  <si>
    <t>https://www.princerealestate.in/sell/industrial-land-plot-sayli-road-silvassa_1117243.htm</t>
  </si>
  <si>
    <t xml:space="preserve">Google Measurment </t>
  </si>
  <si>
    <t>Department</t>
  </si>
  <si>
    <t>L</t>
  </si>
  <si>
    <t>W</t>
  </si>
  <si>
    <t>Nos</t>
  </si>
  <si>
    <t>Unit</t>
  </si>
  <si>
    <t>Type of Building</t>
  </si>
  <si>
    <t>Sq. Mtr.</t>
  </si>
  <si>
    <t xml:space="preserve">ADM Office </t>
  </si>
  <si>
    <t xml:space="preserve">Learning Hall / Lunch Room </t>
  </si>
  <si>
    <t>Despatch Office</t>
  </si>
  <si>
    <t>GAMBA Cabin</t>
  </si>
  <si>
    <t>Injection Molding Department</t>
  </si>
  <si>
    <t>RCC WITH ROOF</t>
  </si>
  <si>
    <t>IMD Raw Material</t>
  </si>
  <si>
    <t>IMD Tool Room</t>
  </si>
  <si>
    <t>IMD Tool Room   ( Pallet )</t>
  </si>
  <si>
    <t>Genral Store</t>
  </si>
  <si>
    <t>Quality Lab</t>
  </si>
  <si>
    <t>BLOW Molding</t>
  </si>
  <si>
    <t>BLOW Assymbly</t>
  </si>
  <si>
    <t>VFC Department</t>
  </si>
  <si>
    <t>Grinding</t>
  </si>
  <si>
    <t>PEB ROOF</t>
  </si>
  <si>
    <t>Cooling Tower / Pump Room</t>
  </si>
  <si>
    <t>OPEN /RCC</t>
  </si>
  <si>
    <t>HT Room</t>
  </si>
  <si>
    <t>Transformer</t>
  </si>
  <si>
    <t>IMD LT Room</t>
  </si>
  <si>
    <t>Maintaince Room</t>
  </si>
  <si>
    <t>DG Room</t>
  </si>
  <si>
    <t>FGS Pallat</t>
  </si>
  <si>
    <t>FGS Pallat ( Pallat Assy. )</t>
  </si>
  <si>
    <t>sq.ft</t>
  </si>
  <si>
    <t>SV</t>
  </si>
  <si>
    <t>Height mtr</t>
  </si>
  <si>
    <t>Gr. Floor</t>
  </si>
  <si>
    <t>First Floor</t>
  </si>
  <si>
    <t>Gr. Floor +1</t>
  </si>
  <si>
    <t>Gr.+3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</si>
</sst>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ont="1"/>
    <xf numFmtId="43" fontId="0" fillId="0" borderId="0" xfId="1" applyFont="1"/>
    <xf numFmtId="164" fontId="0" fillId="0" borderId="0" xfId="1" applyNumberFormat="1" applyFont="1"/>
    <xf numFmtId="0" fontId="2" fillId="2" borderId="0" xfId="0" applyFont="1" applyFill="1" applyAlignment="1">
      <alignment horizontal="center" vertical="center"/>
    </xf>
    <xf numFmtId="43" fontId="2" fillId="2" borderId="0" xfId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 vertical="center"/>
    </xf>
    <xf numFmtId="9" fontId="0" fillId="0" borderId="0" xfId="2" applyFont="1"/>
    <xf numFmtId="164" fontId="0" fillId="0" borderId="0" xfId="2" applyNumberFormat="1" applyFont="1"/>
    <xf numFmtId="164" fontId="3" fillId="0" borderId="0" xfId="1" applyNumberFormat="1" applyFont="1"/>
    <xf numFmtId="0" fontId="3" fillId="0" borderId="0" xfId="0" applyFont="1"/>
    <xf numFmtId="43" fontId="0" fillId="0" borderId="0" xfId="1" applyNumberFormat="1" applyFont="1"/>
    <xf numFmtId="164" fontId="0" fillId="0" borderId="0" xfId="1" applyNumberFormat="1" applyFont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164" fontId="0" fillId="0" borderId="1" xfId="1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9" fontId="3" fillId="0" borderId="0" xfId="2" applyFont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0" fontId="0" fillId="0" borderId="0" xfId="2" applyNumberFormat="1" applyFont="1"/>
    <xf numFmtId="0" fontId="0" fillId="0" borderId="0" xfId="0" applyAlignment="1">
      <alignment horizontal="center" vertical="center"/>
    </xf>
    <xf numFmtId="164" fontId="3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workbookViewId="0">
      <selection activeCell="Q24" sqref="Q24"/>
    </sheetView>
  </sheetViews>
  <sheetFormatPr defaultRowHeight="15" x14ac:dyDescent="0.25"/>
  <cols>
    <col min="1" max="1" width="9.140625" style="1"/>
    <col min="2" max="2" width="27.140625" bestFit="1" customWidth="1"/>
    <col min="3" max="3" width="5.5703125" bestFit="1" customWidth="1"/>
    <col min="4" max="4" width="10.42578125" style="3" bestFit="1" customWidth="1"/>
    <col min="5" max="5" width="5" bestFit="1" customWidth="1"/>
    <col min="6" max="6" width="9.85546875" bestFit="1" customWidth="1"/>
    <col min="7" max="7" width="9.7109375" bestFit="1" customWidth="1"/>
    <col min="8" max="8" width="10.28515625" style="3" bestFit="1" customWidth="1"/>
    <col min="9" max="9" width="9.85546875" style="3" bestFit="1" customWidth="1"/>
    <col min="10" max="10" width="10" style="4" bestFit="1" customWidth="1"/>
    <col min="11" max="11" width="3.85546875" style="4" bestFit="1" customWidth="1"/>
    <col min="12" max="12" width="5" style="4" bestFit="1" customWidth="1"/>
    <col min="13" max="13" width="5.28515625" style="4" bestFit="1" customWidth="1"/>
    <col min="14" max="14" width="5.28515625" bestFit="1" customWidth="1"/>
    <col min="15" max="17" width="12.5703125" style="4" bestFit="1" customWidth="1"/>
    <col min="18" max="18" width="9.140625" style="4"/>
    <col min="19" max="19" width="11.5703125" style="4" bestFit="1" customWidth="1"/>
  </cols>
  <sheetData>
    <row r="1" spans="1:17" x14ac:dyDescent="0.25">
      <c r="J1" s="4">
        <f>J2/10.764</f>
        <v>15747.802954292085</v>
      </c>
    </row>
    <row r="2" spans="1:17" x14ac:dyDescent="0.25">
      <c r="J2" s="10">
        <f>SUM(J4:J21)</f>
        <v>169509.351</v>
      </c>
      <c r="K2" s="10"/>
      <c r="L2" s="10"/>
      <c r="M2" s="10"/>
      <c r="N2" s="11"/>
      <c r="O2" s="10">
        <f>SUM(O4:O21)</f>
        <v>253401512.41999996</v>
      </c>
      <c r="P2" s="10">
        <v>2023</v>
      </c>
      <c r="Q2" s="10">
        <f>SUM(Q4:Q21)</f>
        <v>138317407.99788573</v>
      </c>
    </row>
    <row r="3" spans="1:17" x14ac:dyDescent="0.25">
      <c r="A3" s="5" t="s">
        <v>29</v>
      </c>
      <c r="B3" s="5" t="s">
        <v>6</v>
      </c>
      <c r="C3" s="5" t="s">
        <v>7</v>
      </c>
      <c r="D3" s="6" t="s">
        <v>8</v>
      </c>
      <c r="E3" s="5" t="s">
        <v>9</v>
      </c>
      <c r="F3" s="5" t="s">
        <v>10</v>
      </c>
      <c r="G3" s="5" t="s">
        <v>11</v>
      </c>
      <c r="H3" s="6" t="s">
        <v>4</v>
      </c>
      <c r="I3" s="6" t="s">
        <v>5</v>
      </c>
      <c r="J3" s="7" t="s">
        <v>28</v>
      </c>
      <c r="K3" s="7" t="s">
        <v>34</v>
      </c>
      <c r="L3" s="7" t="s">
        <v>35</v>
      </c>
      <c r="M3" s="7" t="s">
        <v>37</v>
      </c>
      <c r="N3" s="7" t="s">
        <v>30</v>
      </c>
      <c r="O3" s="7" t="s">
        <v>32</v>
      </c>
      <c r="P3" s="7" t="s">
        <v>33</v>
      </c>
      <c r="Q3" s="7" t="s">
        <v>36</v>
      </c>
    </row>
    <row r="4" spans="1:17" x14ac:dyDescent="0.25">
      <c r="A4" s="1">
        <v>1</v>
      </c>
      <c r="B4" t="s">
        <v>0</v>
      </c>
      <c r="C4" t="s">
        <v>1</v>
      </c>
      <c r="D4" s="3">
        <v>9.2100000000000009</v>
      </c>
      <c r="E4">
        <v>1997</v>
      </c>
      <c r="F4" t="s">
        <v>2</v>
      </c>
      <c r="G4" t="s">
        <v>3</v>
      </c>
      <c r="H4" s="3">
        <v>24.19</v>
      </c>
      <c r="I4" s="3">
        <v>14.03</v>
      </c>
      <c r="J4" s="4">
        <f>I4*H4</f>
        <v>339.38569999999999</v>
      </c>
      <c r="K4" s="4">
        <v>70</v>
      </c>
      <c r="L4" s="8">
        <v>0.9</v>
      </c>
      <c r="M4" s="9">
        <f>$P$2-E4</f>
        <v>26</v>
      </c>
      <c r="N4">
        <v>1400</v>
      </c>
      <c r="O4" s="4">
        <f>N4*J4</f>
        <v>475139.98</v>
      </c>
      <c r="P4" s="4">
        <f>O4*($P$2-E4)*(L4/K4)</f>
        <v>158832.50760000001</v>
      </c>
      <c r="Q4" s="4">
        <f>O4-P4</f>
        <v>316307.47239999997</v>
      </c>
    </row>
    <row r="5" spans="1:17" x14ac:dyDescent="0.25">
      <c r="A5" s="28">
        <v>2</v>
      </c>
      <c r="B5" t="s">
        <v>12</v>
      </c>
      <c r="C5" t="s">
        <v>1</v>
      </c>
      <c r="D5" s="3">
        <v>9.2100000000000009</v>
      </c>
      <c r="E5">
        <v>1997</v>
      </c>
      <c r="F5" t="s">
        <v>2</v>
      </c>
      <c r="G5" t="s">
        <v>3</v>
      </c>
      <c r="H5" s="3">
        <v>70</v>
      </c>
      <c r="I5" s="3">
        <v>50</v>
      </c>
      <c r="J5" s="4">
        <f t="shared" ref="J5:J21" si="0">I5*H5</f>
        <v>3500</v>
      </c>
      <c r="K5" s="4">
        <v>70</v>
      </c>
      <c r="L5" s="8">
        <v>0.9</v>
      </c>
      <c r="M5" s="9">
        <f t="shared" ref="M5:M21" si="1">$P$2-E5</f>
        <v>26</v>
      </c>
      <c r="N5">
        <v>1800</v>
      </c>
      <c r="O5" s="4">
        <f t="shared" ref="O5:O21" si="2">N5*J5</f>
        <v>6300000</v>
      </c>
      <c r="P5" s="4">
        <f t="shared" ref="P5:P21" si="3">O5*($P$2-E5)*(L5/K5)</f>
        <v>2106000</v>
      </c>
      <c r="Q5" s="4">
        <f t="shared" ref="Q5:Q21" si="4">O5-P5</f>
        <v>4194000</v>
      </c>
    </row>
    <row r="6" spans="1:17" x14ac:dyDescent="0.25">
      <c r="A6" s="28"/>
      <c r="B6" t="s">
        <v>12</v>
      </c>
      <c r="C6" t="s">
        <v>13</v>
      </c>
      <c r="D6" s="3">
        <v>11.56</v>
      </c>
      <c r="E6">
        <v>1997</v>
      </c>
      <c r="F6" t="s">
        <v>2</v>
      </c>
      <c r="G6" t="s">
        <v>3</v>
      </c>
      <c r="H6" s="3">
        <v>79.69</v>
      </c>
      <c r="I6" s="3">
        <v>50</v>
      </c>
      <c r="J6" s="4">
        <f t="shared" si="0"/>
        <v>3984.5</v>
      </c>
      <c r="K6" s="4">
        <v>70</v>
      </c>
      <c r="L6" s="8">
        <v>0.9</v>
      </c>
      <c r="M6" s="9">
        <f t="shared" si="1"/>
        <v>26</v>
      </c>
      <c r="N6">
        <v>1800</v>
      </c>
      <c r="O6" s="4">
        <f t="shared" si="2"/>
        <v>7172100</v>
      </c>
      <c r="P6" s="4">
        <f t="shared" si="3"/>
        <v>2397530.5714285714</v>
      </c>
      <c r="Q6" s="4">
        <f t="shared" si="4"/>
        <v>4774569.4285714291</v>
      </c>
    </row>
    <row r="7" spans="1:17" x14ac:dyDescent="0.25">
      <c r="A7" s="1">
        <v>3</v>
      </c>
      <c r="B7" t="s">
        <v>31</v>
      </c>
      <c r="C7" t="s">
        <v>1</v>
      </c>
      <c r="D7" s="3">
        <v>15.79</v>
      </c>
      <c r="E7">
        <v>1997</v>
      </c>
      <c r="F7" t="s">
        <v>2</v>
      </c>
      <c r="G7" t="s">
        <v>3</v>
      </c>
      <c r="H7" s="3">
        <v>150</v>
      </c>
      <c r="I7" s="3">
        <v>30</v>
      </c>
      <c r="J7" s="4">
        <f t="shared" si="0"/>
        <v>4500</v>
      </c>
      <c r="K7" s="4">
        <v>70</v>
      </c>
      <c r="L7" s="8">
        <v>0.9</v>
      </c>
      <c r="M7" s="9">
        <f t="shared" si="1"/>
        <v>26</v>
      </c>
      <c r="N7">
        <v>1600</v>
      </c>
      <c r="O7" s="4">
        <f t="shared" si="2"/>
        <v>7200000</v>
      </c>
      <c r="P7" s="4">
        <f t="shared" si="3"/>
        <v>2406857.1428571427</v>
      </c>
      <c r="Q7" s="4">
        <f t="shared" si="4"/>
        <v>4793142.8571428573</v>
      </c>
    </row>
    <row r="8" spans="1:17" x14ac:dyDescent="0.25">
      <c r="A8" s="1">
        <v>4</v>
      </c>
      <c r="B8" t="s">
        <v>14</v>
      </c>
      <c r="C8" t="s">
        <v>1</v>
      </c>
      <c r="D8" s="3">
        <v>15.62</v>
      </c>
      <c r="E8">
        <v>1997</v>
      </c>
      <c r="F8" t="s">
        <v>2</v>
      </c>
      <c r="G8" t="s">
        <v>3</v>
      </c>
      <c r="H8" s="3">
        <v>90</v>
      </c>
      <c r="I8" s="3">
        <v>85</v>
      </c>
      <c r="J8" s="4">
        <f t="shared" si="0"/>
        <v>7650</v>
      </c>
      <c r="K8" s="4">
        <v>70</v>
      </c>
      <c r="L8" s="8">
        <v>0.9</v>
      </c>
      <c r="M8" s="9">
        <f t="shared" si="1"/>
        <v>26</v>
      </c>
      <c r="N8">
        <v>1600</v>
      </c>
      <c r="O8" s="4">
        <f t="shared" si="2"/>
        <v>12240000</v>
      </c>
      <c r="P8" s="4">
        <f t="shared" si="3"/>
        <v>4091657.1428571427</v>
      </c>
      <c r="Q8" s="4">
        <f t="shared" si="4"/>
        <v>8148342.8571428573</v>
      </c>
    </row>
    <row r="9" spans="1:17" x14ac:dyDescent="0.25">
      <c r="A9" s="1">
        <v>5</v>
      </c>
      <c r="B9" t="s">
        <v>15</v>
      </c>
      <c r="C9" t="s">
        <v>1</v>
      </c>
      <c r="D9" s="3">
        <v>15.62</v>
      </c>
      <c r="E9">
        <v>1997</v>
      </c>
      <c r="F9" t="s">
        <v>2</v>
      </c>
      <c r="G9" t="s">
        <v>3</v>
      </c>
      <c r="H9" s="3">
        <v>139.71</v>
      </c>
      <c r="I9" s="3">
        <v>65.61</v>
      </c>
      <c r="J9" s="4">
        <f t="shared" si="0"/>
        <v>9166.3731000000007</v>
      </c>
      <c r="K9" s="4">
        <v>70</v>
      </c>
      <c r="L9" s="8">
        <v>0.9</v>
      </c>
      <c r="M9" s="9">
        <f t="shared" si="1"/>
        <v>26</v>
      </c>
      <c r="N9">
        <v>1600</v>
      </c>
      <c r="O9" s="4">
        <f t="shared" si="2"/>
        <v>14666196.960000001</v>
      </c>
      <c r="P9" s="4">
        <f t="shared" si="3"/>
        <v>4902700.1266285721</v>
      </c>
      <c r="Q9" s="4">
        <f t="shared" si="4"/>
        <v>9763496.8333714288</v>
      </c>
    </row>
    <row r="10" spans="1:17" x14ac:dyDescent="0.25">
      <c r="A10" s="28">
        <v>6</v>
      </c>
      <c r="B10" t="s">
        <v>16</v>
      </c>
      <c r="C10" t="s">
        <v>1</v>
      </c>
      <c r="D10" s="3">
        <v>24.85</v>
      </c>
      <c r="E10">
        <v>1997</v>
      </c>
      <c r="F10" t="s">
        <v>17</v>
      </c>
      <c r="G10" t="s">
        <v>3</v>
      </c>
      <c r="H10" s="3">
        <v>241.58</v>
      </c>
      <c r="I10" s="3">
        <v>358</v>
      </c>
      <c r="J10" s="4">
        <f t="shared" si="0"/>
        <v>86485.64</v>
      </c>
      <c r="K10" s="4">
        <v>45</v>
      </c>
      <c r="L10" s="8">
        <v>0.9</v>
      </c>
      <c r="M10" s="9">
        <f t="shared" si="1"/>
        <v>26</v>
      </c>
      <c r="N10">
        <v>1400</v>
      </c>
      <c r="O10" s="4">
        <f t="shared" si="2"/>
        <v>121079896</v>
      </c>
      <c r="P10" s="4">
        <f t="shared" si="3"/>
        <v>62961545.920000002</v>
      </c>
      <c r="Q10" s="4">
        <f t="shared" si="4"/>
        <v>58118350.079999998</v>
      </c>
    </row>
    <row r="11" spans="1:17" x14ac:dyDescent="0.25">
      <c r="A11" s="28"/>
      <c r="B11" t="s">
        <v>16</v>
      </c>
      <c r="C11" t="s">
        <v>13</v>
      </c>
      <c r="D11" s="3">
        <v>24.85</v>
      </c>
      <c r="E11">
        <v>1997</v>
      </c>
      <c r="F11" t="s">
        <v>17</v>
      </c>
      <c r="G11" t="s">
        <v>3</v>
      </c>
      <c r="H11" s="3">
        <v>66.52</v>
      </c>
      <c r="I11" s="3">
        <v>18.88</v>
      </c>
      <c r="J11" s="4">
        <f t="shared" si="0"/>
        <v>1255.8975999999998</v>
      </c>
      <c r="K11" s="4">
        <v>45</v>
      </c>
      <c r="L11" s="8">
        <v>0.9</v>
      </c>
      <c r="M11" s="9">
        <f t="shared" si="1"/>
        <v>26</v>
      </c>
      <c r="N11">
        <v>1400</v>
      </c>
      <c r="O11" s="4">
        <f t="shared" si="2"/>
        <v>1758256.6399999997</v>
      </c>
      <c r="P11" s="4">
        <f t="shared" si="3"/>
        <v>914293.45279999985</v>
      </c>
      <c r="Q11" s="4">
        <f t="shared" si="4"/>
        <v>843963.18719999981</v>
      </c>
    </row>
    <row r="12" spans="1:17" x14ac:dyDescent="0.25">
      <c r="A12" s="1">
        <v>7</v>
      </c>
      <c r="B12" t="s">
        <v>18</v>
      </c>
      <c r="C12" t="s">
        <v>1</v>
      </c>
      <c r="D12" s="3">
        <v>15.65</v>
      </c>
      <c r="E12">
        <v>1997</v>
      </c>
      <c r="F12" t="s">
        <v>2</v>
      </c>
      <c r="G12" t="s">
        <v>3</v>
      </c>
      <c r="H12" s="3">
        <v>140</v>
      </c>
      <c r="I12" s="3">
        <v>45</v>
      </c>
      <c r="J12" s="4">
        <f t="shared" si="0"/>
        <v>6300</v>
      </c>
      <c r="K12" s="4">
        <v>70</v>
      </c>
      <c r="L12" s="8">
        <v>0.9</v>
      </c>
      <c r="M12" s="9">
        <f t="shared" si="1"/>
        <v>26</v>
      </c>
      <c r="N12">
        <v>1600</v>
      </c>
      <c r="O12" s="4">
        <f t="shared" si="2"/>
        <v>10080000</v>
      </c>
      <c r="P12" s="4">
        <f t="shared" si="3"/>
        <v>3369600</v>
      </c>
      <c r="Q12" s="4">
        <f t="shared" si="4"/>
        <v>6710400</v>
      </c>
    </row>
    <row r="13" spans="1:17" x14ac:dyDescent="0.25">
      <c r="A13" s="1">
        <v>8</v>
      </c>
      <c r="B13" t="s">
        <v>19</v>
      </c>
      <c r="C13" t="s">
        <v>1</v>
      </c>
      <c r="D13" s="3">
        <v>15.65</v>
      </c>
      <c r="E13">
        <v>1997</v>
      </c>
      <c r="F13" t="s">
        <v>2</v>
      </c>
      <c r="G13" t="s">
        <v>3</v>
      </c>
      <c r="H13" s="3">
        <v>21</v>
      </c>
      <c r="I13" s="3">
        <v>34</v>
      </c>
      <c r="J13" s="4">
        <f t="shared" si="0"/>
        <v>714</v>
      </c>
      <c r="K13" s="4">
        <v>70</v>
      </c>
      <c r="L13" s="8">
        <v>0.9</v>
      </c>
      <c r="M13" s="9">
        <f t="shared" si="1"/>
        <v>26</v>
      </c>
      <c r="N13">
        <v>1600</v>
      </c>
      <c r="O13" s="4">
        <f t="shared" si="2"/>
        <v>1142400</v>
      </c>
      <c r="P13" s="4">
        <f t="shared" si="3"/>
        <v>381888</v>
      </c>
      <c r="Q13" s="4">
        <f t="shared" si="4"/>
        <v>760512</v>
      </c>
    </row>
    <row r="14" spans="1:17" x14ac:dyDescent="0.25">
      <c r="A14" s="1">
        <v>9</v>
      </c>
      <c r="B14" t="s">
        <v>20</v>
      </c>
      <c r="C14" t="s">
        <v>1</v>
      </c>
      <c r="D14" s="3">
        <v>41</v>
      </c>
      <c r="E14">
        <v>1997</v>
      </c>
      <c r="F14" t="s">
        <v>17</v>
      </c>
      <c r="G14" t="s">
        <v>3</v>
      </c>
      <c r="H14" s="3">
        <v>32</v>
      </c>
      <c r="I14" s="3">
        <v>116</v>
      </c>
      <c r="J14" s="4">
        <f t="shared" si="0"/>
        <v>3712</v>
      </c>
      <c r="K14" s="4">
        <v>45</v>
      </c>
      <c r="L14" s="8">
        <v>0.9</v>
      </c>
      <c r="M14" s="9">
        <f t="shared" si="1"/>
        <v>26</v>
      </c>
      <c r="N14">
        <v>1600</v>
      </c>
      <c r="O14" s="4">
        <f t="shared" si="2"/>
        <v>5939200</v>
      </c>
      <c r="P14" s="4">
        <f t="shared" si="3"/>
        <v>3088384</v>
      </c>
      <c r="Q14" s="4">
        <f t="shared" si="4"/>
        <v>2850816</v>
      </c>
    </row>
    <row r="15" spans="1:17" x14ac:dyDescent="0.25">
      <c r="A15" s="1">
        <v>10</v>
      </c>
      <c r="B15" t="s">
        <v>21</v>
      </c>
      <c r="C15" t="s">
        <v>1</v>
      </c>
      <c r="D15" s="3">
        <v>41</v>
      </c>
      <c r="E15">
        <v>1997</v>
      </c>
      <c r="F15" t="s">
        <v>17</v>
      </c>
      <c r="G15" t="s">
        <v>3</v>
      </c>
      <c r="H15" s="3">
        <v>68.75</v>
      </c>
      <c r="I15" s="3">
        <v>81.66</v>
      </c>
      <c r="J15" s="4">
        <f t="shared" si="0"/>
        <v>5614.125</v>
      </c>
      <c r="K15" s="4">
        <v>45</v>
      </c>
      <c r="L15" s="8">
        <v>0.9</v>
      </c>
      <c r="M15" s="9">
        <f t="shared" si="1"/>
        <v>26</v>
      </c>
      <c r="N15">
        <v>1600</v>
      </c>
      <c r="O15" s="4">
        <f t="shared" si="2"/>
        <v>8982600</v>
      </c>
      <c r="P15" s="4">
        <f t="shared" si="3"/>
        <v>4670952</v>
      </c>
      <c r="Q15" s="4">
        <f t="shared" si="4"/>
        <v>4311648</v>
      </c>
    </row>
    <row r="16" spans="1:17" x14ac:dyDescent="0.25">
      <c r="A16" s="1">
        <v>11</v>
      </c>
      <c r="B16" t="s">
        <v>22</v>
      </c>
      <c r="C16" t="s">
        <v>1</v>
      </c>
      <c r="D16" s="3">
        <v>35</v>
      </c>
      <c r="E16">
        <v>1997</v>
      </c>
      <c r="F16" t="s">
        <v>2</v>
      </c>
      <c r="G16" t="s">
        <v>3</v>
      </c>
      <c r="H16" s="3">
        <v>40</v>
      </c>
      <c r="I16" s="3">
        <v>36.47</v>
      </c>
      <c r="J16" s="4">
        <f t="shared" si="0"/>
        <v>1458.8</v>
      </c>
      <c r="K16" s="4">
        <v>70</v>
      </c>
      <c r="L16" s="8">
        <v>0.9</v>
      </c>
      <c r="M16" s="9">
        <f t="shared" si="1"/>
        <v>26</v>
      </c>
      <c r="N16">
        <v>1800</v>
      </c>
      <c r="O16" s="4">
        <f t="shared" si="2"/>
        <v>2625840</v>
      </c>
      <c r="P16" s="4">
        <f t="shared" si="3"/>
        <v>877780.79999999993</v>
      </c>
      <c r="Q16" s="4">
        <f t="shared" si="4"/>
        <v>1748059.2000000002</v>
      </c>
    </row>
    <row r="17" spans="1:17" x14ac:dyDescent="0.25">
      <c r="A17" s="1">
        <v>12</v>
      </c>
      <c r="B17" t="s">
        <v>23</v>
      </c>
      <c r="C17" t="s">
        <v>1</v>
      </c>
      <c r="D17" s="3">
        <v>11</v>
      </c>
      <c r="E17">
        <v>1997</v>
      </c>
      <c r="F17" t="s">
        <v>2</v>
      </c>
      <c r="G17" t="s">
        <v>3</v>
      </c>
      <c r="H17" s="3">
        <v>34.47</v>
      </c>
      <c r="I17" s="3">
        <v>217.08</v>
      </c>
      <c r="J17" s="4">
        <f t="shared" si="0"/>
        <v>7482.7476000000006</v>
      </c>
      <c r="K17" s="4">
        <v>70</v>
      </c>
      <c r="L17" s="8">
        <v>0.9</v>
      </c>
      <c r="M17" s="9">
        <f t="shared" si="1"/>
        <v>26</v>
      </c>
      <c r="N17">
        <v>1400</v>
      </c>
      <c r="O17" s="4">
        <f t="shared" si="2"/>
        <v>10475846.640000001</v>
      </c>
      <c r="P17" s="4">
        <f t="shared" si="3"/>
        <v>3501925.8767999997</v>
      </c>
      <c r="Q17" s="4">
        <f t="shared" si="4"/>
        <v>6973920.7632000009</v>
      </c>
    </row>
    <row r="18" spans="1:17" x14ac:dyDescent="0.25">
      <c r="A18" s="1">
        <v>13</v>
      </c>
      <c r="B18" t="s">
        <v>27</v>
      </c>
      <c r="C18" t="s">
        <v>1</v>
      </c>
      <c r="D18" s="3">
        <v>14.3</v>
      </c>
      <c r="E18">
        <v>1997</v>
      </c>
      <c r="F18" t="s">
        <v>2</v>
      </c>
      <c r="G18" t="s">
        <v>3</v>
      </c>
      <c r="H18" s="3">
        <v>138</v>
      </c>
      <c r="I18" s="3">
        <v>79.09</v>
      </c>
      <c r="J18" s="4">
        <f t="shared" si="0"/>
        <v>10914.42</v>
      </c>
      <c r="K18" s="4">
        <v>70</v>
      </c>
      <c r="L18" s="8">
        <v>0.9</v>
      </c>
      <c r="M18" s="9">
        <f t="shared" si="1"/>
        <v>26</v>
      </c>
      <c r="N18">
        <v>1600</v>
      </c>
      <c r="O18" s="4">
        <f t="shared" si="2"/>
        <v>17463072</v>
      </c>
      <c r="P18" s="4">
        <f t="shared" si="3"/>
        <v>5837655.4971428569</v>
      </c>
      <c r="Q18" s="4">
        <f t="shared" si="4"/>
        <v>11625416.502857143</v>
      </c>
    </row>
    <row r="19" spans="1:17" x14ac:dyDescent="0.25">
      <c r="A19" s="1">
        <v>14</v>
      </c>
      <c r="B19" t="s">
        <v>24</v>
      </c>
      <c r="C19" t="s">
        <v>1</v>
      </c>
      <c r="D19" s="3">
        <v>40</v>
      </c>
      <c r="E19">
        <v>1997</v>
      </c>
      <c r="F19" t="s">
        <v>17</v>
      </c>
      <c r="G19" t="s">
        <v>3</v>
      </c>
      <c r="H19" s="3">
        <v>293.73</v>
      </c>
      <c r="I19" s="3">
        <v>50</v>
      </c>
      <c r="J19" s="4">
        <f t="shared" si="0"/>
        <v>14686.5</v>
      </c>
      <c r="K19" s="4">
        <v>45</v>
      </c>
      <c r="L19" s="8">
        <v>0.9</v>
      </c>
      <c r="M19" s="9">
        <f t="shared" si="1"/>
        <v>26</v>
      </c>
      <c r="N19">
        <v>1600</v>
      </c>
      <c r="O19" s="4">
        <f t="shared" si="2"/>
        <v>23498400</v>
      </c>
      <c r="P19" s="4">
        <f t="shared" si="3"/>
        <v>12219168</v>
      </c>
      <c r="Q19" s="4">
        <f t="shared" si="4"/>
        <v>11279232</v>
      </c>
    </row>
    <row r="20" spans="1:17" x14ac:dyDescent="0.25">
      <c r="A20" s="1">
        <v>15</v>
      </c>
      <c r="B20" t="s">
        <v>25</v>
      </c>
      <c r="C20" t="s">
        <v>1</v>
      </c>
      <c r="D20" s="3">
        <v>35</v>
      </c>
      <c r="E20">
        <v>1997</v>
      </c>
      <c r="F20" t="s">
        <v>17</v>
      </c>
      <c r="G20" t="s">
        <v>3</v>
      </c>
      <c r="H20" s="3">
        <v>18.399999999999999</v>
      </c>
      <c r="I20" s="3">
        <v>6.18</v>
      </c>
      <c r="J20" s="4">
        <f t="shared" si="0"/>
        <v>113.71199999999999</v>
      </c>
      <c r="K20" s="4">
        <v>45</v>
      </c>
      <c r="L20" s="8">
        <v>0.9</v>
      </c>
      <c r="M20" s="9">
        <f t="shared" si="1"/>
        <v>26</v>
      </c>
      <c r="N20">
        <v>1600</v>
      </c>
      <c r="O20" s="4">
        <f t="shared" si="2"/>
        <v>181939.19999999998</v>
      </c>
      <c r="P20" s="4">
        <f t="shared" si="3"/>
        <v>94608.383999999991</v>
      </c>
      <c r="Q20" s="4">
        <f t="shared" si="4"/>
        <v>87330.815999999992</v>
      </c>
    </row>
    <row r="21" spans="1:17" x14ac:dyDescent="0.25">
      <c r="B21" t="s">
        <v>26</v>
      </c>
      <c r="C21" t="s">
        <v>1</v>
      </c>
      <c r="D21" s="3">
        <v>15</v>
      </c>
      <c r="E21">
        <v>1997</v>
      </c>
      <c r="F21" s="2" t="s">
        <v>17</v>
      </c>
      <c r="G21" t="s">
        <v>3</v>
      </c>
      <c r="H21" s="3">
        <v>29</v>
      </c>
      <c r="I21" s="3">
        <v>56.25</v>
      </c>
      <c r="J21" s="4">
        <f t="shared" si="0"/>
        <v>1631.25</v>
      </c>
      <c r="K21" s="4">
        <v>45</v>
      </c>
      <c r="L21" s="8">
        <v>0.9</v>
      </c>
      <c r="M21" s="9">
        <f t="shared" si="1"/>
        <v>26</v>
      </c>
      <c r="N21">
        <v>1300</v>
      </c>
      <c r="O21" s="4">
        <f t="shared" si="2"/>
        <v>2120625</v>
      </c>
      <c r="P21" s="4">
        <f t="shared" si="3"/>
        <v>1102725</v>
      </c>
      <c r="Q21" s="4">
        <f t="shared" si="4"/>
        <v>1017900</v>
      </c>
    </row>
    <row r="22" spans="1:17" x14ac:dyDescent="0.25">
      <c r="J22" s="10">
        <f>SUM(J4:J21)</f>
        <v>169509.351</v>
      </c>
      <c r="O22" s="10">
        <f t="shared" ref="O22:Q22" si="5">SUM(O4:O21)</f>
        <v>253401512.41999996</v>
      </c>
      <c r="P22" s="10">
        <f t="shared" si="5"/>
        <v>115084104.42211428</v>
      </c>
      <c r="Q22" s="10">
        <f t="shared" si="5"/>
        <v>138317407.99788573</v>
      </c>
    </row>
    <row r="24" spans="1:17" x14ac:dyDescent="0.25">
      <c r="O24" s="4">
        <v>26000</v>
      </c>
      <c r="P24" s="4">
        <v>7500</v>
      </c>
      <c r="Q24" s="4">
        <f>P24*O24</f>
        <v>195000000</v>
      </c>
    </row>
  </sheetData>
  <autoFilter ref="A3:Q22"/>
  <mergeCells count="2">
    <mergeCell ref="A5:A6"/>
    <mergeCell ref="A10:A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2"/>
  <sheetViews>
    <sheetView workbookViewId="0">
      <selection activeCell="E9" sqref="E9"/>
    </sheetView>
  </sheetViews>
  <sheetFormatPr defaultRowHeight="15" x14ac:dyDescent="0.25"/>
  <cols>
    <col min="3" max="4" width="9.28515625" style="4" bestFit="1" customWidth="1"/>
    <col min="5" max="5" width="11.7109375" style="4" bestFit="1" customWidth="1"/>
    <col min="6" max="6" width="10" style="4" bestFit="1" customWidth="1"/>
    <col min="8" max="8" width="14.28515625" bestFit="1" customWidth="1"/>
  </cols>
  <sheetData>
    <row r="1" spans="3:8" x14ac:dyDescent="0.25">
      <c r="C1" s="29" t="s">
        <v>53</v>
      </c>
      <c r="D1" s="29"/>
      <c r="E1" s="29"/>
      <c r="F1" s="29"/>
    </row>
    <row r="2" spans="3:8" x14ac:dyDescent="0.25">
      <c r="C2" s="4">
        <v>1602.95</v>
      </c>
      <c r="D2" s="4">
        <v>2</v>
      </c>
      <c r="E2" s="4">
        <f>D2*C2</f>
        <v>3205.9</v>
      </c>
      <c r="F2" s="4">
        <f>E2*10.764</f>
        <v>34508.3076</v>
      </c>
    </row>
    <row r="3" spans="3:8" x14ac:dyDescent="0.25">
      <c r="C3" s="4">
        <v>1386</v>
      </c>
      <c r="D3" s="4">
        <v>1</v>
      </c>
      <c r="E3" s="4">
        <f t="shared" ref="E3:E8" si="0">D3*C3</f>
        <v>1386</v>
      </c>
      <c r="F3" s="4">
        <f t="shared" ref="F3:F9" si="1">E3*10.764</f>
        <v>14918.903999999999</v>
      </c>
    </row>
    <row r="4" spans="3:8" x14ac:dyDescent="0.25">
      <c r="C4" s="4">
        <v>1083</v>
      </c>
      <c r="D4" s="4">
        <v>1</v>
      </c>
      <c r="E4" s="4">
        <f t="shared" si="0"/>
        <v>1083</v>
      </c>
      <c r="F4" s="4">
        <f t="shared" si="1"/>
        <v>11657.411999999998</v>
      </c>
    </row>
    <row r="5" spans="3:8" x14ac:dyDescent="0.25">
      <c r="C5" s="4">
        <v>8500</v>
      </c>
      <c r="D5" s="4">
        <v>1</v>
      </c>
      <c r="E5" s="4">
        <f t="shared" si="0"/>
        <v>8500</v>
      </c>
      <c r="F5" s="4">
        <f t="shared" si="1"/>
        <v>91494</v>
      </c>
    </row>
    <row r="6" spans="3:8" x14ac:dyDescent="0.25">
      <c r="C6" s="4">
        <v>321</v>
      </c>
      <c r="D6" s="4">
        <v>1</v>
      </c>
      <c r="E6" s="4">
        <f t="shared" si="0"/>
        <v>321</v>
      </c>
      <c r="F6" s="4">
        <f t="shared" si="1"/>
        <v>3455.2439999999997</v>
      </c>
    </row>
    <row r="7" spans="3:8" x14ac:dyDescent="0.25">
      <c r="C7" s="4">
        <v>177</v>
      </c>
      <c r="D7" s="4">
        <v>1</v>
      </c>
      <c r="E7" s="4">
        <f t="shared" si="0"/>
        <v>177</v>
      </c>
      <c r="F7" s="4">
        <f t="shared" si="1"/>
        <v>1905.2279999999998</v>
      </c>
    </row>
    <row r="8" spans="3:8" x14ac:dyDescent="0.25">
      <c r="C8" s="4">
        <v>175</v>
      </c>
      <c r="D8" s="4">
        <v>1</v>
      </c>
      <c r="E8" s="4">
        <f t="shared" si="0"/>
        <v>175</v>
      </c>
      <c r="F8" s="4">
        <f t="shared" si="1"/>
        <v>1883.6999999999998</v>
      </c>
    </row>
    <row r="9" spans="3:8" x14ac:dyDescent="0.25">
      <c r="E9" s="10">
        <f>SUM(E2:E8)</f>
        <v>14847.9</v>
      </c>
      <c r="F9" s="10">
        <f t="shared" si="1"/>
        <v>159822.79559999998</v>
      </c>
    </row>
    <row r="10" spans="3:8" x14ac:dyDescent="0.25">
      <c r="E10" s="10"/>
      <c r="F10" s="10">
        <f>Old!J2</f>
        <v>169509.351</v>
      </c>
    </row>
    <row r="12" spans="3:8" x14ac:dyDescent="0.25">
      <c r="H12" s="4"/>
    </row>
  </sheetData>
  <mergeCells count="1">
    <mergeCell ref="C1:F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7"/>
  <sheetViews>
    <sheetView workbookViewId="0">
      <selection activeCell="A5" sqref="A5"/>
    </sheetView>
  </sheetViews>
  <sheetFormatPr defaultRowHeight="15" x14ac:dyDescent="0.25"/>
  <cols>
    <col min="1" max="1" width="10" style="4" bestFit="1" customWidth="1"/>
    <col min="2" max="2" width="10.42578125" style="4" bestFit="1" customWidth="1"/>
    <col min="3" max="3" width="9.140625" style="4"/>
    <col min="4" max="4" width="36.28515625" style="4" customWidth="1"/>
    <col min="5" max="5" width="9.140625" style="4"/>
    <col min="6" max="6" width="12.5703125" style="4" bestFit="1" customWidth="1"/>
    <col min="7" max="7" width="7.42578125" style="4" bestFit="1" customWidth="1"/>
    <col min="8" max="8" width="5.5703125" style="4" bestFit="1" customWidth="1"/>
    <col min="9" max="9" width="6.42578125" style="4" bestFit="1" customWidth="1"/>
    <col min="10" max="10" width="10.42578125" style="4" bestFit="1" customWidth="1"/>
    <col min="11" max="11" width="9.140625" style="4"/>
    <col min="12" max="12" width="10.42578125" style="4" bestFit="1" customWidth="1"/>
    <col min="13" max="13" width="9" style="4" bestFit="1" customWidth="1"/>
    <col min="14" max="16384" width="9.140625" style="4"/>
  </cols>
  <sheetData>
    <row r="3" spans="1:13" x14ac:dyDescent="0.25">
      <c r="A3" s="4">
        <v>28313</v>
      </c>
      <c r="B3" s="4">
        <f>A3/10.764</f>
        <v>2630.3418803418804</v>
      </c>
      <c r="F3" s="10" t="s">
        <v>41</v>
      </c>
      <c r="G3" s="29" t="s">
        <v>42</v>
      </c>
      <c r="H3" s="29"/>
      <c r="I3" s="30" t="s">
        <v>44</v>
      </c>
      <c r="J3" s="30"/>
      <c r="L3" s="4" t="s">
        <v>46</v>
      </c>
    </row>
    <row r="4" spans="1:13" x14ac:dyDescent="0.25">
      <c r="A4" s="4">
        <v>26</v>
      </c>
      <c r="B4" s="4">
        <f>B3/A4</f>
        <v>101.16699539776462</v>
      </c>
      <c r="D4" s="4" t="s">
        <v>40</v>
      </c>
      <c r="F4" s="4">
        <f>1.1*10^7</f>
        <v>11000000</v>
      </c>
      <c r="G4" s="4">
        <v>1000</v>
      </c>
      <c r="H4" s="4" t="s">
        <v>43</v>
      </c>
      <c r="I4" s="4">
        <v>1000</v>
      </c>
      <c r="J4" s="4" t="s">
        <v>45</v>
      </c>
      <c r="L4" s="4">
        <f>F5/G4</f>
        <v>10000</v>
      </c>
      <c r="M4" s="4" t="s">
        <v>47</v>
      </c>
    </row>
    <row r="5" spans="1:13" x14ac:dyDescent="0.25">
      <c r="F5" s="4">
        <f>1*10^7</f>
        <v>10000000</v>
      </c>
    </row>
    <row r="7" spans="1:13" x14ac:dyDescent="0.25">
      <c r="A7" s="4" t="s">
        <v>38</v>
      </c>
      <c r="B7" s="4" t="s">
        <v>39</v>
      </c>
    </row>
    <row r="8" spans="1:13" x14ac:dyDescent="0.25">
      <c r="D8" s="4" t="s">
        <v>48</v>
      </c>
      <c r="F8" s="4">
        <v>7000000</v>
      </c>
      <c r="G8" s="4">
        <f>10*101</f>
        <v>1010</v>
      </c>
      <c r="H8" s="4" t="s">
        <v>43</v>
      </c>
      <c r="L8" s="4">
        <f>F8/G8</f>
        <v>6930.6930693069307</v>
      </c>
      <c r="M8" s="4" t="s">
        <v>47</v>
      </c>
    </row>
    <row r="10" spans="1:13" x14ac:dyDescent="0.25">
      <c r="D10" s="4" t="s">
        <v>49</v>
      </c>
      <c r="F10" s="4">
        <f>6.27*10^7</f>
        <v>62699999.999999993</v>
      </c>
      <c r="G10" s="4">
        <v>5700</v>
      </c>
      <c r="L10" s="4">
        <f>F10/G10</f>
        <v>10999.999999999998</v>
      </c>
    </row>
    <row r="11" spans="1:13" x14ac:dyDescent="0.25">
      <c r="D11" s="4" t="s">
        <v>50</v>
      </c>
      <c r="F11" s="4">
        <f>G11*7500</f>
        <v>45528750</v>
      </c>
      <c r="G11" s="4">
        <f>1.5*4047</f>
        <v>6070.5</v>
      </c>
      <c r="L11" s="4">
        <f t="shared" ref="L11:L13" si="0">F11/G11</f>
        <v>7500</v>
      </c>
    </row>
    <row r="12" spans="1:13" x14ac:dyDescent="0.25">
      <c r="D12" s="4" t="s">
        <v>51</v>
      </c>
      <c r="F12" s="4">
        <f>3.3*10^7</f>
        <v>33000000</v>
      </c>
      <c r="G12" s="4">
        <v>5500</v>
      </c>
      <c r="L12" s="4">
        <f t="shared" si="0"/>
        <v>6000</v>
      </c>
    </row>
    <row r="13" spans="1:13" x14ac:dyDescent="0.25">
      <c r="D13" s="4" t="s">
        <v>52</v>
      </c>
      <c r="F13" s="4">
        <f>18.2*10^7</f>
        <v>182000000</v>
      </c>
      <c r="G13" s="4">
        <v>26000</v>
      </c>
      <c r="L13" s="4">
        <f t="shared" si="0"/>
        <v>7000</v>
      </c>
    </row>
    <row r="14" spans="1:13" x14ac:dyDescent="0.25">
      <c r="H14" s="12"/>
    </row>
    <row r="24" spans="5:6" x14ac:dyDescent="0.25">
      <c r="E24" s="13"/>
      <c r="F24" s="12"/>
    </row>
    <row r="25" spans="5:6" x14ac:dyDescent="0.25">
      <c r="E25" s="13"/>
    </row>
    <row r="26" spans="5:6" x14ac:dyDescent="0.25">
      <c r="E26" s="13"/>
    </row>
    <row r="27" spans="5:6" x14ac:dyDescent="0.25">
      <c r="F27" s="3"/>
    </row>
  </sheetData>
  <mergeCells count="2">
    <mergeCell ref="G3:H3"/>
    <mergeCell ref="I3:J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48575"/>
  <sheetViews>
    <sheetView topLeftCell="A6" workbookViewId="0">
      <selection activeCell="E33" sqref="E33"/>
    </sheetView>
  </sheetViews>
  <sheetFormatPr defaultRowHeight="15" x14ac:dyDescent="0.25"/>
  <cols>
    <col min="1" max="1" width="7.28515625" style="2" customWidth="1"/>
    <col min="2" max="2" width="28.28515625" style="2" bestFit="1" customWidth="1"/>
    <col min="3" max="3" width="7.5703125" style="2" bestFit="1" customWidth="1"/>
    <col min="4" max="4" width="6" style="2" bestFit="1" customWidth="1"/>
    <col min="5" max="5" width="5.7109375" style="2" bestFit="1" customWidth="1"/>
    <col min="6" max="6" width="9.7109375" style="2" bestFit="1" customWidth="1"/>
    <col min="7" max="7" width="9.42578125" style="2" bestFit="1" customWidth="1"/>
    <col min="8" max="8" width="20" style="2" bestFit="1" customWidth="1"/>
    <col min="9" max="9" width="11" style="2" bestFit="1" customWidth="1"/>
    <col min="10" max="10" width="10.28515625" style="2" customWidth="1"/>
    <col min="11" max="11" width="9" style="2" bestFit="1" customWidth="1"/>
    <col min="12" max="12" width="9.5703125" style="4" bestFit="1" customWidth="1"/>
    <col min="13" max="13" width="9" style="2" bestFit="1" customWidth="1"/>
    <col min="14" max="14" width="3" style="2" bestFit="1" customWidth="1"/>
    <col min="15" max="15" width="4.5703125" style="8" bestFit="1" customWidth="1"/>
    <col min="16" max="16" width="12.5703125" style="4" bestFit="1" customWidth="1"/>
    <col min="17" max="17" width="11.5703125" style="4" bestFit="1" customWidth="1"/>
    <col min="18" max="18" width="14.28515625" style="4" bestFit="1" customWidth="1"/>
    <col min="19" max="19" width="9.140625" style="4"/>
    <col min="20" max="16384" width="9.140625" style="2"/>
  </cols>
  <sheetData>
    <row r="1" spans="1:18" x14ac:dyDescent="0.25">
      <c r="P1" s="4">
        <f>P2*0.8</f>
        <v>206764298.20800003</v>
      </c>
    </row>
    <row r="2" spans="1:18" x14ac:dyDescent="0.25">
      <c r="F2" s="4">
        <f>SUM(F4:F35)</f>
        <v>16326.85</v>
      </c>
      <c r="L2" s="4">
        <f>SUM(L4:L35)</f>
        <v>175742.21339999998</v>
      </c>
      <c r="P2" s="4">
        <f>SUM(P4:P35)</f>
        <v>258455372.76000002</v>
      </c>
      <c r="Q2" s="4">
        <v>2023</v>
      </c>
      <c r="R2" s="4">
        <f>SUM(R4:R35)</f>
        <v>183297294.92879996</v>
      </c>
    </row>
    <row r="3" spans="1:18" x14ac:dyDescent="0.25">
      <c r="A3" s="14" t="s">
        <v>29</v>
      </c>
      <c r="B3" s="23" t="s">
        <v>54</v>
      </c>
      <c r="C3" s="14" t="s">
        <v>55</v>
      </c>
      <c r="D3" s="14" t="s">
        <v>56</v>
      </c>
      <c r="E3" s="14" t="s">
        <v>57</v>
      </c>
      <c r="F3" s="23" t="s">
        <v>28</v>
      </c>
      <c r="G3" s="15" t="s">
        <v>58</v>
      </c>
      <c r="H3" s="23" t="s">
        <v>59</v>
      </c>
      <c r="I3" s="25" t="s">
        <v>7</v>
      </c>
      <c r="J3" s="25" t="s">
        <v>88</v>
      </c>
      <c r="K3" s="20" t="s">
        <v>9</v>
      </c>
      <c r="L3" s="23" t="s">
        <v>86</v>
      </c>
      <c r="M3" s="23" t="s">
        <v>30</v>
      </c>
      <c r="N3" s="20" t="s">
        <v>34</v>
      </c>
      <c r="O3" s="21" t="s">
        <v>87</v>
      </c>
      <c r="P3" s="23" t="s">
        <v>32</v>
      </c>
      <c r="Q3" s="22" t="s">
        <v>33</v>
      </c>
      <c r="R3" s="23" t="s">
        <v>36</v>
      </c>
    </row>
    <row r="4" spans="1:18" x14ac:dyDescent="0.25">
      <c r="A4" s="16">
        <v>1</v>
      </c>
      <c r="B4" s="17" t="s">
        <v>0</v>
      </c>
      <c r="C4" s="16">
        <v>4.5</v>
      </c>
      <c r="D4" s="16">
        <v>11</v>
      </c>
      <c r="E4" s="16">
        <v>1</v>
      </c>
      <c r="F4" s="18">
        <f>C4*D4*E4</f>
        <v>49.5</v>
      </c>
      <c r="G4" s="16" t="s">
        <v>60</v>
      </c>
      <c r="H4" s="19" t="s">
        <v>2</v>
      </c>
      <c r="I4" s="19" t="s">
        <v>89</v>
      </c>
      <c r="J4" s="24">
        <v>3</v>
      </c>
      <c r="K4" s="24">
        <v>1997</v>
      </c>
      <c r="L4" s="4">
        <f>F4*10.764</f>
        <v>532.81799999999998</v>
      </c>
      <c r="M4">
        <v>1400</v>
      </c>
      <c r="N4" s="2">
        <v>70</v>
      </c>
      <c r="O4" s="8">
        <v>0.9</v>
      </c>
      <c r="P4" s="4">
        <f>M4*L4</f>
        <v>745945.2</v>
      </c>
      <c r="Q4" s="4">
        <f>P4*(O4/N4)*($Q$2-K4)</f>
        <v>249358.82399999996</v>
      </c>
      <c r="R4" s="4">
        <f>P4-Q4</f>
        <v>496586.37599999999</v>
      </c>
    </row>
    <row r="5" spans="1:18" x14ac:dyDescent="0.25">
      <c r="A5" s="16">
        <v>2</v>
      </c>
      <c r="B5" s="17" t="s">
        <v>61</v>
      </c>
      <c r="C5" s="16">
        <v>20</v>
      </c>
      <c r="D5" s="16">
        <v>15</v>
      </c>
      <c r="E5" s="16">
        <v>1</v>
      </c>
      <c r="F5" s="18">
        <f t="shared" ref="F5:F35" si="0">C5*D5*E5</f>
        <v>300</v>
      </c>
      <c r="G5" s="16" t="s">
        <v>60</v>
      </c>
      <c r="H5" s="19" t="s">
        <v>2</v>
      </c>
      <c r="I5" s="19" t="s">
        <v>89</v>
      </c>
      <c r="J5" s="24">
        <v>4</v>
      </c>
      <c r="K5" s="24">
        <v>2000</v>
      </c>
      <c r="L5" s="4">
        <f t="shared" ref="L5:L35" si="1">F5*10.764</f>
        <v>3229.2</v>
      </c>
      <c r="M5">
        <v>1800</v>
      </c>
      <c r="N5" s="2">
        <v>70</v>
      </c>
      <c r="O5" s="8">
        <v>0.9</v>
      </c>
      <c r="P5" s="4">
        <f t="shared" ref="P5:P35" si="2">M5*L5</f>
        <v>5812560</v>
      </c>
      <c r="Q5" s="4">
        <f t="shared" ref="Q5:Q35" si="3">P5*(O5/N5)*($Q$2-K5)</f>
        <v>1718857.0285714285</v>
      </c>
      <c r="R5" s="4">
        <f t="shared" ref="R5:R35" si="4">P5-Q5</f>
        <v>4093702.9714285713</v>
      </c>
    </row>
    <row r="6" spans="1:18" x14ac:dyDescent="0.25">
      <c r="A6" s="16">
        <v>3</v>
      </c>
      <c r="B6" s="17" t="s">
        <v>62</v>
      </c>
      <c r="C6" s="16">
        <v>20</v>
      </c>
      <c r="D6" s="16">
        <v>15</v>
      </c>
      <c r="E6" s="16">
        <v>1</v>
      </c>
      <c r="F6" s="18">
        <f t="shared" si="0"/>
        <v>300</v>
      </c>
      <c r="G6" s="16" t="s">
        <v>60</v>
      </c>
      <c r="H6" s="19" t="s">
        <v>2</v>
      </c>
      <c r="I6" s="19" t="s">
        <v>90</v>
      </c>
      <c r="J6" s="24">
        <v>4</v>
      </c>
      <c r="K6" s="24">
        <v>2000</v>
      </c>
      <c r="L6" s="4">
        <f t="shared" si="1"/>
        <v>3229.2</v>
      </c>
      <c r="M6" s="2">
        <v>1400</v>
      </c>
      <c r="N6" s="2">
        <v>70</v>
      </c>
      <c r="O6" s="8">
        <v>0.9</v>
      </c>
      <c r="P6" s="4">
        <f t="shared" si="2"/>
        <v>4520880</v>
      </c>
      <c r="Q6" s="4">
        <f t="shared" si="3"/>
        <v>1336888.8</v>
      </c>
      <c r="R6" s="4">
        <f t="shared" si="4"/>
        <v>3183991.2</v>
      </c>
    </row>
    <row r="7" spans="1:18" x14ac:dyDescent="0.25">
      <c r="A7" s="16">
        <v>4</v>
      </c>
      <c r="B7" s="17" t="s">
        <v>63</v>
      </c>
      <c r="C7" s="16">
        <v>8</v>
      </c>
      <c r="D7" s="16">
        <v>16</v>
      </c>
      <c r="E7" s="16">
        <v>1</v>
      </c>
      <c r="F7" s="18">
        <f t="shared" si="0"/>
        <v>128</v>
      </c>
      <c r="G7" s="16" t="s">
        <v>60</v>
      </c>
      <c r="H7" s="19" t="s">
        <v>2</v>
      </c>
      <c r="I7" s="19" t="s">
        <v>89</v>
      </c>
      <c r="J7" s="24">
        <v>4</v>
      </c>
      <c r="K7" s="24">
        <v>2000</v>
      </c>
      <c r="L7" s="4">
        <f t="shared" si="1"/>
        <v>1377.7919999999999</v>
      </c>
      <c r="M7">
        <v>1400</v>
      </c>
      <c r="N7" s="2">
        <v>70</v>
      </c>
      <c r="O7" s="8">
        <v>0.9</v>
      </c>
      <c r="P7" s="4">
        <f t="shared" si="2"/>
        <v>1928908.7999999998</v>
      </c>
      <c r="Q7" s="4">
        <f t="shared" si="3"/>
        <v>570405.88799999992</v>
      </c>
      <c r="R7" s="4">
        <f t="shared" si="4"/>
        <v>1358502.912</v>
      </c>
    </row>
    <row r="8" spans="1:18" x14ac:dyDescent="0.25">
      <c r="A8" s="16">
        <v>5</v>
      </c>
      <c r="B8" s="17" t="s">
        <v>64</v>
      </c>
      <c r="C8" s="16">
        <v>6.5</v>
      </c>
      <c r="D8" s="16">
        <v>7.5</v>
      </c>
      <c r="E8" s="16">
        <v>1</v>
      </c>
      <c r="F8" s="18">
        <f t="shared" si="0"/>
        <v>48.75</v>
      </c>
      <c r="G8" s="16" t="s">
        <v>60</v>
      </c>
      <c r="H8" s="19" t="s">
        <v>2</v>
      </c>
      <c r="I8" s="19" t="s">
        <v>89</v>
      </c>
      <c r="J8" s="24">
        <v>3</v>
      </c>
      <c r="K8" s="24">
        <v>1997</v>
      </c>
      <c r="L8" s="4">
        <f t="shared" si="1"/>
        <v>524.745</v>
      </c>
      <c r="M8" s="2">
        <v>1400</v>
      </c>
      <c r="N8" s="2">
        <v>70</v>
      </c>
      <c r="O8" s="8">
        <v>0.9</v>
      </c>
      <c r="P8" s="4">
        <f t="shared" si="2"/>
        <v>734643</v>
      </c>
      <c r="Q8" s="4">
        <f t="shared" si="3"/>
        <v>245580.66</v>
      </c>
      <c r="R8" s="4">
        <f t="shared" si="4"/>
        <v>489062.33999999997</v>
      </c>
    </row>
    <row r="9" spans="1:18" x14ac:dyDescent="0.25">
      <c r="A9" s="31">
        <v>6</v>
      </c>
      <c r="B9" s="17" t="s">
        <v>65</v>
      </c>
      <c r="C9" s="16">
        <v>80</v>
      </c>
      <c r="D9" s="16">
        <v>20</v>
      </c>
      <c r="E9" s="16">
        <v>1</v>
      </c>
      <c r="F9" s="18">
        <f t="shared" si="0"/>
        <v>1600</v>
      </c>
      <c r="G9" s="16" t="s">
        <v>60</v>
      </c>
      <c r="H9" s="19" t="s">
        <v>66</v>
      </c>
      <c r="I9" s="19" t="s">
        <v>89</v>
      </c>
      <c r="J9" s="24">
        <v>12</v>
      </c>
      <c r="K9" s="24">
        <v>1997</v>
      </c>
      <c r="L9" s="4">
        <f t="shared" si="1"/>
        <v>17222.399999999998</v>
      </c>
      <c r="M9">
        <v>1600</v>
      </c>
      <c r="N9" s="2">
        <v>70</v>
      </c>
      <c r="O9" s="8">
        <v>0.9</v>
      </c>
      <c r="P9" s="4">
        <f t="shared" si="2"/>
        <v>27555839.999999996</v>
      </c>
      <c r="Q9" s="4">
        <f t="shared" si="3"/>
        <v>9211523.6571428552</v>
      </c>
      <c r="R9" s="4">
        <f t="shared" si="4"/>
        <v>18344316.342857141</v>
      </c>
    </row>
    <row r="10" spans="1:18" x14ac:dyDescent="0.25">
      <c r="A10" s="32"/>
      <c r="B10" s="17" t="s">
        <v>65</v>
      </c>
      <c r="C10" s="16">
        <v>72</v>
      </c>
      <c r="D10" s="16">
        <v>30</v>
      </c>
      <c r="E10" s="16">
        <v>1</v>
      </c>
      <c r="F10" s="18">
        <f t="shared" si="0"/>
        <v>2160</v>
      </c>
      <c r="G10" s="16" t="s">
        <v>60</v>
      </c>
      <c r="H10" s="19" t="s">
        <v>66</v>
      </c>
      <c r="I10" s="19" t="s">
        <v>89</v>
      </c>
      <c r="J10" s="24">
        <v>12</v>
      </c>
      <c r="K10" s="24">
        <v>1997</v>
      </c>
      <c r="L10" s="4">
        <f t="shared" si="1"/>
        <v>23250.239999999998</v>
      </c>
      <c r="M10">
        <v>1600</v>
      </c>
      <c r="N10" s="2">
        <v>70</v>
      </c>
      <c r="O10" s="8">
        <v>0.9</v>
      </c>
      <c r="P10" s="4">
        <f t="shared" si="2"/>
        <v>37200384</v>
      </c>
      <c r="Q10" s="4">
        <f t="shared" si="3"/>
        <v>12435556.937142856</v>
      </c>
      <c r="R10" s="4">
        <f t="shared" si="4"/>
        <v>24764827.062857144</v>
      </c>
    </row>
    <row r="11" spans="1:18" x14ac:dyDescent="0.25">
      <c r="A11" s="31">
        <v>7</v>
      </c>
      <c r="B11" s="17" t="s">
        <v>67</v>
      </c>
      <c r="C11" s="16">
        <v>20</v>
      </c>
      <c r="D11" s="16">
        <v>8</v>
      </c>
      <c r="E11" s="16">
        <v>1</v>
      </c>
      <c r="F11" s="18">
        <f t="shared" si="0"/>
        <v>160</v>
      </c>
      <c r="G11" s="16" t="s">
        <v>60</v>
      </c>
      <c r="H11" s="19" t="s">
        <v>2</v>
      </c>
      <c r="I11" s="19" t="s">
        <v>89</v>
      </c>
      <c r="J11" s="24">
        <v>5</v>
      </c>
      <c r="K11" s="24">
        <v>1997</v>
      </c>
      <c r="L11" s="4">
        <f t="shared" si="1"/>
        <v>1722.2399999999998</v>
      </c>
      <c r="M11">
        <v>1400</v>
      </c>
      <c r="N11" s="2">
        <v>70</v>
      </c>
      <c r="O11" s="8">
        <v>0.9</v>
      </c>
      <c r="P11" s="4">
        <f t="shared" si="2"/>
        <v>2411135.9999999995</v>
      </c>
      <c r="Q11" s="4">
        <f t="shared" si="3"/>
        <v>806008.31999999983</v>
      </c>
      <c r="R11" s="4">
        <f t="shared" si="4"/>
        <v>1605127.6799999997</v>
      </c>
    </row>
    <row r="12" spans="1:18" x14ac:dyDescent="0.25">
      <c r="A12" s="33"/>
      <c r="B12" s="17" t="s">
        <v>67</v>
      </c>
      <c r="C12" s="16">
        <v>46</v>
      </c>
      <c r="D12" s="16">
        <v>17</v>
      </c>
      <c r="E12" s="16">
        <v>1</v>
      </c>
      <c r="F12" s="18">
        <f t="shared" si="0"/>
        <v>782</v>
      </c>
      <c r="G12" s="16" t="s">
        <v>60</v>
      </c>
      <c r="H12" s="19" t="s">
        <v>2</v>
      </c>
      <c r="I12" s="19" t="s">
        <v>89</v>
      </c>
      <c r="J12" s="24">
        <v>5</v>
      </c>
      <c r="K12" s="24">
        <v>1997</v>
      </c>
      <c r="L12" s="4">
        <f t="shared" si="1"/>
        <v>8417.4480000000003</v>
      </c>
      <c r="M12">
        <v>1400</v>
      </c>
      <c r="N12" s="2">
        <v>70</v>
      </c>
      <c r="O12" s="8">
        <v>0.9</v>
      </c>
      <c r="P12" s="4">
        <f t="shared" si="2"/>
        <v>11784427.200000001</v>
      </c>
      <c r="Q12" s="4">
        <f t="shared" si="3"/>
        <v>3939365.6640000003</v>
      </c>
      <c r="R12" s="4">
        <f t="shared" si="4"/>
        <v>7845061.5360000003</v>
      </c>
    </row>
    <row r="13" spans="1:18" x14ac:dyDescent="0.25">
      <c r="A13" s="33"/>
      <c r="B13" s="17" t="s">
        <v>67</v>
      </c>
      <c r="C13" s="16">
        <v>25</v>
      </c>
      <c r="D13" s="16">
        <v>37</v>
      </c>
      <c r="E13" s="16">
        <v>1</v>
      </c>
      <c r="F13" s="18">
        <f t="shared" si="0"/>
        <v>925</v>
      </c>
      <c r="G13" s="16" t="s">
        <v>60</v>
      </c>
      <c r="H13" s="19" t="s">
        <v>2</v>
      </c>
      <c r="I13" s="19" t="s">
        <v>89</v>
      </c>
      <c r="J13" s="24">
        <v>5</v>
      </c>
      <c r="K13" s="24">
        <v>1997</v>
      </c>
      <c r="L13" s="4">
        <f t="shared" si="1"/>
        <v>9956.6999999999989</v>
      </c>
      <c r="M13">
        <v>1400</v>
      </c>
      <c r="N13" s="2">
        <v>70</v>
      </c>
      <c r="O13" s="8">
        <v>0.9</v>
      </c>
      <c r="P13" s="4">
        <f t="shared" si="2"/>
        <v>13939379.999999998</v>
      </c>
      <c r="Q13" s="4">
        <f t="shared" si="3"/>
        <v>4659735.5999999996</v>
      </c>
      <c r="R13" s="4">
        <f t="shared" si="4"/>
        <v>9279644.3999999985</v>
      </c>
    </row>
    <row r="14" spans="1:18" x14ac:dyDescent="0.25">
      <c r="A14" s="32"/>
      <c r="B14" s="17" t="s">
        <v>67</v>
      </c>
      <c r="C14" s="16">
        <v>28</v>
      </c>
      <c r="D14" s="16">
        <v>15</v>
      </c>
      <c r="E14" s="16">
        <v>1</v>
      </c>
      <c r="F14" s="18">
        <f t="shared" si="0"/>
        <v>420</v>
      </c>
      <c r="G14" s="16" t="s">
        <v>60</v>
      </c>
      <c r="H14" s="19" t="s">
        <v>2</v>
      </c>
      <c r="I14" s="19" t="s">
        <v>89</v>
      </c>
      <c r="J14" s="24">
        <v>5</v>
      </c>
      <c r="K14" s="24">
        <v>1997</v>
      </c>
      <c r="L14" s="4">
        <f t="shared" si="1"/>
        <v>4520.88</v>
      </c>
      <c r="M14">
        <v>1400</v>
      </c>
      <c r="N14" s="2">
        <v>70</v>
      </c>
      <c r="O14" s="8">
        <v>0.9</v>
      </c>
      <c r="P14" s="4">
        <f t="shared" si="2"/>
        <v>6329232</v>
      </c>
      <c r="Q14" s="4">
        <f t="shared" si="3"/>
        <v>2115771.84</v>
      </c>
      <c r="R14" s="4">
        <f t="shared" si="4"/>
        <v>4213460.16</v>
      </c>
    </row>
    <row r="15" spans="1:18" x14ac:dyDescent="0.25">
      <c r="A15" s="16">
        <v>8</v>
      </c>
      <c r="B15" s="17" t="s">
        <v>68</v>
      </c>
      <c r="C15" s="16">
        <v>30</v>
      </c>
      <c r="D15" s="16">
        <v>25</v>
      </c>
      <c r="E15" s="16">
        <v>1</v>
      </c>
      <c r="F15" s="18">
        <f t="shared" si="0"/>
        <v>750</v>
      </c>
      <c r="G15" s="16" t="s">
        <v>60</v>
      </c>
      <c r="H15" s="19" t="s">
        <v>66</v>
      </c>
      <c r="I15" s="19" t="s">
        <v>89</v>
      </c>
      <c r="J15" s="24">
        <v>10</v>
      </c>
      <c r="K15" s="24">
        <v>2005</v>
      </c>
      <c r="L15" s="4">
        <f t="shared" si="1"/>
        <v>8072.9999999999991</v>
      </c>
      <c r="M15">
        <v>1400</v>
      </c>
      <c r="N15" s="2">
        <v>70</v>
      </c>
      <c r="O15" s="8">
        <v>0.9</v>
      </c>
      <c r="P15" s="4">
        <f t="shared" si="2"/>
        <v>11302199.999999998</v>
      </c>
      <c r="Q15" s="4">
        <f t="shared" si="3"/>
        <v>2615651.9999999995</v>
      </c>
      <c r="R15" s="4">
        <f t="shared" si="4"/>
        <v>8686547.9999999981</v>
      </c>
    </row>
    <row r="16" spans="1:18" x14ac:dyDescent="0.25">
      <c r="A16" s="16">
        <v>9</v>
      </c>
      <c r="B16" s="17" t="s">
        <v>69</v>
      </c>
      <c r="C16" s="16">
        <v>30</v>
      </c>
      <c r="D16" s="16">
        <v>18</v>
      </c>
      <c r="E16" s="16">
        <v>1</v>
      </c>
      <c r="F16" s="18">
        <f t="shared" si="0"/>
        <v>540</v>
      </c>
      <c r="G16" s="16" t="s">
        <v>60</v>
      </c>
      <c r="H16" s="19" t="s">
        <v>66</v>
      </c>
      <c r="I16" s="19" t="s">
        <v>89</v>
      </c>
      <c r="J16" s="24">
        <v>10</v>
      </c>
      <c r="K16" s="24">
        <v>1997</v>
      </c>
      <c r="L16" s="4">
        <f t="shared" si="1"/>
        <v>5812.5599999999995</v>
      </c>
      <c r="M16">
        <v>1400</v>
      </c>
      <c r="N16" s="2">
        <v>70</v>
      </c>
      <c r="O16" s="8">
        <v>0.9</v>
      </c>
      <c r="P16" s="4">
        <f t="shared" si="2"/>
        <v>8137583.9999999991</v>
      </c>
      <c r="Q16" s="4">
        <f t="shared" si="3"/>
        <v>2720278.0799999996</v>
      </c>
      <c r="R16" s="4">
        <f t="shared" si="4"/>
        <v>5417305.9199999999</v>
      </c>
    </row>
    <row r="17" spans="1:18" x14ac:dyDescent="0.25">
      <c r="A17" s="16">
        <v>10</v>
      </c>
      <c r="B17" s="17" t="s">
        <v>70</v>
      </c>
      <c r="C17" s="16">
        <v>33</v>
      </c>
      <c r="D17" s="16">
        <v>13</v>
      </c>
      <c r="E17" s="16">
        <v>1</v>
      </c>
      <c r="F17" s="18">
        <f t="shared" si="0"/>
        <v>429</v>
      </c>
      <c r="G17" s="16" t="s">
        <v>60</v>
      </c>
      <c r="H17" s="19" t="s">
        <v>2</v>
      </c>
      <c r="I17" s="19" t="s">
        <v>89</v>
      </c>
      <c r="J17" s="24">
        <v>5</v>
      </c>
      <c r="K17" s="24">
        <v>2000</v>
      </c>
      <c r="L17" s="4">
        <f t="shared" si="1"/>
        <v>4617.7559999999994</v>
      </c>
      <c r="M17">
        <v>1400</v>
      </c>
      <c r="N17" s="2">
        <v>70</v>
      </c>
      <c r="O17" s="8">
        <v>0.9</v>
      </c>
      <c r="P17" s="4">
        <f t="shared" si="2"/>
        <v>6464858.3999999994</v>
      </c>
      <c r="Q17" s="4">
        <f t="shared" si="3"/>
        <v>1911750.9839999999</v>
      </c>
      <c r="R17" s="4">
        <f t="shared" si="4"/>
        <v>4553107.4159999993</v>
      </c>
    </row>
    <row r="18" spans="1:18" x14ac:dyDescent="0.25">
      <c r="A18" s="16">
        <v>11</v>
      </c>
      <c r="B18" s="17" t="s">
        <v>71</v>
      </c>
      <c r="C18" s="16">
        <v>20</v>
      </c>
      <c r="D18" s="16">
        <v>8</v>
      </c>
      <c r="E18" s="16">
        <v>1</v>
      </c>
      <c r="F18" s="18">
        <f t="shared" si="0"/>
        <v>160</v>
      </c>
      <c r="G18" s="16" t="s">
        <v>60</v>
      </c>
      <c r="H18" s="19" t="s">
        <v>2</v>
      </c>
      <c r="I18" s="19" t="s">
        <v>89</v>
      </c>
      <c r="J18" s="24">
        <v>5</v>
      </c>
      <c r="K18" s="24">
        <v>2000</v>
      </c>
      <c r="L18" s="4">
        <f t="shared" si="1"/>
        <v>1722.2399999999998</v>
      </c>
      <c r="M18">
        <v>1600</v>
      </c>
      <c r="N18" s="2">
        <v>70</v>
      </c>
      <c r="O18" s="8">
        <v>0.9</v>
      </c>
      <c r="P18" s="4">
        <f t="shared" si="2"/>
        <v>2755583.9999999995</v>
      </c>
      <c r="Q18" s="4">
        <f t="shared" si="3"/>
        <v>814865.55428571417</v>
      </c>
      <c r="R18" s="4">
        <f t="shared" si="4"/>
        <v>1940718.4457142854</v>
      </c>
    </row>
    <row r="19" spans="1:18" x14ac:dyDescent="0.25">
      <c r="A19" s="16">
        <v>12</v>
      </c>
      <c r="B19" s="17" t="s">
        <v>71</v>
      </c>
      <c r="C19" s="16">
        <v>8</v>
      </c>
      <c r="D19" s="16">
        <v>4</v>
      </c>
      <c r="E19" s="16">
        <v>1</v>
      </c>
      <c r="F19" s="18">
        <f t="shared" si="0"/>
        <v>32</v>
      </c>
      <c r="G19" s="16" t="s">
        <v>60</v>
      </c>
      <c r="H19" s="19" t="s">
        <v>2</v>
      </c>
      <c r="I19" s="19" t="s">
        <v>89</v>
      </c>
      <c r="J19" s="24">
        <v>5</v>
      </c>
      <c r="K19" s="24">
        <v>2000</v>
      </c>
      <c r="L19" s="4">
        <f t="shared" si="1"/>
        <v>344.44799999999998</v>
      </c>
      <c r="M19">
        <v>1600</v>
      </c>
      <c r="N19" s="2">
        <v>70</v>
      </c>
      <c r="O19" s="8">
        <v>0.9</v>
      </c>
      <c r="P19" s="4">
        <f t="shared" si="2"/>
        <v>551116.79999999993</v>
      </c>
      <c r="Q19" s="4">
        <f t="shared" si="3"/>
        <v>162973.11085714283</v>
      </c>
      <c r="R19" s="4">
        <f t="shared" si="4"/>
        <v>388143.6891428571</v>
      </c>
    </row>
    <row r="20" spans="1:18" x14ac:dyDescent="0.25">
      <c r="A20" s="16">
        <v>13</v>
      </c>
      <c r="B20" s="17" t="s">
        <v>72</v>
      </c>
      <c r="C20" s="16">
        <v>25</v>
      </c>
      <c r="D20" s="16">
        <v>8</v>
      </c>
      <c r="E20" s="16">
        <v>1</v>
      </c>
      <c r="F20" s="18">
        <f t="shared" si="0"/>
        <v>200</v>
      </c>
      <c r="G20" s="16" t="s">
        <v>60</v>
      </c>
      <c r="H20" s="19" t="s">
        <v>2</v>
      </c>
      <c r="I20" s="19" t="s">
        <v>89</v>
      </c>
      <c r="J20" s="24">
        <v>5</v>
      </c>
      <c r="K20" s="24">
        <v>2000</v>
      </c>
      <c r="L20" s="4">
        <f t="shared" si="1"/>
        <v>2152.7999999999997</v>
      </c>
      <c r="M20">
        <v>1400</v>
      </c>
      <c r="N20" s="2">
        <v>70</v>
      </c>
      <c r="O20" s="8">
        <v>0.9</v>
      </c>
      <c r="P20" s="4">
        <f t="shared" si="2"/>
        <v>3013919.9999999995</v>
      </c>
      <c r="Q20" s="4">
        <f t="shared" si="3"/>
        <v>891259.19999999984</v>
      </c>
      <c r="R20" s="4">
        <f t="shared" si="4"/>
        <v>2122660.7999999998</v>
      </c>
    </row>
    <row r="21" spans="1:18" x14ac:dyDescent="0.25">
      <c r="A21" s="16">
        <v>14</v>
      </c>
      <c r="B21" s="17" t="s">
        <v>73</v>
      </c>
      <c r="C21" s="16">
        <v>17</v>
      </c>
      <c r="D21" s="16">
        <v>7</v>
      </c>
      <c r="E21" s="16">
        <v>1</v>
      </c>
      <c r="F21" s="18">
        <f t="shared" si="0"/>
        <v>119</v>
      </c>
      <c r="G21" s="16" t="s">
        <v>60</v>
      </c>
      <c r="H21" s="19" t="s">
        <v>2</v>
      </c>
      <c r="I21" s="19" t="s">
        <v>89</v>
      </c>
      <c r="J21" s="24">
        <v>5</v>
      </c>
      <c r="K21" s="24">
        <v>2000</v>
      </c>
      <c r="L21" s="4">
        <f t="shared" si="1"/>
        <v>1280.9159999999999</v>
      </c>
      <c r="M21">
        <v>1400</v>
      </c>
      <c r="N21" s="2">
        <v>70</v>
      </c>
      <c r="O21" s="8">
        <v>0.9</v>
      </c>
      <c r="P21" s="4">
        <f t="shared" si="2"/>
        <v>1793282.4</v>
      </c>
      <c r="Q21" s="4">
        <f t="shared" si="3"/>
        <v>530299.22399999993</v>
      </c>
      <c r="R21" s="4">
        <f t="shared" si="4"/>
        <v>1262983.176</v>
      </c>
    </row>
    <row r="22" spans="1:18" x14ac:dyDescent="0.25">
      <c r="A22" s="16">
        <v>15</v>
      </c>
      <c r="B22" s="17" t="s">
        <v>74</v>
      </c>
      <c r="C22" s="16">
        <v>30</v>
      </c>
      <c r="D22" s="16">
        <v>25</v>
      </c>
      <c r="E22" s="16">
        <v>1</v>
      </c>
      <c r="F22" s="18">
        <f t="shared" si="0"/>
        <v>750</v>
      </c>
      <c r="G22" s="16" t="s">
        <v>60</v>
      </c>
      <c r="H22" s="19" t="s">
        <v>2</v>
      </c>
      <c r="I22" s="19" t="s">
        <v>89</v>
      </c>
      <c r="J22" s="24">
        <v>5</v>
      </c>
      <c r="K22" s="24">
        <v>2000</v>
      </c>
      <c r="L22" s="4">
        <f t="shared" si="1"/>
        <v>8072.9999999999991</v>
      </c>
      <c r="M22">
        <v>1400</v>
      </c>
      <c r="N22" s="2">
        <v>70</v>
      </c>
      <c r="O22" s="8">
        <v>0.9</v>
      </c>
      <c r="P22" s="4">
        <f t="shared" si="2"/>
        <v>11302199.999999998</v>
      </c>
      <c r="Q22" s="4">
        <f t="shared" si="3"/>
        <v>3342221.9999999995</v>
      </c>
      <c r="R22" s="4">
        <f t="shared" si="4"/>
        <v>7959977.9999999981</v>
      </c>
    </row>
    <row r="23" spans="1:18" x14ac:dyDescent="0.25">
      <c r="A23" s="16">
        <v>16</v>
      </c>
      <c r="B23" s="17" t="s">
        <v>75</v>
      </c>
      <c r="C23" s="16">
        <v>18</v>
      </c>
      <c r="D23" s="16">
        <v>12</v>
      </c>
      <c r="E23" s="16">
        <v>1</v>
      </c>
      <c r="F23" s="18">
        <f t="shared" si="0"/>
        <v>216</v>
      </c>
      <c r="G23" s="16" t="s">
        <v>60</v>
      </c>
      <c r="H23" s="19" t="s">
        <v>76</v>
      </c>
      <c r="I23" s="19" t="s">
        <v>89</v>
      </c>
      <c r="J23" s="24">
        <v>8</v>
      </c>
      <c r="K23" s="24">
        <v>2020</v>
      </c>
      <c r="L23" s="4">
        <f t="shared" si="1"/>
        <v>2325.0239999999999</v>
      </c>
      <c r="M23">
        <v>1400</v>
      </c>
      <c r="N23" s="2">
        <v>45</v>
      </c>
      <c r="O23" s="8">
        <v>0.9</v>
      </c>
      <c r="P23" s="4">
        <f t="shared" si="2"/>
        <v>3255033.5999999996</v>
      </c>
      <c r="Q23" s="4">
        <f t="shared" si="3"/>
        <v>195302.01599999997</v>
      </c>
      <c r="R23" s="4">
        <f t="shared" si="4"/>
        <v>3059731.5839999998</v>
      </c>
    </row>
    <row r="24" spans="1:18" x14ac:dyDescent="0.25">
      <c r="A24" s="31">
        <v>17</v>
      </c>
      <c r="B24" s="17" t="s">
        <v>77</v>
      </c>
      <c r="C24" s="16">
        <v>21</v>
      </c>
      <c r="D24" s="16">
        <v>11</v>
      </c>
      <c r="E24" s="16">
        <v>1</v>
      </c>
      <c r="F24" s="18">
        <f t="shared" si="0"/>
        <v>231</v>
      </c>
      <c r="G24" s="16" t="s">
        <v>60</v>
      </c>
      <c r="H24" s="19" t="s">
        <v>78</v>
      </c>
      <c r="I24" s="19" t="s">
        <v>89</v>
      </c>
      <c r="J24" s="24">
        <v>5</v>
      </c>
      <c r="K24" s="24">
        <v>1997</v>
      </c>
      <c r="L24" s="4">
        <f t="shared" si="1"/>
        <v>2486.4839999999999</v>
      </c>
      <c r="M24" s="2">
        <v>1000</v>
      </c>
      <c r="N24" s="2">
        <v>30</v>
      </c>
      <c r="O24" s="8">
        <v>0.9</v>
      </c>
      <c r="P24" s="4">
        <f t="shared" si="2"/>
        <v>2486484</v>
      </c>
      <c r="Q24" s="4">
        <f t="shared" si="3"/>
        <v>1939457.52</v>
      </c>
      <c r="R24" s="4">
        <f t="shared" si="4"/>
        <v>547026.48</v>
      </c>
    </row>
    <row r="25" spans="1:18" x14ac:dyDescent="0.25">
      <c r="A25" s="32"/>
      <c r="B25" s="17" t="s">
        <v>77</v>
      </c>
      <c r="C25" s="16">
        <v>15</v>
      </c>
      <c r="D25" s="16">
        <v>3</v>
      </c>
      <c r="E25" s="16">
        <v>1</v>
      </c>
      <c r="F25" s="18">
        <f t="shared" si="0"/>
        <v>45</v>
      </c>
      <c r="G25" s="16" t="s">
        <v>60</v>
      </c>
      <c r="H25" s="19" t="s">
        <v>78</v>
      </c>
      <c r="I25" s="19" t="s">
        <v>89</v>
      </c>
      <c r="J25" s="24">
        <v>5</v>
      </c>
      <c r="K25" s="24">
        <v>1997</v>
      </c>
      <c r="L25" s="4">
        <f t="shared" si="1"/>
        <v>484.38</v>
      </c>
      <c r="M25" s="2">
        <v>1000</v>
      </c>
      <c r="N25" s="2">
        <v>30</v>
      </c>
      <c r="O25" s="8">
        <v>0.9</v>
      </c>
      <c r="P25" s="4">
        <f t="shared" si="2"/>
        <v>484380</v>
      </c>
      <c r="Q25" s="4">
        <f t="shared" si="3"/>
        <v>377816.4</v>
      </c>
      <c r="R25" s="4">
        <f t="shared" si="4"/>
        <v>106563.59999999998</v>
      </c>
    </row>
    <row r="26" spans="1:18" x14ac:dyDescent="0.25">
      <c r="A26" s="16">
        <v>18</v>
      </c>
      <c r="B26" s="17" t="s">
        <v>79</v>
      </c>
      <c r="C26" s="16">
        <v>6</v>
      </c>
      <c r="D26" s="16">
        <v>5</v>
      </c>
      <c r="E26" s="16">
        <v>1</v>
      </c>
      <c r="F26" s="18">
        <f t="shared" si="0"/>
        <v>30</v>
      </c>
      <c r="G26" s="16" t="s">
        <v>60</v>
      </c>
      <c r="H26" s="19" t="s">
        <v>2</v>
      </c>
      <c r="I26" s="19" t="s">
        <v>89</v>
      </c>
      <c r="J26" s="24">
        <v>5</v>
      </c>
      <c r="K26" s="24">
        <v>1997</v>
      </c>
      <c r="L26" s="4">
        <f t="shared" si="1"/>
        <v>322.91999999999996</v>
      </c>
      <c r="M26">
        <v>1400</v>
      </c>
      <c r="N26" s="2">
        <v>70</v>
      </c>
      <c r="O26" s="8">
        <v>0.9</v>
      </c>
      <c r="P26" s="4">
        <f t="shared" si="2"/>
        <v>452087.99999999994</v>
      </c>
      <c r="Q26" s="4">
        <f t="shared" si="3"/>
        <v>151126.56</v>
      </c>
      <c r="R26" s="4">
        <f t="shared" si="4"/>
        <v>300961.43999999994</v>
      </c>
    </row>
    <row r="27" spans="1:18" x14ac:dyDescent="0.25">
      <c r="A27" s="16">
        <v>19</v>
      </c>
      <c r="B27" s="17" t="s">
        <v>80</v>
      </c>
      <c r="C27" s="16">
        <v>10</v>
      </c>
      <c r="D27" s="16">
        <v>7</v>
      </c>
      <c r="E27" s="16">
        <v>1</v>
      </c>
      <c r="F27" s="18">
        <f t="shared" si="0"/>
        <v>70</v>
      </c>
      <c r="G27" s="16" t="s">
        <v>60</v>
      </c>
      <c r="H27" s="19" t="s">
        <v>78</v>
      </c>
      <c r="I27" s="19" t="s">
        <v>89</v>
      </c>
      <c r="J27" s="24">
        <v>5</v>
      </c>
      <c r="K27" s="24">
        <v>1997</v>
      </c>
      <c r="L27" s="4">
        <f t="shared" si="1"/>
        <v>753.4799999999999</v>
      </c>
      <c r="M27">
        <v>1000</v>
      </c>
      <c r="N27" s="2">
        <v>30</v>
      </c>
      <c r="O27" s="8">
        <v>0.9</v>
      </c>
      <c r="P27" s="4">
        <f t="shared" si="2"/>
        <v>753479.99999999988</v>
      </c>
      <c r="Q27" s="4">
        <f t="shared" si="3"/>
        <v>587714.39999999991</v>
      </c>
      <c r="R27" s="4">
        <f t="shared" si="4"/>
        <v>165765.59999999998</v>
      </c>
    </row>
    <row r="28" spans="1:18" x14ac:dyDescent="0.25">
      <c r="A28" s="16">
        <v>20</v>
      </c>
      <c r="B28" s="17" t="s">
        <v>81</v>
      </c>
      <c r="C28" s="16">
        <v>11.6</v>
      </c>
      <c r="D28" s="16">
        <v>6</v>
      </c>
      <c r="E28" s="16">
        <v>1</v>
      </c>
      <c r="F28" s="18">
        <f t="shared" si="0"/>
        <v>69.599999999999994</v>
      </c>
      <c r="G28" s="16" t="s">
        <v>60</v>
      </c>
      <c r="H28" s="19" t="s">
        <v>2</v>
      </c>
      <c r="I28" s="19" t="s">
        <v>89</v>
      </c>
      <c r="J28" s="24">
        <v>5</v>
      </c>
      <c r="K28" s="24">
        <v>1997</v>
      </c>
      <c r="L28" s="4">
        <f t="shared" si="1"/>
        <v>749.17439999999988</v>
      </c>
      <c r="M28">
        <v>1400</v>
      </c>
      <c r="N28" s="2">
        <v>70</v>
      </c>
      <c r="O28" s="8">
        <v>0.9</v>
      </c>
      <c r="P28" s="4">
        <f t="shared" si="2"/>
        <v>1048844.1599999999</v>
      </c>
      <c r="Q28" s="4">
        <f t="shared" si="3"/>
        <v>350613.61919999996</v>
      </c>
      <c r="R28" s="4">
        <f t="shared" si="4"/>
        <v>698230.54079999996</v>
      </c>
    </row>
    <row r="29" spans="1:18" x14ac:dyDescent="0.25">
      <c r="A29" s="16">
        <v>21</v>
      </c>
      <c r="B29" s="17" t="s">
        <v>81</v>
      </c>
      <c r="C29" s="16">
        <v>12</v>
      </c>
      <c r="D29" s="16">
        <v>4</v>
      </c>
      <c r="E29" s="16">
        <v>1</v>
      </c>
      <c r="F29" s="18">
        <f t="shared" si="0"/>
        <v>48</v>
      </c>
      <c r="G29" s="16" t="s">
        <v>60</v>
      </c>
      <c r="H29" s="19" t="s">
        <v>2</v>
      </c>
      <c r="I29" s="19" t="s">
        <v>89</v>
      </c>
      <c r="J29" s="24">
        <v>5</v>
      </c>
      <c r="K29" s="24">
        <v>1997</v>
      </c>
      <c r="L29" s="4">
        <f t="shared" si="1"/>
        <v>516.67200000000003</v>
      </c>
      <c r="M29">
        <v>1400</v>
      </c>
      <c r="N29" s="2">
        <v>70</v>
      </c>
      <c r="O29" s="8">
        <v>0.9</v>
      </c>
      <c r="P29" s="4">
        <f t="shared" si="2"/>
        <v>723340.80000000005</v>
      </c>
      <c r="Q29" s="4">
        <f t="shared" si="3"/>
        <v>241802.49599999998</v>
      </c>
      <c r="R29" s="4">
        <f t="shared" si="4"/>
        <v>481538.30400000006</v>
      </c>
    </row>
    <row r="30" spans="1:18" x14ac:dyDescent="0.25">
      <c r="A30" s="16">
        <v>22</v>
      </c>
      <c r="B30" s="17" t="s">
        <v>82</v>
      </c>
      <c r="C30" s="16">
        <v>10</v>
      </c>
      <c r="D30" s="16">
        <v>6</v>
      </c>
      <c r="E30" s="16">
        <v>1</v>
      </c>
      <c r="F30" s="18">
        <f t="shared" si="0"/>
        <v>60</v>
      </c>
      <c r="G30" s="16" t="s">
        <v>60</v>
      </c>
      <c r="H30" s="19" t="s">
        <v>2</v>
      </c>
      <c r="I30" s="19" t="s">
        <v>89</v>
      </c>
      <c r="J30" s="24">
        <v>5</v>
      </c>
      <c r="K30" s="24">
        <v>1997</v>
      </c>
      <c r="L30" s="4">
        <f t="shared" si="1"/>
        <v>645.83999999999992</v>
      </c>
      <c r="M30">
        <v>1400</v>
      </c>
      <c r="N30" s="2">
        <v>70</v>
      </c>
      <c r="O30" s="8">
        <v>0.9</v>
      </c>
      <c r="P30" s="4">
        <f t="shared" si="2"/>
        <v>904175.99999999988</v>
      </c>
      <c r="Q30" s="4">
        <f t="shared" si="3"/>
        <v>302253.12</v>
      </c>
      <c r="R30" s="4">
        <f t="shared" si="4"/>
        <v>601922.87999999989</v>
      </c>
    </row>
    <row r="31" spans="1:18" x14ac:dyDescent="0.25">
      <c r="A31" s="16">
        <v>23</v>
      </c>
      <c r="B31" s="17" t="s">
        <v>83</v>
      </c>
      <c r="C31" s="16">
        <v>3</v>
      </c>
      <c r="D31" s="16">
        <v>6</v>
      </c>
      <c r="E31" s="16">
        <v>1</v>
      </c>
      <c r="F31" s="18">
        <f t="shared" si="0"/>
        <v>18</v>
      </c>
      <c r="G31" s="16" t="s">
        <v>60</v>
      </c>
      <c r="H31" s="19" t="s">
        <v>2</v>
      </c>
      <c r="I31" s="19" t="s">
        <v>89</v>
      </c>
      <c r="J31" s="24">
        <v>5</v>
      </c>
      <c r="K31" s="24">
        <v>1997</v>
      </c>
      <c r="L31" s="4">
        <f t="shared" si="1"/>
        <v>193.75199999999998</v>
      </c>
      <c r="M31">
        <v>1400</v>
      </c>
      <c r="N31" s="2">
        <v>70</v>
      </c>
      <c r="O31" s="8">
        <v>0.9</v>
      </c>
      <c r="P31" s="4">
        <f t="shared" si="2"/>
        <v>271252.8</v>
      </c>
      <c r="Q31" s="4">
        <f t="shared" si="3"/>
        <v>90675.935999999987</v>
      </c>
      <c r="R31" s="4">
        <f t="shared" si="4"/>
        <v>180576.864</v>
      </c>
    </row>
    <row r="32" spans="1:18" x14ac:dyDescent="0.25">
      <c r="A32" s="16">
        <v>24</v>
      </c>
      <c r="B32" s="17" t="s">
        <v>84</v>
      </c>
      <c r="C32" s="16">
        <v>20</v>
      </c>
      <c r="D32" s="16">
        <v>38</v>
      </c>
      <c r="E32" s="16">
        <v>2</v>
      </c>
      <c r="F32" s="18">
        <f t="shared" si="0"/>
        <v>1520</v>
      </c>
      <c r="G32" s="16" t="s">
        <v>60</v>
      </c>
      <c r="H32" s="19" t="s">
        <v>76</v>
      </c>
      <c r="I32" s="19" t="s">
        <v>91</v>
      </c>
      <c r="J32" s="24">
        <v>10</v>
      </c>
      <c r="K32" s="24">
        <v>1997</v>
      </c>
      <c r="L32" s="4">
        <f>F32*10.764</f>
        <v>16361.279999999999</v>
      </c>
      <c r="M32">
        <v>1400</v>
      </c>
      <c r="N32" s="2">
        <v>45</v>
      </c>
      <c r="O32" s="8">
        <v>0.9</v>
      </c>
      <c r="P32" s="4">
        <f t="shared" si="2"/>
        <v>22905792</v>
      </c>
      <c r="Q32" s="4">
        <f t="shared" si="3"/>
        <v>11911011.84</v>
      </c>
      <c r="R32" s="4">
        <f t="shared" si="4"/>
        <v>10994780.16</v>
      </c>
    </row>
    <row r="33" spans="1:18" x14ac:dyDescent="0.25">
      <c r="A33" s="16">
        <v>25</v>
      </c>
      <c r="B33" s="17" t="s">
        <v>84</v>
      </c>
      <c r="C33" s="16">
        <v>20</v>
      </c>
      <c r="D33" s="16">
        <v>11</v>
      </c>
      <c r="E33" s="16">
        <v>2</v>
      </c>
      <c r="F33" s="18">
        <f t="shared" si="0"/>
        <v>440</v>
      </c>
      <c r="G33" s="16" t="s">
        <v>60</v>
      </c>
      <c r="H33" s="19" t="s">
        <v>76</v>
      </c>
      <c r="I33" s="19" t="s">
        <v>91</v>
      </c>
      <c r="J33" s="24">
        <v>10</v>
      </c>
      <c r="K33" s="24">
        <v>1997</v>
      </c>
      <c r="L33" s="4">
        <f t="shared" si="1"/>
        <v>4736.16</v>
      </c>
      <c r="M33">
        <v>1500</v>
      </c>
      <c r="N33" s="2">
        <v>45</v>
      </c>
      <c r="O33" s="8">
        <v>0.9</v>
      </c>
      <c r="P33" s="4">
        <f t="shared" si="2"/>
        <v>7104240</v>
      </c>
      <c r="Q33" s="4">
        <f t="shared" si="3"/>
        <v>3694204.8000000003</v>
      </c>
      <c r="R33" s="4">
        <f t="shared" si="4"/>
        <v>3410035.1999999997</v>
      </c>
    </row>
    <row r="34" spans="1:18" x14ac:dyDescent="0.25">
      <c r="A34" s="16">
        <v>26</v>
      </c>
      <c r="B34" s="17" t="s">
        <v>84</v>
      </c>
      <c r="C34" s="16">
        <v>45</v>
      </c>
      <c r="D34" s="16">
        <v>25</v>
      </c>
      <c r="E34" s="16">
        <v>3</v>
      </c>
      <c r="F34" s="18">
        <f t="shared" si="0"/>
        <v>3375</v>
      </c>
      <c r="G34" s="16" t="s">
        <v>60</v>
      </c>
      <c r="H34" s="19" t="s">
        <v>76</v>
      </c>
      <c r="I34" s="19" t="s">
        <v>92</v>
      </c>
      <c r="J34" s="26">
        <v>13</v>
      </c>
      <c r="K34" s="24">
        <v>2020</v>
      </c>
      <c r="L34" s="4">
        <f t="shared" si="1"/>
        <v>36328.5</v>
      </c>
      <c r="M34">
        <v>1500</v>
      </c>
      <c r="N34" s="2">
        <v>45</v>
      </c>
      <c r="O34" s="8">
        <v>0.9</v>
      </c>
      <c r="P34" s="4">
        <f t="shared" si="2"/>
        <v>54492750</v>
      </c>
      <c r="Q34" s="4">
        <f t="shared" si="3"/>
        <v>3269565</v>
      </c>
      <c r="R34" s="4">
        <f t="shared" si="4"/>
        <v>51223185</v>
      </c>
    </row>
    <row r="35" spans="1:18" x14ac:dyDescent="0.25">
      <c r="A35" s="16">
        <v>27</v>
      </c>
      <c r="B35" s="17" t="s">
        <v>85</v>
      </c>
      <c r="C35" s="16">
        <v>39</v>
      </c>
      <c r="D35" s="16">
        <v>9</v>
      </c>
      <c r="E35" s="16">
        <v>1</v>
      </c>
      <c r="F35" s="18">
        <f t="shared" si="0"/>
        <v>351</v>
      </c>
      <c r="G35" s="16" t="s">
        <v>60</v>
      </c>
      <c r="H35" s="19" t="s">
        <v>2</v>
      </c>
      <c r="I35" s="19" t="s">
        <v>89</v>
      </c>
      <c r="J35" s="24">
        <v>5</v>
      </c>
      <c r="K35" s="24">
        <v>1997</v>
      </c>
      <c r="L35" s="4">
        <f t="shared" si="1"/>
        <v>3778.1639999999998</v>
      </c>
      <c r="M35">
        <v>1400</v>
      </c>
      <c r="N35" s="2">
        <v>70</v>
      </c>
      <c r="O35" s="8">
        <v>0.9</v>
      </c>
      <c r="P35" s="4">
        <f t="shared" si="2"/>
        <v>5289429.5999999996</v>
      </c>
      <c r="Q35" s="4">
        <f t="shared" si="3"/>
        <v>1768180.7519999999</v>
      </c>
      <c r="R35" s="4">
        <f t="shared" si="4"/>
        <v>3521248.8479999998</v>
      </c>
    </row>
    <row r="37" spans="1:18" x14ac:dyDescent="0.25">
      <c r="P37" s="4">
        <v>26000</v>
      </c>
      <c r="Q37" s="4">
        <v>7500</v>
      </c>
      <c r="R37" s="4">
        <f>Q37*P37</f>
        <v>195000000</v>
      </c>
    </row>
    <row r="38" spans="1:18" x14ac:dyDescent="0.25">
      <c r="P38" s="4">
        <v>2420</v>
      </c>
      <c r="R38" s="4">
        <v>1033064545</v>
      </c>
    </row>
    <row r="39" spans="1:18" x14ac:dyDescent="0.25">
      <c r="P39" s="4">
        <f>P38*P37</f>
        <v>62920000</v>
      </c>
      <c r="R39" s="10">
        <f>R38+R37+R2</f>
        <v>1411361839.9287999</v>
      </c>
    </row>
    <row r="40" spans="1:18" x14ac:dyDescent="0.25">
      <c r="R40" s="4">
        <f>141*10^7</f>
        <v>1410000000</v>
      </c>
    </row>
    <row r="41" spans="1:18" x14ac:dyDescent="0.25">
      <c r="R41" s="4">
        <f>R40*0.85</f>
        <v>1198500000</v>
      </c>
    </row>
    <row r="42" spans="1:18" x14ac:dyDescent="0.25">
      <c r="R42" s="4">
        <f>R40*0.75</f>
        <v>1057500000</v>
      </c>
    </row>
    <row r="1048575" spans="13:13" x14ac:dyDescent="0.25">
      <c r="M1048575"/>
    </row>
  </sheetData>
  <autoFilter ref="A3:M35"/>
  <mergeCells count="3">
    <mergeCell ref="A9:A10"/>
    <mergeCell ref="A11:A14"/>
    <mergeCell ref="A24:A2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7:F9"/>
  <sheetViews>
    <sheetView tabSelected="1" workbookViewId="0">
      <selection activeCell="F17" sqref="F17"/>
    </sheetView>
  </sheetViews>
  <sheetFormatPr defaultRowHeight="15" x14ac:dyDescent="0.25"/>
  <cols>
    <col min="1" max="4" width="9.140625" style="4"/>
    <col min="5" max="5" width="13.42578125" style="4" customWidth="1"/>
    <col min="6" max="6" width="18" style="4" bestFit="1" customWidth="1"/>
    <col min="7" max="7" width="17.28515625" style="4" bestFit="1" customWidth="1"/>
    <col min="8" max="8" width="13.42578125" style="4" bestFit="1" customWidth="1"/>
    <col min="9" max="9" width="12" style="4" bestFit="1" customWidth="1"/>
    <col min="10" max="16" width="10.42578125" style="4" bestFit="1" customWidth="1"/>
    <col min="17" max="16384" width="9.140625" style="4"/>
  </cols>
  <sheetData>
    <row r="7" spans="6:6" x14ac:dyDescent="0.25">
      <c r="F7" s="4">
        <v>266000</v>
      </c>
    </row>
    <row r="8" spans="6:6" x14ac:dyDescent="0.25">
      <c r="F8" s="27">
        <v>1.2500000000000001E-2</v>
      </c>
    </row>
    <row r="9" spans="6:6" x14ac:dyDescent="0.25">
      <c r="F9" s="4">
        <f>F7*F8</f>
        <v>3325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Old</vt:lpstr>
      <vt:lpstr>Sheet2</vt:lpstr>
      <vt:lpstr>Sheet3</vt:lpstr>
      <vt:lpstr>B. Valuation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2024-01-19T09:45:18Z</dcterms:modified>
</cp:coreProperties>
</file>