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0408B375-5DB0-4D77-B781-950538262F0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Sheet1!$B$2:$S$36</definedName>
  </definedNames>
  <calcPr calcId="181029"/>
</workbook>
</file>

<file path=xl/calcChain.xml><?xml version="1.0" encoding="utf-8"?>
<calcChain xmlns="http://schemas.openxmlformats.org/spreadsheetml/2006/main">
  <c r="U23" i="1" l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E13" i="2"/>
  <c r="S30" i="1"/>
  <c r="S29" i="1"/>
  <c r="S25" i="1"/>
  <c r="S24" i="1"/>
  <c r="E10" i="2"/>
  <c r="E9" i="2"/>
  <c r="I5" i="2"/>
  <c r="H5" i="2"/>
  <c r="F18" i="2"/>
  <c r="E6" i="2"/>
  <c r="O17" i="1"/>
  <c r="L17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22" i="2"/>
  <c r="J16" i="2"/>
  <c r="J15" i="2"/>
  <c r="F23" i="2"/>
  <c r="F24" i="2"/>
  <c r="F25" i="2"/>
  <c r="F26" i="2"/>
  <c r="F27" i="2"/>
  <c r="F28" i="2"/>
  <c r="F29" i="2"/>
  <c r="F30" i="2"/>
  <c r="F31" i="2"/>
  <c r="F32" i="2"/>
  <c r="J21" i="2"/>
  <c r="J22" i="2" s="1"/>
  <c r="R17" i="1" l="1"/>
  <c r="S17" i="1" s="1"/>
  <c r="H18" i="1"/>
  <c r="K21" i="2"/>
  <c r="K22" i="2" s="1"/>
  <c r="I22" i="2" l="1"/>
  <c r="F21" i="2"/>
  <c r="F20" i="2"/>
  <c r="F19" i="2"/>
  <c r="O15" i="1"/>
  <c r="L15" i="1"/>
  <c r="O10" i="1"/>
  <c r="L10" i="1"/>
  <c r="O8" i="1"/>
  <c r="L8" i="1"/>
  <c r="O6" i="1"/>
  <c r="L6" i="1"/>
  <c r="G32" i="2" l="1"/>
  <c r="R15" i="1"/>
  <c r="S15" i="1" s="1"/>
  <c r="R10" i="1"/>
  <c r="S10" i="1" s="1"/>
  <c r="R8" i="1"/>
  <c r="S8" i="1" s="1"/>
  <c r="R6" i="1"/>
  <c r="S6" i="1" s="1"/>
  <c r="O16" i="1"/>
  <c r="L16" i="1"/>
  <c r="H36" i="1"/>
  <c r="H38" i="1" s="1"/>
  <c r="R16" i="1" l="1"/>
  <c r="S16" i="1" s="1"/>
  <c r="O14" i="1"/>
  <c r="O13" i="1"/>
  <c r="O12" i="1"/>
  <c r="O11" i="1"/>
  <c r="O9" i="1"/>
  <c r="O7" i="1"/>
  <c r="O5" i="1"/>
  <c r="O4" i="1"/>
  <c r="L14" i="1"/>
  <c r="L13" i="1"/>
  <c r="L12" i="1"/>
  <c r="L11" i="1"/>
  <c r="L9" i="1"/>
  <c r="L7" i="1"/>
  <c r="L5" i="1"/>
  <c r="L4" i="1"/>
  <c r="O3" i="1"/>
  <c r="L3" i="1"/>
  <c r="R14" i="1" l="1"/>
  <c r="S14" i="1" s="1"/>
  <c r="R13" i="1"/>
  <c r="S13" i="1" s="1"/>
  <c r="R12" i="1"/>
  <c r="S12" i="1" s="1"/>
  <c r="R11" i="1"/>
  <c r="S11" i="1" s="1"/>
  <c r="R9" i="1"/>
  <c r="S9" i="1" s="1"/>
  <c r="R7" i="1"/>
  <c r="S7" i="1" s="1"/>
  <c r="R5" i="1"/>
  <c r="S5" i="1" s="1"/>
  <c r="R4" i="1"/>
  <c r="S4" i="1" s="1"/>
  <c r="R3" i="1" l="1"/>
  <c r="I18" i="1"/>
  <c r="H28" i="1"/>
  <c r="H40" i="1" s="1"/>
  <c r="Q18" i="1" l="1"/>
  <c r="Q31" i="1" s="1"/>
  <c r="S3" i="1"/>
  <c r="S18" i="1" l="1"/>
  <c r="S26" i="1" s="1"/>
  <c r="S27" i="1" s="1"/>
  <c r="U18" i="1" l="1"/>
</calcChain>
</file>

<file path=xl/sharedStrings.xml><?xml version="1.0" encoding="utf-8"?>
<sst xmlns="http://schemas.openxmlformats.org/spreadsheetml/2006/main" count="94" uniqueCount="61">
  <si>
    <t>S. No.</t>
  </si>
  <si>
    <t>Floor</t>
  </si>
  <si>
    <t>Type of Structure</t>
  </si>
  <si>
    <t>Year of Construction</t>
  </si>
  <si>
    <t>Salvage value</t>
  </si>
  <si>
    <t>Depreciation Rate</t>
  </si>
  <si>
    <r>
      <t xml:space="preserve">Total Economical Life
</t>
    </r>
    <r>
      <rPr>
        <b/>
        <i/>
        <sz val="10"/>
        <color theme="0"/>
        <rFont val="Calibri"/>
        <family val="2"/>
        <scheme val="minor"/>
      </rPr>
      <t>(in years)</t>
    </r>
  </si>
  <si>
    <r>
      <t xml:space="preserve">Total Life Consumed 
</t>
    </r>
    <r>
      <rPr>
        <b/>
        <i/>
        <sz val="10"/>
        <color theme="0"/>
        <rFont val="Calibri"/>
        <family val="2"/>
        <scheme val="minor"/>
      </rPr>
      <t>(in years)</t>
    </r>
  </si>
  <si>
    <r>
      <t xml:space="preserve">Gross Replacement Value
</t>
    </r>
    <r>
      <rPr>
        <b/>
        <i/>
        <sz val="10"/>
        <color theme="0"/>
        <rFont val="Calibri"/>
        <family val="2"/>
        <scheme val="minor"/>
      </rPr>
      <t>(INR)</t>
    </r>
  </si>
  <si>
    <r>
      <t xml:space="preserve">Depreciated Replacement Market Value
</t>
    </r>
    <r>
      <rPr>
        <b/>
        <i/>
        <sz val="10"/>
        <color theme="0"/>
        <rFont val="Calibri"/>
        <family val="2"/>
        <scheme val="minor"/>
      </rPr>
      <t>(INR)</t>
    </r>
  </si>
  <si>
    <r>
      <t xml:space="preserve">Depreciation
</t>
    </r>
    <r>
      <rPr>
        <b/>
        <i/>
        <sz val="10"/>
        <color theme="0"/>
        <rFont val="Calibri"/>
        <family val="2"/>
        <scheme val="minor"/>
      </rPr>
      <t>(INR)</t>
    </r>
  </si>
  <si>
    <t>Ground</t>
  </si>
  <si>
    <r>
      <t xml:space="preserve">Plinth Rate
</t>
    </r>
    <r>
      <rPr>
        <b/>
        <i/>
        <sz val="10"/>
        <color theme="0"/>
        <rFont val="Calibri"/>
        <family val="2"/>
        <scheme val="minor"/>
      </rPr>
      <t>(INR)</t>
    </r>
  </si>
  <si>
    <t>Building Name</t>
  </si>
  <si>
    <t>Total</t>
  </si>
  <si>
    <r>
      <t xml:space="preserve">Area
</t>
    </r>
    <r>
      <rPr>
        <b/>
        <i/>
        <sz val="10"/>
        <color theme="0"/>
        <rFont val="Calibri"/>
        <family val="2"/>
        <scheme val="minor"/>
      </rPr>
      <t>(in sq.ft.)</t>
    </r>
  </si>
  <si>
    <r>
      <t xml:space="preserve">Height
</t>
    </r>
    <r>
      <rPr>
        <b/>
        <i/>
        <sz val="10"/>
        <color theme="0"/>
        <rFont val="Calibri"/>
        <family val="2"/>
        <scheme val="minor"/>
      </rPr>
      <t>(in ft.)</t>
    </r>
  </si>
  <si>
    <r>
      <t xml:space="preserve">Area
</t>
    </r>
    <r>
      <rPr>
        <b/>
        <i/>
        <sz val="10"/>
        <color theme="0"/>
        <rFont val="Calibri"/>
        <family val="2"/>
        <scheme val="minor"/>
      </rPr>
      <t>(in sq.mtr.)</t>
    </r>
  </si>
  <si>
    <t>Security Cabin</t>
  </si>
  <si>
    <t>RCC framed structure</t>
  </si>
  <si>
    <t>First</t>
  </si>
  <si>
    <t>Remarks:</t>
  </si>
  <si>
    <t>1. All the details pertaing to the building area statement such as area, floor, etc has been taken from the site survey measurement.</t>
  </si>
  <si>
    <t>3. Age of building is considered as per the information provided to us during the site survey.</t>
  </si>
  <si>
    <t>GF</t>
  </si>
  <si>
    <t>FF</t>
  </si>
  <si>
    <t>20°12'46.2"N 73°01'20.8"E</t>
  </si>
  <si>
    <t>sq.mtr.</t>
  </si>
  <si>
    <t>4.5 to 5.5 Lakh per Gunta</t>
  </si>
  <si>
    <t>1 Gunta</t>
  </si>
  <si>
    <t>Length</t>
  </si>
  <si>
    <t>Breadth</t>
  </si>
  <si>
    <t>Dispatch Office</t>
  </si>
  <si>
    <t>Storage Area for Finished Goods</t>
  </si>
  <si>
    <t>IMD Area</t>
  </si>
  <si>
    <t>Design Office</t>
  </si>
  <si>
    <t>Raw Material Storage Area</t>
  </si>
  <si>
    <t>Lunch Room</t>
  </si>
  <si>
    <t>LT Room</t>
  </si>
  <si>
    <t>DG Room</t>
  </si>
  <si>
    <t>Fabrication Room</t>
  </si>
  <si>
    <t>Pump Room</t>
  </si>
  <si>
    <t>Admin Building</t>
  </si>
  <si>
    <t>FMV</t>
  </si>
  <si>
    <t>RV</t>
  </si>
  <si>
    <t>DV</t>
  </si>
  <si>
    <t>Ayursundra</t>
  </si>
  <si>
    <t>Shed mounted on brick wall</t>
  </si>
  <si>
    <t>Metal Sheet mounted on brick wall</t>
  </si>
  <si>
    <t>Shed mounted on Iron Pillars</t>
  </si>
  <si>
    <t>2.The Depreciated Replacement Market Value is calculated as per the Cost Approach.</t>
  </si>
  <si>
    <t>per Gunta</t>
  </si>
  <si>
    <t>per sq.mtr.</t>
  </si>
  <si>
    <t>Adopted Rate</t>
  </si>
  <si>
    <t>Adopted Rate Range</t>
  </si>
  <si>
    <t>~</t>
  </si>
  <si>
    <t>Land Value</t>
  </si>
  <si>
    <t>Boundary Wall</t>
  </si>
  <si>
    <t>Building Value</t>
  </si>
  <si>
    <t>Guideline Rate</t>
  </si>
  <si>
    <t>Guideline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</si>
</sst>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* #,##0.0_ ;_ * \-#,##0.0_ ;_ * &quot;-&quot;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0" applyFont="1"/>
    <xf numFmtId="164" fontId="0" fillId="0" borderId="0" xfId="1" applyNumberFormat="1" applyFont="1"/>
    <xf numFmtId="167" fontId="0" fillId="0" borderId="0" xfId="0" applyNumberForma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43" fontId="0" fillId="0" borderId="0" xfId="0" applyNumberFormat="1"/>
    <xf numFmtId="164" fontId="3" fillId="0" borderId="0" xfId="1" applyNumberFormat="1" applyFont="1"/>
    <xf numFmtId="164" fontId="0" fillId="0" borderId="0" xfId="0" applyNumberForma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0</xdr:rowOff>
    </xdr:from>
    <xdr:to>
      <xdr:col>17</xdr:col>
      <xdr:colOff>573107</xdr:colOff>
      <xdr:row>70</xdr:row>
      <xdr:rowOff>10484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D4F653-4406-801F-219A-50BDA1C28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3619500"/>
          <a:ext cx="11517332" cy="68684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15</xdr:col>
      <xdr:colOff>249042</xdr:colOff>
      <xdr:row>91</xdr:row>
      <xdr:rowOff>19584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5D88B94-784C-3C66-F511-C259D95FB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0668000"/>
          <a:ext cx="9974067" cy="382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40"/>
  <sheetViews>
    <sheetView tabSelected="1" topLeftCell="A13" zoomScale="85" zoomScaleNormal="85" workbookViewId="0">
      <selection activeCell="U24" sqref="U24"/>
    </sheetView>
  </sheetViews>
  <sheetFormatPr defaultRowHeight="15" x14ac:dyDescent="0.25"/>
  <cols>
    <col min="1" max="1" width="9.140625" style="2"/>
    <col min="2" max="2" width="6.140625" style="2" bestFit="1" customWidth="1"/>
    <col min="3" max="3" width="7.5703125" style="2" bestFit="1" customWidth="1"/>
    <col min="4" max="4" width="17.5703125" style="20" bestFit="1" customWidth="1"/>
    <col min="5" max="5" width="13" style="3" customWidth="1"/>
    <col min="6" max="7" width="13" style="3" hidden="1" customWidth="1"/>
    <col min="8" max="8" width="9.42578125" style="1" bestFit="1" customWidth="1"/>
    <col min="9" max="9" width="10.28515625" style="1" hidden="1" customWidth="1"/>
    <col min="10" max="10" width="6.85546875" style="1" bestFit="1" customWidth="1"/>
    <col min="11" max="11" width="12.28515625" style="1" bestFit="1" customWidth="1"/>
    <col min="12" max="12" width="10.42578125" style="1" bestFit="1" customWidth="1"/>
    <col min="13" max="13" width="11" style="1" bestFit="1" customWidth="1"/>
    <col min="14" max="14" width="7.7109375" style="1" hidden="1" customWidth="1"/>
    <col min="15" max="15" width="12.7109375" style="1" hidden="1" customWidth="1"/>
    <col min="16" max="16" width="6.42578125" style="1" bestFit="1" customWidth="1"/>
    <col min="17" max="17" width="14.42578125" style="1" bestFit="1" customWidth="1"/>
    <col min="18" max="18" width="14.42578125" style="2" hidden="1" customWidth="1"/>
    <col min="19" max="19" width="14.42578125" style="2" bestFit="1" customWidth="1"/>
    <col min="20" max="20" width="9.140625" style="2"/>
    <col min="21" max="21" width="15.42578125" style="2" bestFit="1" customWidth="1"/>
    <col min="22" max="16384" width="9.140625" style="2"/>
  </cols>
  <sheetData>
    <row r="2" spans="2:19" ht="57.75" x14ac:dyDescent="0.25">
      <c r="B2" s="11" t="s">
        <v>0</v>
      </c>
      <c r="C2" s="11" t="s">
        <v>1</v>
      </c>
      <c r="D2" s="11" t="s">
        <v>13</v>
      </c>
      <c r="E2" s="11" t="s">
        <v>2</v>
      </c>
      <c r="F2" s="28" t="s">
        <v>30</v>
      </c>
      <c r="G2" s="28" t="s">
        <v>31</v>
      </c>
      <c r="H2" s="11" t="s">
        <v>15</v>
      </c>
      <c r="I2" s="4" t="s">
        <v>17</v>
      </c>
      <c r="J2" s="11" t="s">
        <v>16</v>
      </c>
      <c r="K2" s="11" t="s">
        <v>3</v>
      </c>
      <c r="L2" s="11" t="s">
        <v>7</v>
      </c>
      <c r="M2" s="11" t="s">
        <v>6</v>
      </c>
      <c r="N2" s="4" t="s">
        <v>4</v>
      </c>
      <c r="O2" s="4" t="s">
        <v>5</v>
      </c>
      <c r="P2" s="11" t="s">
        <v>12</v>
      </c>
      <c r="Q2" s="11" t="s">
        <v>8</v>
      </c>
      <c r="R2" s="4" t="s">
        <v>10</v>
      </c>
      <c r="S2" s="11" t="s">
        <v>9</v>
      </c>
    </row>
    <row r="3" spans="2:19" ht="28.5" customHeight="1" x14ac:dyDescent="0.25">
      <c r="B3" s="5">
        <v>1</v>
      </c>
      <c r="C3" s="5" t="s">
        <v>11</v>
      </c>
      <c r="D3" s="19" t="s">
        <v>18</v>
      </c>
      <c r="E3" s="9" t="s">
        <v>19</v>
      </c>
      <c r="F3" s="5">
        <v>19.54</v>
      </c>
      <c r="G3" s="5">
        <v>14.28</v>
      </c>
      <c r="H3" s="10">
        <f>F3*G3</f>
        <v>279.03119999999996</v>
      </c>
      <c r="I3" s="10">
        <f>H3/10.7639</f>
        <v>25.922871821551666</v>
      </c>
      <c r="J3" s="12">
        <v>11.42</v>
      </c>
      <c r="K3" s="5">
        <v>2000</v>
      </c>
      <c r="L3" s="5">
        <f>2023-K3</f>
        <v>23</v>
      </c>
      <c r="M3" s="5">
        <v>60</v>
      </c>
      <c r="N3" s="6">
        <v>0.1</v>
      </c>
      <c r="O3" s="7">
        <f>(1-N3)/M3</f>
        <v>1.5000000000000001E-2</v>
      </c>
      <c r="P3" s="10">
        <v>1600</v>
      </c>
      <c r="Q3" s="10">
        <f>P3*H3</f>
        <v>446449.91999999993</v>
      </c>
      <c r="R3" s="8">
        <f>Q3*O3*IF(L3&gt;M3,M3,L3)</f>
        <v>154025.2224</v>
      </c>
      <c r="S3" s="14">
        <f>Q3-R3</f>
        <v>292424.69759999996</v>
      </c>
    </row>
    <row r="4" spans="2:19" ht="30" x14ac:dyDescent="0.25">
      <c r="B4" s="5">
        <v>2</v>
      </c>
      <c r="C4" s="5" t="s">
        <v>11</v>
      </c>
      <c r="D4" s="19" t="s">
        <v>32</v>
      </c>
      <c r="E4" s="9" t="s">
        <v>19</v>
      </c>
      <c r="F4" s="5">
        <v>50</v>
      </c>
      <c r="G4" s="5">
        <v>23</v>
      </c>
      <c r="H4" s="10">
        <f t="shared" ref="H4:H17" si="0">F4*G4</f>
        <v>1150</v>
      </c>
      <c r="I4" s="10">
        <f t="shared" ref="I4:I17" si="1">H4/10.7639</f>
        <v>106.83859939241353</v>
      </c>
      <c r="J4" s="12">
        <v>11.61</v>
      </c>
      <c r="K4" s="5">
        <v>2000</v>
      </c>
      <c r="L4" s="5">
        <f t="shared" ref="L4:L14" si="2">2023-K4</f>
        <v>23</v>
      </c>
      <c r="M4" s="5">
        <v>60</v>
      </c>
      <c r="N4" s="6">
        <v>0.1</v>
      </c>
      <c r="O4" s="7">
        <f t="shared" ref="O4:O14" si="3">(1-N4)/M4</f>
        <v>1.5000000000000001E-2</v>
      </c>
      <c r="P4" s="10">
        <v>1600</v>
      </c>
      <c r="Q4" s="10">
        <f t="shared" ref="Q4:Q17" si="4">P4*H4</f>
        <v>1840000</v>
      </c>
      <c r="R4" s="8">
        <f t="shared" ref="R4:R14" si="5">Q4*O4*IF(L4&gt;M4,M4,L4)</f>
        <v>634800.00000000012</v>
      </c>
      <c r="S4" s="14">
        <f t="shared" ref="S4:S14" si="6">Q4-R4</f>
        <v>1205200</v>
      </c>
    </row>
    <row r="5" spans="2:19" ht="30" x14ac:dyDescent="0.25">
      <c r="B5" s="5">
        <v>3</v>
      </c>
      <c r="C5" s="5" t="s">
        <v>11</v>
      </c>
      <c r="D5" s="29" t="s">
        <v>33</v>
      </c>
      <c r="E5" s="9" t="s">
        <v>19</v>
      </c>
      <c r="F5" s="5">
        <v>410</v>
      </c>
      <c r="G5" s="5">
        <v>130</v>
      </c>
      <c r="H5" s="10">
        <f t="shared" si="0"/>
        <v>53300</v>
      </c>
      <c r="I5" s="10">
        <f t="shared" si="1"/>
        <v>4951.7368240136011</v>
      </c>
      <c r="J5" s="21">
        <v>30</v>
      </c>
      <c r="K5" s="5">
        <v>2000</v>
      </c>
      <c r="L5" s="5">
        <f t="shared" si="2"/>
        <v>23</v>
      </c>
      <c r="M5" s="5">
        <v>60</v>
      </c>
      <c r="N5" s="6">
        <v>0.1</v>
      </c>
      <c r="O5" s="7">
        <f t="shared" si="3"/>
        <v>1.5000000000000001E-2</v>
      </c>
      <c r="P5" s="10">
        <v>1600</v>
      </c>
      <c r="Q5" s="10">
        <f t="shared" si="4"/>
        <v>85280000</v>
      </c>
      <c r="R5" s="8">
        <f t="shared" si="5"/>
        <v>29421600</v>
      </c>
      <c r="S5" s="14">
        <f t="shared" si="6"/>
        <v>55858400</v>
      </c>
    </row>
    <row r="6" spans="2:19" ht="45" x14ac:dyDescent="0.25">
      <c r="B6" s="5">
        <v>4</v>
      </c>
      <c r="C6" s="5" t="s">
        <v>20</v>
      </c>
      <c r="D6" s="30"/>
      <c r="E6" s="9" t="s">
        <v>47</v>
      </c>
      <c r="F6" s="5">
        <v>390</v>
      </c>
      <c r="G6" s="5">
        <v>130</v>
      </c>
      <c r="H6" s="10">
        <f t="shared" si="0"/>
        <v>50700</v>
      </c>
      <c r="I6" s="10">
        <f t="shared" si="1"/>
        <v>4710.1886862568399</v>
      </c>
      <c r="J6" s="21">
        <v>30</v>
      </c>
      <c r="K6" s="5">
        <v>2000</v>
      </c>
      <c r="L6" s="5">
        <f t="shared" ref="L6" si="7">2023-K6</f>
        <v>23</v>
      </c>
      <c r="M6" s="5">
        <v>40</v>
      </c>
      <c r="N6" s="6">
        <v>0.1</v>
      </c>
      <c r="O6" s="7">
        <f t="shared" ref="O6" si="8">(1-N6)/M6</f>
        <v>2.2499999999999999E-2</v>
      </c>
      <c r="P6" s="10">
        <v>1800</v>
      </c>
      <c r="Q6" s="10">
        <f t="shared" si="4"/>
        <v>91260000</v>
      </c>
      <c r="R6" s="8">
        <f t="shared" ref="R6" si="9">Q6*O6*IF(L6&gt;M6,M6,L6)</f>
        <v>47227050</v>
      </c>
      <c r="S6" s="14">
        <f t="shared" ref="S6" si="10">Q6-R6</f>
        <v>44032950</v>
      </c>
    </row>
    <row r="7" spans="2:19" ht="45" x14ac:dyDescent="0.25">
      <c r="B7" s="5">
        <v>5</v>
      </c>
      <c r="C7" s="5" t="s">
        <v>11</v>
      </c>
      <c r="D7" s="19" t="s">
        <v>34</v>
      </c>
      <c r="E7" s="9" t="s">
        <v>47</v>
      </c>
      <c r="F7" s="5">
        <v>65.58</v>
      </c>
      <c r="G7" s="5">
        <v>413</v>
      </c>
      <c r="H7" s="10">
        <f t="shared" si="0"/>
        <v>27084.54</v>
      </c>
      <c r="I7" s="10">
        <f t="shared" si="1"/>
        <v>2516.238538076348</v>
      </c>
      <c r="J7" s="21">
        <v>40</v>
      </c>
      <c r="K7" s="5">
        <v>2000</v>
      </c>
      <c r="L7" s="5">
        <f t="shared" si="2"/>
        <v>23</v>
      </c>
      <c r="M7" s="5">
        <v>40</v>
      </c>
      <c r="N7" s="6">
        <v>0.1</v>
      </c>
      <c r="O7" s="7">
        <f t="shared" si="3"/>
        <v>2.2499999999999999E-2</v>
      </c>
      <c r="P7" s="10">
        <v>2000</v>
      </c>
      <c r="Q7" s="10">
        <f t="shared" si="4"/>
        <v>54169080</v>
      </c>
      <c r="R7" s="8">
        <f t="shared" si="5"/>
        <v>28032498.900000002</v>
      </c>
      <c r="S7" s="14">
        <f t="shared" si="6"/>
        <v>26136581.099999998</v>
      </c>
    </row>
    <row r="8" spans="2:19" ht="45" x14ac:dyDescent="0.25">
      <c r="B8" s="5">
        <v>6</v>
      </c>
      <c r="C8" s="5" t="s">
        <v>11</v>
      </c>
      <c r="D8" s="19" t="s">
        <v>35</v>
      </c>
      <c r="E8" s="9" t="s">
        <v>48</v>
      </c>
      <c r="F8" s="5">
        <v>15</v>
      </c>
      <c r="G8" s="5">
        <v>16.38</v>
      </c>
      <c r="H8" s="10">
        <f t="shared" si="0"/>
        <v>245.7</v>
      </c>
      <c r="I8" s="10">
        <f t="shared" si="1"/>
        <v>22.826299018013916</v>
      </c>
      <c r="J8" s="21">
        <v>9</v>
      </c>
      <c r="K8" s="5">
        <v>2000</v>
      </c>
      <c r="L8" s="5">
        <f t="shared" ref="L8" si="11">2023-K8</f>
        <v>23</v>
      </c>
      <c r="M8" s="5">
        <v>40</v>
      </c>
      <c r="N8" s="6">
        <v>0.1</v>
      </c>
      <c r="O8" s="7">
        <f t="shared" ref="O8" si="12">(1-N8)/M8</f>
        <v>2.2499999999999999E-2</v>
      </c>
      <c r="P8" s="10">
        <v>1200</v>
      </c>
      <c r="Q8" s="10">
        <f t="shared" si="4"/>
        <v>294840</v>
      </c>
      <c r="R8" s="8">
        <f t="shared" ref="R8" si="13">Q8*O8*IF(L8&gt;M8,M8,L8)</f>
        <v>152579.69999999998</v>
      </c>
      <c r="S8" s="14">
        <f t="shared" ref="S8" si="14">Q8-R8</f>
        <v>142260.30000000002</v>
      </c>
    </row>
    <row r="9" spans="2:19" ht="30" x14ac:dyDescent="0.25">
      <c r="B9" s="5">
        <v>7</v>
      </c>
      <c r="C9" s="5" t="s">
        <v>11</v>
      </c>
      <c r="D9" s="29" t="s">
        <v>36</v>
      </c>
      <c r="E9" s="9" t="s">
        <v>19</v>
      </c>
      <c r="F9" s="5">
        <v>86</v>
      </c>
      <c r="G9" s="5">
        <v>150</v>
      </c>
      <c r="H9" s="10">
        <f t="shared" si="0"/>
        <v>12900</v>
      </c>
      <c r="I9" s="10">
        <f t="shared" si="1"/>
        <v>1198.4503757931604</v>
      </c>
      <c r="J9" s="21">
        <v>18</v>
      </c>
      <c r="K9" s="5">
        <v>2000</v>
      </c>
      <c r="L9" s="5">
        <f t="shared" si="2"/>
        <v>23</v>
      </c>
      <c r="M9" s="5">
        <v>60</v>
      </c>
      <c r="N9" s="6">
        <v>0.1</v>
      </c>
      <c r="O9" s="7">
        <f t="shared" si="3"/>
        <v>1.5000000000000001E-2</v>
      </c>
      <c r="P9" s="10">
        <v>1600</v>
      </c>
      <c r="Q9" s="10">
        <f t="shared" si="4"/>
        <v>20640000</v>
      </c>
      <c r="R9" s="8">
        <f t="shared" si="5"/>
        <v>7120800</v>
      </c>
      <c r="S9" s="14">
        <f t="shared" si="6"/>
        <v>13519200</v>
      </c>
    </row>
    <row r="10" spans="2:19" ht="45" x14ac:dyDescent="0.25">
      <c r="B10" s="5">
        <v>8</v>
      </c>
      <c r="C10" s="5" t="s">
        <v>20</v>
      </c>
      <c r="D10" s="30"/>
      <c r="E10" s="9" t="s">
        <v>47</v>
      </c>
      <c r="F10" s="5">
        <v>86</v>
      </c>
      <c r="G10" s="5">
        <v>150</v>
      </c>
      <c r="H10" s="10">
        <f t="shared" si="0"/>
        <v>12900</v>
      </c>
      <c r="I10" s="10">
        <f t="shared" si="1"/>
        <v>1198.4503757931604</v>
      </c>
      <c r="J10" s="21">
        <v>18</v>
      </c>
      <c r="K10" s="5">
        <v>2000</v>
      </c>
      <c r="L10" s="5">
        <f t="shared" ref="L10" si="15">2023-K10</f>
        <v>23</v>
      </c>
      <c r="M10" s="5">
        <v>40</v>
      </c>
      <c r="N10" s="6">
        <v>0.1</v>
      </c>
      <c r="O10" s="7">
        <f t="shared" ref="O10" si="16">(1-N10)/M10</f>
        <v>2.2499999999999999E-2</v>
      </c>
      <c r="P10" s="10">
        <v>1800</v>
      </c>
      <c r="Q10" s="10">
        <f t="shared" si="4"/>
        <v>23220000</v>
      </c>
      <c r="R10" s="8">
        <f t="shared" ref="R10" si="17">Q10*O10*IF(L10&gt;M10,M10,L10)</f>
        <v>12016350</v>
      </c>
      <c r="S10" s="14">
        <f t="shared" ref="S10" si="18">Q10-R10</f>
        <v>11203650</v>
      </c>
    </row>
    <row r="11" spans="2:19" ht="30" x14ac:dyDescent="0.25">
      <c r="B11" s="5">
        <v>9</v>
      </c>
      <c r="C11" s="5" t="s">
        <v>11</v>
      </c>
      <c r="D11" s="19" t="s">
        <v>37</v>
      </c>
      <c r="E11" s="9" t="s">
        <v>19</v>
      </c>
      <c r="F11" s="5">
        <v>26</v>
      </c>
      <c r="G11" s="5">
        <v>35</v>
      </c>
      <c r="H11" s="10">
        <f t="shared" si="0"/>
        <v>910</v>
      </c>
      <c r="I11" s="10">
        <f t="shared" si="1"/>
        <v>84.541848214866363</v>
      </c>
      <c r="J11" s="21">
        <v>15</v>
      </c>
      <c r="K11" s="5">
        <v>2000</v>
      </c>
      <c r="L11" s="5">
        <f t="shared" si="2"/>
        <v>23</v>
      </c>
      <c r="M11" s="5">
        <v>60</v>
      </c>
      <c r="N11" s="6">
        <v>0.1</v>
      </c>
      <c r="O11" s="7">
        <f t="shared" si="3"/>
        <v>1.5000000000000001E-2</v>
      </c>
      <c r="P11" s="10">
        <v>1600</v>
      </c>
      <c r="Q11" s="10">
        <f t="shared" si="4"/>
        <v>1456000</v>
      </c>
      <c r="R11" s="8">
        <f t="shared" si="5"/>
        <v>502320</v>
      </c>
      <c r="S11" s="14">
        <f t="shared" si="6"/>
        <v>953680</v>
      </c>
    </row>
    <row r="12" spans="2:19" ht="30" x14ac:dyDescent="0.25">
      <c r="B12" s="5">
        <v>10</v>
      </c>
      <c r="C12" s="5" t="s">
        <v>11</v>
      </c>
      <c r="D12" s="19" t="s">
        <v>38</v>
      </c>
      <c r="E12" s="9" t="s">
        <v>19</v>
      </c>
      <c r="F12" s="5">
        <v>57</v>
      </c>
      <c r="G12" s="5">
        <v>23</v>
      </c>
      <c r="H12" s="10">
        <f t="shared" si="0"/>
        <v>1311</v>
      </c>
      <c r="I12" s="10">
        <f t="shared" si="1"/>
        <v>121.79600330735143</v>
      </c>
      <c r="J12" s="21">
        <v>15.92</v>
      </c>
      <c r="K12" s="5">
        <v>2000</v>
      </c>
      <c r="L12" s="5">
        <f t="shared" si="2"/>
        <v>23</v>
      </c>
      <c r="M12" s="5">
        <v>60</v>
      </c>
      <c r="N12" s="6">
        <v>0.1</v>
      </c>
      <c r="O12" s="7">
        <f t="shared" si="3"/>
        <v>1.5000000000000001E-2</v>
      </c>
      <c r="P12" s="10">
        <v>1600</v>
      </c>
      <c r="Q12" s="10">
        <f t="shared" si="4"/>
        <v>2097600</v>
      </c>
      <c r="R12" s="8">
        <f t="shared" si="5"/>
        <v>723672.00000000012</v>
      </c>
      <c r="S12" s="14">
        <f t="shared" si="6"/>
        <v>1373928</v>
      </c>
    </row>
    <row r="13" spans="2:19" ht="30" x14ac:dyDescent="0.25">
      <c r="B13" s="5">
        <v>11</v>
      </c>
      <c r="C13" s="5" t="s">
        <v>11</v>
      </c>
      <c r="D13" s="19" t="s">
        <v>39</v>
      </c>
      <c r="E13" s="9" t="s">
        <v>19</v>
      </c>
      <c r="F13" s="5">
        <v>57</v>
      </c>
      <c r="G13" s="5">
        <v>23</v>
      </c>
      <c r="H13" s="10">
        <f t="shared" si="0"/>
        <v>1311</v>
      </c>
      <c r="I13" s="10">
        <f t="shared" si="1"/>
        <v>121.79600330735143</v>
      </c>
      <c r="J13" s="21">
        <v>15.92</v>
      </c>
      <c r="K13" s="5">
        <v>2000</v>
      </c>
      <c r="L13" s="5">
        <f t="shared" si="2"/>
        <v>23</v>
      </c>
      <c r="M13" s="5">
        <v>60</v>
      </c>
      <c r="N13" s="6">
        <v>0.1</v>
      </c>
      <c r="O13" s="7">
        <f t="shared" si="3"/>
        <v>1.5000000000000001E-2</v>
      </c>
      <c r="P13" s="10">
        <v>1600</v>
      </c>
      <c r="Q13" s="10">
        <f t="shared" si="4"/>
        <v>2097600</v>
      </c>
      <c r="R13" s="8">
        <f t="shared" si="5"/>
        <v>723672.00000000012</v>
      </c>
      <c r="S13" s="14">
        <f t="shared" si="6"/>
        <v>1373928</v>
      </c>
    </row>
    <row r="14" spans="2:19" ht="30" x14ac:dyDescent="0.25">
      <c r="B14" s="5">
        <v>12</v>
      </c>
      <c r="C14" s="5" t="s">
        <v>11</v>
      </c>
      <c r="D14" s="19" t="s">
        <v>40</v>
      </c>
      <c r="E14" s="9" t="s">
        <v>19</v>
      </c>
      <c r="F14" s="5">
        <v>38</v>
      </c>
      <c r="G14" s="5">
        <v>15</v>
      </c>
      <c r="H14" s="10">
        <f t="shared" si="0"/>
        <v>570</v>
      </c>
      <c r="I14" s="10">
        <f t="shared" si="1"/>
        <v>52.954784046674533</v>
      </c>
      <c r="J14" s="21">
        <v>15.92</v>
      </c>
      <c r="K14" s="5">
        <v>2000</v>
      </c>
      <c r="L14" s="5">
        <f t="shared" si="2"/>
        <v>23</v>
      </c>
      <c r="M14" s="5">
        <v>60</v>
      </c>
      <c r="N14" s="6">
        <v>0.1</v>
      </c>
      <c r="O14" s="7">
        <f t="shared" si="3"/>
        <v>1.5000000000000001E-2</v>
      </c>
      <c r="P14" s="10">
        <v>1600</v>
      </c>
      <c r="Q14" s="10">
        <f t="shared" si="4"/>
        <v>912000</v>
      </c>
      <c r="R14" s="8">
        <f t="shared" si="5"/>
        <v>314640.00000000006</v>
      </c>
      <c r="S14" s="14">
        <f t="shared" si="6"/>
        <v>597360</v>
      </c>
    </row>
    <row r="15" spans="2:19" ht="45" x14ac:dyDescent="0.25">
      <c r="B15" s="5">
        <v>13</v>
      </c>
      <c r="C15" s="5" t="s">
        <v>11</v>
      </c>
      <c r="D15" s="19" t="s">
        <v>41</v>
      </c>
      <c r="E15" s="9" t="s">
        <v>49</v>
      </c>
      <c r="F15" s="5">
        <v>30</v>
      </c>
      <c r="G15" s="5">
        <v>70</v>
      </c>
      <c r="H15" s="10">
        <f t="shared" si="0"/>
        <v>2100</v>
      </c>
      <c r="I15" s="10">
        <f t="shared" si="1"/>
        <v>195.09657280353775</v>
      </c>
      <c r="J15" s="21">
        <v>35</v>
      </c>
      <c r="K15" s="5">
        <v>2000</v>
      </c>
      <c r="L15" s="5">
        <f t="shared" ref="L15" si="19">2023-K15</f>
        <v>23</v>
      </c>
      <c r="M15" s="5">
        <v>30</v>
      </c>
      <c r="N15" s="6">
        <v>0.1</v>
      </c>
      <c r="O15" s="7">
        <f t="shared" ref="O15" si="20">(1-N15)/M15</f>
        <v>3.0000000000000002E-2</v>
      </c>
      <c r="P15" s="10">
        <v>800</v>
      </c>
      <c r="Q15" s="10">
        <f t="shared" si="4"/>
        <v>1680000</v>
      </c>
      <c r="R15" s="8">
        <f t="shared" ref="R15" si="21">Q15*O15*IF(L15&gt;M15,M15,L15)</f>
        <v>1159200.0000000002</v>
      </c>
      <c r="S15" s="14">
        <f t="shared" ref="S15" si="22">Q15-R15</f>
        <v>520799.99999999977</v>
      </c>
    </row>
    <row r="16" spans="2:19" ht="30" x14ac:dyDescent="0.25">
      <c r="B16" s="5">
        <v>14</v>
      </c>
      <c r="C16" s="5" t="s">
        <v>11</v>
      </c>
      <c r="D16" s="29" t="s">
        <v>42</v>
      </c>
      <c r="E16" s="9" t="s">
        <v>19</v>
      </c>
      <c r="F16" s="5">
        <v>64</v>
      </c>
      <c r="G16" s="5">
        <v>23.62</v>
      </c>
      <c r="H16" s="10">
        <f t="shared" si="0"/>
        <v>1511.68</v>
      </c>
      <c r="I16" s="10">
        <f t="shared" si="1"/>
        <v>140.43980341697713</v>
      </c>
      <c r="J16" s="21">
        <v>12</v>
      </c>
      <c r="K16" s="5">
        <v>2000</v>
      </c>
      <c r="L16" s="5">
        <f t="shared" ref="L16" si="23">2023-K16</f>
        <v>23</v>
      </c>
      <c r="M16" s="5">
        <v>60</v>
      </c>
      <c r="N16" s="6">
        <v>0.1</v>
      </c>
      <c r="O16" s="7">
        <f t="shared" ref="O16" si="24">(1-N16)/M16</f>
        <v>1.5000000000000001E-2</v>
      </c>
      <c r="P16" s="10">
        <v>1600</v>
      </c>
      <c r="Q16" s="10">
        <f t="shared" si="4"/>
        <v>2418688</v>
      </c>
      <c r="R16" s="8">
        <f t="shared" ref="R16" si="25">Q16*O16*IF(L16&gt;M16,M16,L16)</f>
        <v>834447.35999999999</v>
      </c>
      <c r="S16" s="14">
        <f t="shared" ref="S16" si="26">Q16-R16</f>
        <v>1584240.6400000001</v>
      </c>
    </row>
    <row r="17" spans="2:21" ht="45" x14ac:dyDescent="0.25">
      <c r="B17" s="5">
        <v>15</v>
      </c>
      <c r="C17" s="5" t="s">
        <v>20</v>
      </c>
      <c r="D17" s="30"/>
      <c r="E17" s="9" t="s">
        <v>47</v>
      </c>
      <c r="F17" s="5">
        <v>65</v>
      </c>
      <c r="G17" s="5">
        <v>24</v>
      </c>
      <c r="H17" s="10">
        <f t="shared" si="0"/>
        <v>1560</v>
      </c>
      <c r="I17" s="10">
        <f t="shared" si="1"/>
        <v>144.92888265405662</v>
      </c>
      <c r="J17" s="21">
        <v>8.77</v>
      </c>
      <c r="K17" s="5">
        <v>2000</v>
      </c>
      <c r="L17" s="5">
        <f t="shared" ref="L17" si="27">2023-K17</f>
        <v>23</v>
      </c>
      <c r="M17" s="5">
        <v>40</v>
      </c>
      <c r="N17" s="6">
        <v>0.1</v>
      </c>
      <c r="O17" s="7">
        <f t="shared" ref="O17" si="28">(1-N17)/M17</f>
        <v>2.2499999999999999E-2</v>
      </c>
      <c r="P17" s="10">
        <v>1300</v>
      </c>
      <c r="Q17" s="10">
        <f t="shared" si="4"/>
        <v>2028000</v>
      </c>
      <c r="R17" s="8">
        <f t="shared" ref="R17" si="29">Q17*O17*IF(L17&gt;M17,M17,L17)</f>
        <v>1049490</v>
      </c>
      <c r="S17" s="14">
        <f t="shared" ref="S17" si="30">Q17-R17</f>
        <v>978510</v>
      </c>
    </row>
    <row r="18" spans="2:21" x14ac:dyDescent="0.25">
      <c r="B18" s="37" t="s">
        <v>14</v>
      </c>
      <c r="C18" s="37"/>
      <c r="D18" s="37"/>
      <c r="E18" s="37"/>
      <c r="F18" s="22"/>
      <c r="G18" s="22"/>
      <c r="H18" s="13">
        <f>SUM(H3:H17)</f>
        <v>167832.95120000001</v>
      </c>
      <c r="I18" s="13">
        <f>SUM(I3:I16)</f>
        <v>15447.277585261849</v>
      </c>
      <c r="J18" s="13"/>
      <c r="K18" s="13"/>
      <c r="L18" s="13"/>
      <c r="M18" s="13"/>
      <c r="N18" s="13"/>
      <c r="O18" s="13"/>
      <c r="P18" s="13"/>
      <c r="Q18" s="13">
        <f>SUM(Q3:Q16)</f>
        <v>287812257.92000002</v>
      </c>
      <c r="R18" s="13"/>
      <c r="S18" s="13">
        <f>SUM(S3:S17)</f>
        <v>159773112.73759997</v>
      </c>
      <c r="U18" s="2">
        <f>Q18/S18</f>
        <v>1.8013810520965594</v>
      </c>
    </row>
    <row r="19" spans="2:21" x14ac:dyDescent="0.25">
      <c r="B19" s="31" t="s">
        <v>21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/>
      <c r="T19" s="23"/>
    </row>
    <row r="20" spans="2:21" x14ac:dyDescent="0.25">
      <c r="B20" s="34" t="s">
        <v>22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6"/>
      <c r="T20" s="23"/>
    </row>
    <row r="21" spans="2:21" x14ac:dyDescent="0.25">
      <c r="B21" s="34" t="s">
        <v>50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6"/>
      <c r="T21" s="23"/>
    </row>
    <row r="22" spans="2:21" x14ac:dyDescent="0.25">
      <c r="B22" s="34" t="s">
        <v>23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23"/>
    </row>
    <row r="23" spans="2:21" x14ac:dyDescent="0.25">
      <c r="H23" s="2"/>
      <c r="S23" s="1"/>
      <c r="U23" s="38">
        <f>Q18*0.5</f>
        <v>143906128.96000001</v>
      </c>
    </row>
    <row r="24" spans="2:21" x14ac:dyDescent="0.25">
      <c r="H24" s="2"/>
      <c r="Q24" s="1" t="s">
        <v>56</v>
      </c>
      <c r="S24" s="1">
        <f>Sheet2!E9</f>
        <v>86400000</v>
      </c>
    </row>
    <row r="25" spans="2:21" x14ac:dyDescent="0.25">
      <c r="H25" s="2"/>
      <c r="Q25" s="1" t="s">
        <v>57</v>
      </c>
      <c r="S25" s="1">
        <f>Sheet2!E10</f>
        <v>2700000</v>
      </c>
    </row>
    <row r="26" spans="2:21" x14ac:dyDescent="0.25">
      <c r="H26" s="2"/>
      <c r="Q26" s="1" t="s">
        <v>58</v>
      </c>
      <c r="S26" s="27">
        <f>SUM(S18:S23)</f>
        <v>159773112.73759997</v>
      </c>
    </row>
    <row r="27" spans="2:21" x14ac:dyDescent="0.25">
      <c r="H27" s="2"/>
      <c r="S27" s="15">
        <f>SUM(S24:S26)</f>
        <v>248873112.73759997</v>
      </c>
    </row>
    <row r="28" spans="2:21" x14ac:dyDescent="0.25">
      <c r="H28" s="15">
        <f>SUM(H18:H27)</f>
        <v>167832.95120000001</v>
      </c>
      <c r="S28" s="15">
        <v>250000000</v>
      </c>
    </row>
    <row r="29" spans="2:21" x14ac:dyDescent="0.25">
      <c r="H29" s="2"/>
      <c r="S29" s="1">
        <f>S28*0.85</f>
        <v>212500000</v>
      </c>
    </row>
    <row r="30" spans="2:21" x14ac:dyDescent="0.25">
      <c r="H30" s="1">
        <v>40898.11</v>
      </c>
      <c r="S30" s="1">
        <f>S28*0.75</f>
        <v>187500000</v>
      </c>
    </row>
    <row r="31" spans="2:21" x14ac:dyDescent="0.25">
      <c r="Q31" s="1">
        <f>Q18*0.7</f>
        <v>201468580.544</v>
      </c>
    </row>
    <row r="32" spans="2:21" x14ac:dyDescent="0.25">
      <c r="H32" s="1">
        <v>700</v>
      </c>
    </row>
    <row r="33" spans="8:8" x14ac:dyDescent="0.25">
      <c r="H33" s="1">
        <v>20.25</v>
      </c>
    </row>
    <row r="34" spans="8:8" x14ac:dyDescent="0.25">
      <c r="H34" s="1">
        <v>13.34</v>
      </c>
    </row>
    <row r="35" spans="8:8" x14ac:dyDescent="0.25">
      <c r="H35" s="1">
        <v>18</v>
      </c>
    </row>
    <row r="36" spans="8:8" x14ac:dyDescent="0.25">
      <c r="H36" s="1">
        <f>SUM(H32:H35)</f>
        <v>751.59</v>
      </c>
    </row>
    <row r="38" spans="8:8" x14ac:dyDescent="0.25">
      <c r="H38" s="1">
        <f>H30-H36</f>
        <v>40146.520000000004</v>
      </c>
    </row>
    <row r="40" spans="8:8" x14ac:dyDescent="0.25">
      <c r="H40" s="1">
        <f>H38-H28</f>
        <v>-127686.43120000001</v>
      </c>
    </row>
  </sheetData>
  <mergeCells count="8">
    <mergeCell ref="D5:D6"/>
    <mergeCell ref="B19:S19"/>
    <mergeCell ref="B20:S20"/>
    <mergeCell ref="B21:S21"/>
    <mergeCell ref="B22:S22"/>
    <mergeCell ref="B18:E18"/>
    <mergeCell ref="D16:D17"/>
    <mergeCell ref="D9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6"/>
  <sheetViews>
    <sheetView workbookViewId="0">
      <selection activeCell="L11" sqref="L11"/>
    </sheetView>
  </sheetViews>
  <sheetFormatPr defaultRowHeight="15" x14ac:dyDescent="0.25"/>
  <cols>
    <col min="4" max="4" width="19.28515625" bestFit="1" customWidth="1"/>
    <col min="5" max="5" width="11.5703125" bestFit="1" customWidth="1"/>
    <col min="6" max="6" width="12.5703125" bestFit="1" customWidth="1"/>
    <col min="7" max="7" width="13.28515625" bestFit="1" customWidth="1"/>
    <col min="8" max="8" width="6.42578125" bestFit="1" customWidth="1"/>
    <col min="9" max="9" width="11.5703125" bestFit="1" customWidth="1"/>
    <col min="10" max="10" width="12" bestFit="1" customWidth="1"/>
    <col min="11" max="11" width="12.5703125" bestFit="1" customWidth="1"/>
    <col min="12" max="12" width="10" bestFit="1" customWidth="1"/>
  </cols>
  <sheetData>
    <row r="1" spans="2:10" x14ac:dyDescent="0.25">
      <c r="E1">
        <v>18000</v>
      </c>
    </row>
    <row r="2" spans="2:10" x14ac:dyDescent="0.25">
      <c r="D2" s="24" t="s">
        <v>29</v>
      </c>
      <c r="E2">
        <v>101.17</v>
      </c>
      <c r="F2" t="s">
        <v>27</v>
      </c>
    </row>
    <row r="4" spans="2:10" x14ac:dyDescent="0.25">
      <c r="D4" t="s">
        <v>54</v>
      </c>
      <c r="F4" t="s">
        <v>28</v>
      </c>
    </row>
    <row r="5" spans="2:10" x14ac:dyDescent="0.25">
      <c r="D5" t="s">
        <v>53</v>
      </c>
      <c r="E5" s="17">
        <v>480000</v>
      </c>
      <c r="F5" t="s">
        <v>51</v>
      </c>
      <c r="H5" s="17">
        <f>450000/E2</f>
        <v>4447.9588810912328</v>
      </c>
      <c r="I5" s="17">
        <f>550000/E2</f>
        <v>5436.3941880003949</v>
      </c>
    </row>
    <row r="6" spans="2:10" x14ac:dyDescent="0.25">
      <c r="D6" t="s">
        <v>53</v>
      </c>
      <c r="E6" s="17">
        <f>E5/E2</f>
        <v>4744.4894731639815</v>
      </c>
      <c r="F6" t="s">
        <v>52</v>
      </c>
    </row>
    <row r="7" spans="2:10" x14ac:dyDescent="0.25">
      <c r="D7" s="24" t="s">
        <v>55</v>
      </c>
      <c r="E7">
        <v>4800</v>
      </c>
      <c r="F7" t="s">
        <v>52</v>
      </c>
    </row>
    <row r="9" spans="2:10" x14ac:dyDescent="0.25">
      <c r="D9" t="s">
        <v>56</v>
      </c>
      <c r="E9" s="17">
        <f>E7*E1</f>
        <v>86400000</v>
      </c>
      <c r="I9" t="s">
        <v>46</v>
      </c>
    </row>
    <row r="10" spans="2:10" x14ac:dyDescent="0.25">
      <c r="D10" t="s">
        <v>57</v>
      </c>
      <c r="E10" s="17">
        <f>675*4000</f>
        <v>2700000</v>
      </c>
      <c r="I10" s="17" t="s">
        <v>43</v>
      </c>
      <c r="J10" s="26">
        <v>58536000</v>
      </c>
    </row>
    <row r="11" spans="2:10" x14ac:dyDescent="0.25">
      <c r="E11" s="17"/>
      <c r="I11" s="17"/>
      <c r="J11" s="26"/>
    </row>
    <row r="12" spans="2:10" x14ac:dyDescent="0.25">
      <c r="D12" t="s">
        <v>59</v>
      </c>
      <c r="E12" s="17">
        <v>2020</v>
      </c>
      <c r="F12" t="s">
        <v>52</v>
      </c>
      <c r="I12" s="17"/>
      <c r="J12" s="26"/>
    </row>
    <row r="13" spans="2:10" x14ac:dyDescent="0.25">
      <c r="D13" t="s">
        <v>60</v>
      </c>
      <c r="E13" s="17">
        <f>E12*E1</f>
        <v>36360000</v>
      </c>
      <c r="I13" s="17"/>
      <c r="J13" s="26"/>
    </row>
    <row r="14" spans="2:10" x14ac:dyDescent="0.25">
      <c r="E14" s="17"/>
      <c r="I14" s="17"/>
      <c r="J14" s="26"/>
    </row>
    <row r="15" spans="2:10" x14ac:dyDescent="0.25">
      <c r="I15" s="17" t="s">
        <v>44</v>
      </c>
      <c r="J15" s="17">
        <f>J10*0.85</f>
        <v>49755600</v>
      </c>
    </row>
    <row r="16" spans="2:10" x14ac:dyDescent="0.25">
      <c r="B16" s="16"/>
      <c r="I16" s="17" t="s">
        <v>45</v>
      </c>
      <c r="J16" s="17">
        <f>J10*0.75</f>
        <v>43902000</v>
      </c>
    </row>
    <row r="17" spans="2:11" x14ac:dyDescent="0.25">
      <c r="B17" t="s">
        <v>26</v>
      </c>
    </row>
    <row r="18" spans="2:11" x14ac:dyDescent="0.25">
      <c r="D18">
        <v>19.54</v>
      </c>
      <c r="E18">
        <v>14.28</v>
      </c>
      <c r="F18" s="17">
        <f>D18*E18</f>
        <v>279.03119999999996</v>
      </c>
    </row>
    <row r="19" spans="2:11" x14ac:dyDescent="0.25">
      <c r="D19">
        <v>50</v>
      </c>
      <c r="E19">
        <v>23</v>
      </c>
      <c r="F19" s="17">
        <f t="shared" ref="F19:F22" si="0">D19*E19</f>
        <v>1150</v>
      </c>
    </row>
    <row r="20" spans="2:11" x14ac:dyDescent="0.25">
      <c r="C20" s="24" t="s">
        <v>24</v>
      </c>
      <c r="D20">
        <v>410</v>
      </c>
      <c r="E20">
        <v>130</v>
      </c>
      <c r="F20" s="17">
        <f t="shared" si="0"/>
        <v>53300</v>
      </c>
      <c r="I20" s="17">
        <v>24800000</v>
      </c>
    </row>
    <row r="21" spans="2:11" x14ac:dyDescent="0.25">
      <c r="C21" s="24" t="s">
        <v>25</v>
      </c>
      <c r="D21">
        <v>390</v>
      </c>
      <c r="E21">
        <v>130</v>
      </c>
      <c r="F21" s="17">
        <f t="shared" si="0"/>
        <v>50700</v>
      </c>
      <c r="I21" s="17">
        <v>55</v>
      </c>
      <c r="J21" s="25">
        <f>I21*E2</f>
        <v>5564.35</v>
      </c>
      <c r="K21" s="25">
        <f>J21*10.76398</f>
        <v>59894.552113000005</v>
      </c>
    </row>
    <row r="22" spans="2:11" x14ac:dyDescent="0.25">
      <c r="C22" s="24"/>
      <c r="D22">
        <v>65.58</v>
      </c>
      <c r="E22">
        <v>413</v>
      </c>
      <c r="F22" s="17">
        <f t="shared" si="0"/>
        <v>27084.54</v>
      </c>
      <c r="I22" s="17">
        <f>I20/I21</f>
        <v>450909.09090909088</v>
      </c>
      <c r="J22">
        <f>I20/J21</f>
        <v>4456.944656608588</v>
      </c>
      <c r="K22">
        <f>I20/K21</f>
        <v>414.06103101349021</v>
      </c>
    </row>
    <row r="23" spans="2:11" x14ac:dyDescent="0.25">
      <c r="C23" s="24" t="s">
        <v>24</v>
      </c>
      <c r="D23">
        <v>15</v>
      </c>
      <c r="E23">
        <v>16.38</v>
      </c>
      <c r="F23" s="17">
        <f t="shared" ref="F23:F32" si="1">D23*E23</f>
        <v>245.7</v>
      </c>
    </row>
    <row r="24" spans="2:11" x14ac:dyDescent="0.25">
      <c r="C24" s="24" t="s">
        <v>25</v>
      </c>
      <c r="D24">
        <v>86</v>
      </c>
      <c r="E24">
        <v>150</v>
      </c>
      <c r="F24" s="17">
        <f t="shared" si="1"/>
        <v>12900</v>
      </c>
    </row>
    <row r="25" spans="2:11" x14ac:dyDescent="0.25">
      <c r="C25" s="24"/>
      <c r="D25">
        <v>86</v>
      </c>
      <c r="E25">
        <v>150</v>
      </c>
      <c r="F25" s="17">
        <f t="shared" si="1"/>
        <v>12900</v>
      </c>
    </row>
    <row r="26" spans="2:11" x14ac:dyDescent="0.25">
      <c r="C26" s="24"/>
      <c r="D26">
        <v>26</v>
      </c>
      <c r="E26">
        <v>35</v>
      </c>
      <c r="F26" s="17">
        <f t="shared" si="1"/>
        <v>910</v>
      </c>
    </row>
    <row r="27" spans="2:11" x14ac:dyDescent="0.25">
      <c r="C27" s="24"/>
      <c r="D27">
        <v>57</v>
      </c>
      <c r="E27">
        <v>23</v>
      </c>
      <c r="F27" s="17">
        <f t="shared" si="1"/>
        <v>1311</v>
      </c>
    </row>
    <row r="28" spans="2:11" x14ac:dyDescent="0.25">
      <c r="C28" s="24"/>
      <c r="D28">
        <v>57</v>
      </c>
      <c r="E28">
        <v>23</v>
      </c>
      <c r="F28" s="17">
        <f t="shared" si="1"/>
        <v>1311</v>
      </c>
    </row>
    <row r="29" spans="2:11" x14ac:dyDescent="0.25">
      <c r="C29" s="24"/>
      <c r="D29">
        <v>38</v>
      </c>
      <c r="E29">
        <v>15</v>
      </c>
      <c r="F29" s="17">
        <f t="shared" si="1"/>
        <v>570</v>
      </c>
    </row>
    <row r="30" spans="2:11" x14ac:dyDescent="0.25">
      <c r="C30" s="24" t="s">
        <v>24</v>
      </c>
      <c r="D30">
        <v>30</v>
      </c>
      <c r="E30">
        <v>70</v>
      </c>
      <c r="F30" s="17">
        <f t="shared" si="1"/>
        <v>2100</v>
      </c>
    </row>
    <row r="31" spans="2:11" x14ac:dyDescent="0.25">
      <c r="C31" s="24" t="s">
        <v>25</v>
      </c>
      <c r="D31">
        <v>64</v>
      </c>
      <c r="E31">
        <v>23.62</v>
      </c>
      <c r="F31" s="17">
        <f t="shared" si="1"/>
        <v>1511.68</v>
      </c>
    </row>
    <row r="32" spans="2:11" x14ac:dyDescent="0.25">
      <c r="D32">
        <v>65</v>
      </c>
      <c r="E32">
        <v>24</v>
      </c>
      <c r="F32" s="17">
        <f t="shared" si="1"/>
        <v>1560</v>
      </c>
      <c r="G32" s="25">
        <f>F32/10.7639</f>
        <v>144.92888265405662</v>
      </c>
    </row>
    <row r="35" spans="2:8" x14ac:dyDescent="0.25">
      <c r="B35" s="16"/>
    </row>
    <row r="37" spans="2:8" x14ac:dyDescent="0.25">
      <c r="E37" s="17"/>
      <c r="G37" s="18"/>
    </row>
    <row r="38" spans="2:8" x14ac:dyDescent="0.25">
      <c r="F38" s="17"/>
      <c r="G38" s="17"/>
      <c r="H38" s="17"/>
    </row>
    <row r="44" spans="2:8" x14ac:dyDescent="0.25">
      <c r="B44" s="16"/>
    </row>
    <row r="45" spans="2:8" x14ac:dyDescent="0.25">
      <c r="D45" s="17"/>
    </row>
    <row r="46" spans="2:8" x14ac:dyDescent="0.25">
      <c r="B46" s="16"/>
      <c r="D46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2024-01-18T13:33:36Z</dcterms:modified>
</cp:coreProperties>
</file>