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Z:\In Progress Files\Amit Jaiswal\VIS(2023-24)-PL407-333-535 Super Screws\"/>
    </mc:Choice>
  </mc:AlternateContent>
  <xr:revisionPtr revIDLastSave="0" documentId="13_ncr:1_{B4B0C90A-7D84-4278-A1E3-AC96368FE1CF}" xr6:coauthVersionLast="47" xr6:coauthVersionMax="47" xr10:uidLastSave="{00000000-0000-0000-0000-000000000000}"/>
  <bookViews>
    <workbookView showVerticalScroll="0" xWindow="-120" yWindow="-120" windowWidth="21840" windowHeight="13140" xr2:uid="{00000000-000D-0000-FFFF-FFFF00000000}"/>
  </bookViews>
  <sheets>
    <sheet name="Building" sheetId="1" r:id="rId1"/>
    <sheet name="Sheet3" sheetId="3" r:id="rId2"/>
    <sheet name="Land" sheetId="2" r:id="rId3"/>
  </sheets>
  <definedNames>
    <definedName name="_xlnm.Print_Area" localSheetId="0">Building!$A$1:$R$28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1" l="1"/>
  <c r="H39" i="1"/>
  <c r="O24" i="1"/>
  <c r="N24" i="1"/>
  <c r="R24" i="1"/>
  <c r="J32" i="1"/>
  <c r="J31" i="1"/>
  <c r="J44" i="1"/>
  <c r="R31" i="1"/>
  <c r="J48" i="1"/>
  <c r="I47" i="1"/>
  <c r="I46" i="1"/>
  <c r="N46" i="1"/>
  <c r="G45" i="1"/>
  <c r="B32" i="1"/>
  <c r="N45" i="1"/>
  <c r="J43" i="1"/>
  <c r="J42" i="1"/>
  <c r="J41" i="1" l="1"/>
  <c r="L16" i="1"/>
  <c r="O16" i="1" s="1"/>
  <c r="P16" i="1" s="1"/>
  <c r="R16" i="1" s="1"/>
  <c r="R21" i="1"/>
  <c r="R19" i="1"/>
  <c r="R17" i="1"/>
  <c r="R15" i="1"/>
  <c r="R13" i="1"/>
  <c r="R12" i="1"/>
  <c r="R11" i="1"/>
  <c r="R10" i="1"/>
  <c r="R9" i="1"/>
  <c r="R7" i="1"/>
  <c r="P21" i="1"/>
  <c r="P19" i="1"/>
  <c r="P17" i="1"/>
  <c r="P15" i="1"/>
  <c r="P13" i="1"/>
  <c r="P12" i="1"/>
  <c r="P11" i="1"/>
  <c r="P10" i="1"/>
  <c r="P9" i="1"/>
  <c r="P7" i="1"/>
  <c r="O21" i="1"/>
  <c r="O20" i="1"/>
  <c r="O19" i="1"/>
  <c r="O17" i="1"/>
  <c r="O15" i="1"/>
  <c r="O13" i="1"/>
  <c r="O12" i="1"/>
  <c r="O11" i="1"/>
  <c r="O10" i="1"/>
  <c r="O9" i="1"/>
  <c r="O7" i="1"/>
  <c r="O6" i="1"/>
  <c r="P6" i="1" s="1"/>
  <c r="R6" i="1" s="1"/>
  <c r="N23" i="1"/>
  <c r="N22" i="1"/>
  <c r="O22" i="1" s="1"/>
  <c r="N21" i="1"/>
  <c r="N20" i="1"/>
  <c r="N19" i="1"/>
  <c r="N18" i="1"/>
  <c r="O18" i="1" s="1"/>
  <c r="N17" i="1"/>
  <c r="N16" i="1"/>
  <c r="N15" i="1"/>
  <c r="N14" i="1"/>
  <c r="N13" i="1"/>
  <c r="N12" i="1"/>
  <c r="N11" i="1"/>
  <c r="N10" i="1"/>
  <c r="N9" i="1"/>
  <c r="N8" i="1"/>
  <c r="O8" i="1" s="1"/>
  <c r="N7" i="1"/>
  <c r="N6" i="1"/>
  <c r="N5" i="1"/>
  <c r="O5" i="1" s="1"/>
  <c r="D41" i="1"/>
  <c r="D40" i="1"/>
  <c r="L23" i="1"/>
  <c r="L22" i="1"/>
  <c r="L21" i="1"/>
  <c r="L20" i="1"/>
  <c r="L19" i="1"/>
  <c r="L18" i="1"/>
  <c r="L17" i="1"/>
  <c r="L15" i="1"/>
  <c r="L14" i="1"/>
  <c r="L13" i="1"/>
  <c r="L12" i="1"/>
  <c r="L11" i="1"/>
  <c r="L10" i="1"/>
  <c r="L9" i="1"/>
  <c r="L8" i="1"/>
  <c r="L7" i="1"/>
  <c r="L6" i="1"/>
  <c r="L5" i="1"/>
  <c r="I23" i="1"/>
  <c r="I22" i="1"/>
  <c r="I21" i="1"/>
  <c r="I20" i="1"/>
  <c r="I19" i="1"/>
  <c r="I18" i="1"/>
  <c r="I17" i="1"/>
  <c r="I16" i="1"/>
  <c r="I15" i="1"/>
  <c r="I14" i="1"/>
  <c r="I13" i="1"/>
  <c r="I12" i="1"/>
  <c r="I11" i="1"/>
  <c r="I10" i="1"/>
  <c r="I9" i="1"/>
  <c r="I8" i="1"/>
  <c r="I7" i="1"/>
  <c r="I6" i="1"/>
  <c r="I5" i="1"/>
  <c r="E24" i="1"/>
  <c r="D31" i="1" s="1"/>
  <c r="P18" i="1" l="1"/>
  <c r="R18" i="1" s="1"/>
  <c r="O14" i="1"/>
  <c r="P14" i="1" s="1"/>
  <c r="R14" i="1" s="1"/>
  <c r="P8" i="1"/>
  <c r="R8" i="1" s="1"/>
  <c r="P22" i="1"/>
  <c r="R22" i="1" s="1"/>
  <c r="O23" i="1"/>
  <c r="P23" i="1" s="1"/>
  <c r="R23" i="1" s="1"/>
  <c r="P20" i="1"/>
  <c r="R20" i="1" s="1"/>
  <c r="P5" i="1"/>
  <c r="R5" i="1" s="1"/>
  <c r="U32" i="1"/>
  <c r="C32" i="1"/>
  <c r="S32" i="1"/>
  <c r="R33" i="1"/>
  <c r="Q31" i="1"/>
  <c r="P39" i="1"/>
  <c r="Q39" i="1" s="1"/>
  <c r="R39" i="1" s="1"/>
  <c r="N4" i="1"/>
  <c r="P38" i="1"/>
  <c r="Q38" i="1" s="1"/>
  <c r="R38" i="1" s="1"/>
  <c r="P37" i="1"/>
  <c r="Q37" i="1" s="1"/>
  <c r="R37" i="1" s="1"/>
  <c r="R40" i="1" l="1"/>
  <c r="P40" i="1"/>
  <c r="S34" i="1"/>
  <c r="Q33" i="1" s="1"/>
  <c r="Q35" i="1" s="1"/>
  <c r="L4" i="1" l="1"/>
  <c r="I4" i="1" l="1"/>
  <c r="O4" i="1" l="1"/>
  <c r="P4" i="1" s="1"/>
  <c r="P24" i="1" s="1"/>
  <c r="R4" i="1" l="1"/>
  <c r="J33" i="1" l="1"/>
  <c r="J34" i="1" s="1"/>
  <c r="J35" i="1" l="1"/>
  <c r="G37" i="1" l="1"/>
  <c r="G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29" authorId="0" shapeId="0" xr:uid="{00000000-0006-0000-0200-00000100000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<sst xmlns="http://schemas.openxmlformats.org/spreadsheetml/2006/main" count="96" uniqueCount="64">
  <si>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</si>
  <si>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</si>
  <si>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</si>
  <si>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</si>
  <si>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</si>
  <si>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</si>
  <si>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</si>
  <si>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</si>
  <si>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</si>
  <si>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</si>
  <si>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</si>
  <si>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</si>
  <si>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</si>
  <si>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</si>
  <si>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</si>
  <si>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</si>
  <si>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r>
      <t>3.</t>
    </r>
    <r>
      <rPr>
        <i/>
        <sz val="10"/>
        <color theme="1"/>
        <rFont val="Calibri"/>
        <family val="2"/>
        <scheme val="minor"/>
      </rPr>
      <t xml:space="preserve"> The valuation is done by considering the depreciated replacement cost approach.</t>
    </r>
  </si>
  <si>
    <t>RV</t>
  </si>
  <si>
    <t>DV</t>
  </si>
  <si>
    <t>TOTAL FMV</t>
  </si>
  <si>
    <t>Unit</t>
  </si>
  <si>
    <t>ROUND OFF</t>
  </si>
  <si>
    <t>LAND</t>
  </si>
  <si>
    <t>BUILDING</t>
  </si>
  <si>
    <t>Land value</t>
  </si>
  <si>
    <t>Circle Rate</t>
  </si>
  <si>
    <t>total</t>
  </si>
  <si>
    <t>Building value</t>
  </si>
  <si>
    <r>
      <t xml:space="preserve">Built-up Area  Rate 
</t>
    </r>
    <r>
      <rPr>
        <b/>
        <i/>
        <sz val="10"/>
        <rFont val="Calibri"/>
        <family val="2"/>
        <scheme val="minor"/>
      </rPr>
      <t>(in per sq.ft)</t>
    </r>
  </si>
  <si>
    <t>Forging Shed</t>
  </si>
  <si>
    <t>Plating Plant</t>
  </si>
  <si>
    <t>Ground Floor</t>
  </si>
  <si>
    <t>Partition</t>
  </si>
  <si>
    <t>Diesel Dispensing Shed</t>
  </si>
  <si>
    <t>Office Room</t>
  </si>
  <si>
    <t>Staff Room</t>
  </si>
  <si>
    <t>Pantry</t>
  </si>
  <si>
    <t>Asbestos Shed</t>
  </si>
  <si>
    <t>Cooling Tower 2</t>
  </si>
  <si>
    <t>Cooling Tower 1</t>
  </si>
  <si>
    <t xml:space="preserve">ETP Plant </t>
  </si>
  <si>
    <t>STP Plant</t>
  </si>
  <si>
    <t>Security Room</t>
  </si>
  <si>
    <t>Fire Pump Room</t>
  </si>
  <si>
    <t>Guard Room</t>
  </si>
  <si>
    <t>Weigh Room</t>
  </si>
  <si>
    <t>Maintenance Panel Room</t>
  </si>
  <si>
    <t>Transformer/ D.G. Shed</t>
  </si>
  <si>
    <t>Staff Toilet</t>
  </si>
  <si>
    <t>Worker Toilet</t>
  </si>
  <si>
    <t>G+1</t>
  </si>
  <si>
    <t>GI Shed mounted on RCC Structure</t>
  </si>
  <si>
    <t>Fiber Shed mounted on RCC Structure</t>
  </si>
  <si>
    <t xml:space="preserve">Tin Shed mounted on Brick wall </t>
  </si>
  <si>
    <t>RCC Framed Structure</t>
  </si>
  <si>
    <t>Asbestos Shed mounted on Brick wall</t>
  </si>
  <si>
    <t>GI Shed mounted on brick wall</t>
  </si>
  <si>
    <t>Tin Shed</t>
  </si>
  <si>
    <t>BUILDING VALUATION OF M/S. SUPER SCREWS PVT. LTD.</t>
  </si>
  <si>
    <t>Note.</t>
  </si>
  <si>
    <r>
      <t xml:space="preserve">1. </t>
    </r>
    <r>
      <rPr>
        <b/>
        <i/>
        <sz val="10"/>
        <color theme="1"/>
        <rFont val="Calibri"/>
        <family val="2"/>
        <scheme val="minor"/>
      </rPr>
      <t>All the details pertaing to the building area statement such as area, floor, etc has been taken during site survey since no other relevant building area statement has been provided to us by the bank or client.</t>
    </r>
  </si>
  <si>
    <r>
      <t xml:space="preserve">2. </t>
    </r>
    <r>
      <rPr>
        <i/>
        <sz val="10"/>
        <color theme="1"/>
        <rFont val="Calibri"/>
        <family val="2"/>
        <scheme val="minor"/>
      </rPr>
      <t>All the structure that has been taken in the area statemnet belonging to M/s. Super Screws Pvt. Ltd.</t>
    </r>
  </si>
  <si>
    <t>Boundary</t>
  </si>
  <si>
    <t>Gross Replacement Value
(INR)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</si>
</sst>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 numFmtId="168" formatCode="_ [$₹-4009]\ * #,##0.00_ ;_ [$₹-4009]\ * \-#,##0.00_ ;_ [$₹-4009]\ * &quot;-&quot;??_ ;_ @_ "/>
    <numFmt numFmtId="169" formatCode="_ * #,##0.0000_ ;_ * \-#,##0.0000_ ;_ * &quot;-&quot;????_ ;_ @_ "/>
    <numFmt numFmtId="170" formatCode="_ * #,##0_ ;_ * \-#,##0_ ;_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2"/>
      <name val="Calibri"/>
      <family val="2"/>
      <scheme val="minor"/>
    </font>
    <font>
      <b/>
      <sz val="12"/>
      <color theme="1"/>
      <name val="Calibri"/>
      <family val="2"/>
      <scheme val="minor"/>
    </font>
    <font>
      <b/>
      <sz val="14"/>
      <color theme="1"/>
      <name val="Calibri"/>
      <family val="2"/>
      <scheme val="minor"/>
    </font>
    <font>
      <sz val="8"/>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164" fontId="0" fillId="0" borderId="1" xfId="3" applyNumberFormat="1" applyFont="1" applyBorder="1" applyAlignment="1">
      <alignment vertical="center"/>
    </xf>
    <xf numFmtId="164" fontId="2" fillId="0" borderId="1" xfId="3" applyNumberFormat="1" applyFont="1" applyBorder="1" applyAlignment="1">
      <alignment horizontal="left" vertical="center"/>
    </xf>
    <xf numFmtId="164" fontId="5" fillId="2" borderId="1" xfId="3" applyNumberFormat="1" applyFont="1" applyFill="1" applyBorder="1" applyAlignment="1">
      <alignment horizontal="left" vertical="center" wrapText="1"/>
    </xf>
    <xf numFmtId="164" fontId="0" fillId="0" borderId="0" xfId="3" applyNumberFormat="1" applyFont="1" applyAlignment="1">
      <alignment horizontal="left"/>
    </xf>
    <xf numFmtId="0" fontId="14" fillId="6" borderId="0" xfId="0" applyFont="1" applyFill="1" applyAlignment="1">
      <alignment horizontal="center"/>
    </xf>
    <xf numFmtId="0" fontId="15" fillId="6" borderId="0" xfId="0" applyFont="1" applyFill="1"/>
    <xf numFmtId="167" fontId="0" fillId="5" borderId="0" xfId="0" applyNumberFormat="1" applyFill="1" applyAlignment="1">
      <alignment horizontal="center"/>
    </xf>
    <xf numFmtId="168" fontId="2" fillId="0" borderId="0" xfId="0" applyNumberFormat="1" applyFont="1"/>
    <xf numFmtId="166" fontId="2" fillId="5" borderId="1" xfId="1" applyNumberFormat="1" applyFont="1" applyFill="1" applyBorder="1" applyAlignment="1">
      <alignment horizontal="center" vertical="center"/>
    </xf>
    <xf numFmtId="0" fontId="0" fillId="0" borderId="5" xfId="0" applyBorder="1" applyAlignment="1">
      <alignment horizontal="center" vertical="center" wrapText="1"/>
    </xf>
    <xf numFmtId="43" fontId="0" fillId="0" borderId="0" xfId="0" applyNumberFormat="1" applyAlignment="1">
      <alignment wrapText="1"/>
    </xf>
    <xf numFmtId="164" fontId="0" fillId="0" borderId="0" xfId="3" applyNumberFormat="1" applyFont="1" applyAlignment="1">
      <alignment wrapText="1"/>
    </xf>
    <xf numFmtId="0" fontId="16" fillId="6" borderId="0" xfId="0" applyFont="1" applyFill="1"/>
    <xf numFmtId="164" fontId="0" fillId="0" borderId="0" xfId="3" applyNumberFormat="1" applyFont="1" applyAlignment="1">
      <alignment horizont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64" fontId="0" fillId="0" borderId="0" xfId="3" applyNumberFormat="1" applyFont="1"/>
    <xf numFmtId="169" fontId="0" fillId="0" borderId="0" xfId="0" applyNumberFormat="1"/>
    <xf numFmtId="170" fontId="0" fillId="0" borderId="0" xfId="0" applyNumberFormat="1"/>
    <xf numFmtId="2" fontId="0" fillId="0" borderId="0" xfId="0" applyNumberFormat="1"/>
    <xf numFmtId="1" fontId="0" fillId="7" borderId="1" xfId="0" applyNumberFormat="1" applyFill="1" applyBorder="1" applyAlignment="1">
      <alignment horizontal="center" vertical="center"/>
    </xf>
    <xf numFmtId="0" fontId="0" fillId="7" borderId="1" xfId="0" applyFill="1" applyBorder="1" applyAlignment="1">
      <alignment horizontal="center" vertical="center"/>
    </xf>
    <xf numFmtId="9" fontId="0" fillId="7" borderId="1" xfId="0" applyNumberFormat="1" applyFill="1" applyBorder="1" applyAlignment="1">
      <alignment horizontal="center" vertical="center"/>
    </xf>
    <xf numFmtId="165" fontId="0" fillId="7" borderId="1" xfId="0" applyNumberFormat="1" applyFill="1" applyBorder="1" applyAlignment="1">
      <alignment horizontal="center" vertical="center"/>
    </xf>
    <xf numFmtId="166" fontId="0" fillId="7" borderId="1" xfId="1" applyNumberFormat="1" applyFont="1" applyFill="1" applyBorder="1" applyAlignment="1">
      <alignment horizontal="center" vertical="center"/>
    </xf>
    <xf numFmtId="0" fontId="0" fillId="7" borderId="1" xfId="0" applyFill="1" applyBorder="1" applyAlignment="1">
      <alignment horizontal="center" vertical="center" wrapText="1"/>
    </xf>
    <xf numFmtId="164" fontId="0" fillId="7" borderId="1" xfId="3" applyNumberFormat="1" applyFont="1" applyFill="1" applyBorder="1" applyAlignment="1">
      <alignment vertical="center"/>
    </xf>
    <xf numFmtId="166" fontId="7" fillId="7" borderId="1" xfId="1" applyNumberFormat="1"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49"/>
  <sheetViews>
    <sheetView tabSelected="1" topLeftCell="A22" zoomScale="80" zoomScaleNormal="80" zoomScaleSheetLayoutView="85" workbookViewId="0">
      <selection activeCell="G37" sqref="G37"/>
    </sheetView>
  </sheetViews>
  <sheetFormatPr defaultRowHeight="15" x14ac:dyDescent="0.25"/>
  <cols>
    <col min="1" max="1" width="6.42578125" customWidth="1"/>
    <col min="2" max="2" width="15.140625" bestFit="1" customWidth="1"/>
    <col min="3" max="3" width="15.42578125" style="17" customWidth="1"/>
    <col min="4" max="4" width="26.7109375" style="17" customWidth="1"/>
    <col min="5" max="5" width="9.85546875" style="29" bestFit="1" customWidth="1"/>
    <col min="6" max="6" width="7" customWidth="1"/>
    <col min="7" max="7" width="16" customWidth="1"/>
    <col min="8" max="8" width="10.28515625" customWidth="1"/>
    <col min="9" max="9" width="9.5703125" customWidth="1"/>
    <col min="10" max="10" width="15.28515625" bestFit="1" customWidth="1"/>
    <col min="11" max="11" width="7.7109375" customWidth="1"/>
    <col min="12" max="12" width="7.85546875" hidden="1" customWidth="1"/>
    <col min="13" max="13" width="14.140625" customWidth="1"/>
    <col min="14" max="14" width="17.85546875" customWidth="1"/>
    <col min="15" max="15" width="16.140625" customWidth="1"/>
    <col min="16" max="16" width="18.140625" hidden="1" customWidth="1"/>
    <col min="17" max="17" width="19.7109375" hidden="1" customWidth="1"/>
    <col min="18" max="18" width="18.28515625" style="20" customWidth="1"/>
    <col min="19" max="19" width="17" bestFit="1" customWidth="1"/>
    <col min="20" max="21" width="14.28515625" bestFit="1" customWidth="1"/>
  </cols>
  <sheetData>
    <row r="2" spans="1:21" ht="15.75" customHeight="1" x14ac:dyDescent="0.25">
      <c r="A2" s="58" t="s">
        <v>58</v>
      </c>
      <c r="B2" s="59"/>
      <c r="C2" s="59"/>
      <c r="D2" s="59"/>
      <c r="E2" s="59"/>
      <c r="F2" s="59"/>
      <c r="G2" s="59"/>
      <c r="H2" s="59"/>
      <c r="I2" s="59"/>
      <c r="J2" s="59"/>
      <c r="K2" s="59"/>
      <c r="L2" s="59"/>
      <c r="M2" s="59"/>
      <c r="N2" s="59"/>
      <c r="O2" s="59"/>
      <c r="P2" s="59"/>
      <c r="Q2" s="59"/>
      <c r="R2" s="60"/>
    </row>
    <row r="3" spans="1:21" s="15" customFormat="1" ht="60" x14ac:dyDescent="0.25">
      <c r="A3" s="13" t="s">
        <v>0</v>
      </c>
      <c r="B3" s="13" t="s">
        <v>20</v>
      </c>
      <c r="C3" s="13" t="s">
        <v>1</v>
      </c>
      <c r="D3" s="14" t="s">
        <v>4</v>
      </c>
      <c r="E3" s="28" t="s">
        <v>15</v>
      </c>
      <c r="F3" s="14" t="s">
        <v>12</v>
      </c>
      <c r="G3" s="14" t="s">
        <v>2</v>
      </c>
      <c r="H3" s="14" t="s">
        <v>3</v>
      </c>
      <c r="I3" s="14" t="s">
        <v>13</v>
      </c>
      <c r="J3" s="14" t="s">
        <v>14</v>
      </c>
      <c r="K3" s="14" t="s">
        <v>5</v>
      </c>
      <c r="L3" s="14" t="s">
        <v>7</v>
      </c>
      <c r="M3" s="14" t="s">
        <v>28</v>
      </c>
      <c r="N3" s="14" t="s">
        <v>63</v>
      </c>
      <c r="O3" s="14" t="s">
        <v>8</v>
      </c>
      <c r="P3" s="14" t="s">
        <v>9</v>
      </c>
      <c r="Q3" s="14" t="s">
        <v>11</v>
      </c>
      <c r="R3" s="14" t="s">
        <v>10</v>
      </c>
    </row>
    <row r="4" spans="1:21" ht="54" customHeight="1" x14ac:dyDescent="0.25">
      <c r="A4" s="2">
        <v>1</v>
      </c>
      <c r="B4" s="16" t="s">
        <v>29</v>
      </c>
      <c r="C4" s="16" t="s">
        <v>31</v>
      </c>
      <c r="D4" s="16" t="s">
        <v>51</v>
      </c>
      <c r="E4" s="26">
        <v>40347</v>
      </c>
      <c r="F4" s="10">
        <v>37</v>
      </c>
      <c r="G4" s="2">
        <v>2008</v>
      </c>
      <c r="H4" s="2">
        <v>2023</v>
      </c>
      <c r="I4" s="2">
        <f>H4-G4</f>
        <v>15</v>
      </c>
      <c r="J4" s="2">
        <v>50</v>
      </c>
      <c r="K4" s="3">
        <v>0.1</v>
      </c>
      <c r="L4" s="5">
        <f>(1-K4)/J4</f>
        <v>1.8000000000000002E-2</v>
      </c>
      <c r="M4" s="6">
        <v>1800</v>
      </c>
      <c r="N4" s="6">
        <f>M4*E4</f>
        <v>72624600</v>
      </c>
      <c r="O4" s="6">
        <f t="shared" ref="O4:O23" si="0">N4*L4*I4</f>
        <v>19608642</v>
      </c>
      <c r="P4" s="6">
        <f t="shared" ref="P4:P23" si="1">MAX(N4-O4,0)</f>
        <v>53015958</v>
      </c>
      <c r="Q4" s="11">
        <v>0</v>
      </c>
      <c r="R4" s="6">
        <f>P4</f>
        <v>53015958</v>
      </c>
      <c r="S4" s="12"/>
      <c r="T4" s="1"/>
      <c r="U4" s="1"/>
    </row>
    <row r="5" spans="1:21" ht="30" x14ac:dyDescent="0.25">
      <c r="A5" s="2">
        <v>2</v>
      </c>
      <c r="B5" s="16" t="s">
        <v>30</v>
      </c>
      <c r="C5" s="16" t="s">
        <v>31</v>
      </c>
      <c r="D5" s="16" t="s">
        <v>51</v>
      </c>
      <c r="E5" s="26">
        <v>40347</v>
      </c>
      <c r="F5" s="10">
        <v>37</v>
      </c>
      <c r="G5" s="2">
        <v>2008</v>
      </c>
      <c r="H5" s="2">
        <v>2023</v>
      </c>
      <c r="I5" s="2">
        <f t="shared" ref="I5:I23" si="2">H5-G5</f>
        <v>15</v>
      </c>
      <c r="J5" s="2">
        <v>50</v>
      </c>
      <c r="K5" s="3">
        <v>0.1</v>
      </c>
      <c r="L5" s="5">
        <f t="shared" ref="L5:L23" si="3">(1-K5)/J5</f>
        <v>1.8000000000000002E-2</v>
      </c>
      <c r="M5" s="6">
        <v>1800</v>
      </c>
      <c r="N5" s="6">
        <f t="shared" ref="N5:N23" si="4">M5*E5</f>
        <v>72624600</v>
      </c>
      <c r="O5" s="6">
        <f t="shared" si="0"/>
        <v>19608642</v>
      </c>
      <c r="P5" s="6">
        <f t="shared" si="1"/>
        <v>53015958</v>
      </c>
      <c r="Q5" s="11"/>
      <c r="R5" s="6">
        <f t="shared" ref="R5:R23" si="5">P5</f>
        <v>53015958</v>
      </c>
      <c r="S5" s="12"/>
      <c r="T5" s="1"/>
      <c r="U5" s="1"/>
    </row>
    <row r="6" spans="1:21" ht="30" x14ac:dyDescent="0.25">
      <c r="A6" s="2">
        <v>3</v>
      </c>
      <c r="B6" s="16" t="s">
        <v>32</v>
      </c>
      <c r="C6" s="16" t="s">
        <v>31</v>
      </c>
      <c r="D6" s="52" t="s">
        <v>52</v>
      </c>
      <c r="E6" s="53">
        <v>8744</v>
      </c>
      <c r="F6" s="47">
        <v>33</v>
      </c>
      <c r="G6" s="48">
        <v>2008</v>
      </c>
      <c r="H6" s="48">
        <v>2023</v>
      </c>
      <c r="I6" s="48">
        <f t="shared" si="2"/>
        <v>15</v>
      </c>
      <c r="J6" s="48">
        <v>40</v>
      </c>
      <c r="K6" s="49">
        <v>0.1</v>
      </c>
      <c r="L6" s="50">
        <f t="shared" si="3"/>
        <v>2.2499999999999999E-2</v>
      </c>
      <c r="M6" s="51">
        <v>250</v>
      </c>
      <c r="N6" s="6">
        <f t="shared" si="4"/>
        <v>2186000</v>
      </c>
      <c r="O6" s="6">
        <f t="shared" si="0"/>
        <v>737775</v>
      </c>
      <c r="P6" s="6">
        <f t="shared" si="1"/>
        <v>1448225</v>
      </c>
      <c r="Q6" s="11"/>
      <c r="R6" s="6">
        <f t="shared" si="5"/>
        <v>1448225</v>
      </c>
      <c r="S6" s="12"/>
      <c r="T6" s="1"/>
      <c r="U6" s="1"/>
    </row>
    <row r="7" spans="1:21" ht="45" x14ac:dyDescent="0.25">
      <c r="A7" s="2">
        <v>4</v>
      </c>
      <c r="B7" s="16" t="s">
        <v>33</v>
      </c>
      <c r="C7" s="16" t="s">
        <v>31</v>
      </c>
      <c r="D7" s="16" t="s">
        <v>53</v>
      </c>
      <c r="E7" s="26">
        <v>260</v>
      </c>
      <c r="F7" s="47">
        <v>16</v>
      </c>
      <c r="G7" s="48">
        <v>2008</v>
      </c>
      <c r="H7" s="48">
        <v>2023</v>
      </c>
      <c r="I7" s="48">
        <f t="shared" si="2"/>
        <v>15</v>
      </c>
      <c r="J7" s="48">
        <v>40</v>
      </c>
      <c r="K7" s="49">
        <v>0.1</v>
      </c>
      <c r="L7" s="50">
        <f t="shared" si="3"/>
        <v>2.2499999999999999E-2</v>
      </c>
      <c r="M7" s="51">
        <v>800</v>
      </c>
      <c r="N7" s="6">
        <f t="shared" si="4"/>
        <v>208000</v>
      </c>
      <c r="O7" s="6">
        <f t="shared" si="0"/>
        <v>70200</v>
      </c>
      <c r="P7" s="6">
        <f t="shared" si="1"/>
        <v>137800</v>
      </c>
      <c r="Q7" s="11"/>
      <c r="R7" s="6">
        <f t="shared" si="5"/>
        <v>137800</v>
      </c>
      <c r="S7" s="12"/>
      <c r="T7" s="1"/>
      <c r="U7" s="1"/>
    </row>
    <row r="8" spans="1:21" ht="30" x14ac:dyDescent="0.25">
      <c r="A8" s="2">
        <v>5</v>
      </c>
      <c r="B8" s="35" t="s">
        <v>47</v>
      </c>
      <c r="C8" s="16" t="s">
        <v>31</v>
      </c>
      <c r="D8" s="16" t="s">
        <v>53</v>
      </c>
      <c r="E8" s="26">
        <v>3675</v>
      </c>
      <c r="F8" s="47">
        <v>13</v>
      </c>
      <c r="G8" s="48">
        <v>2008</v>
      </c>
      <c r="H8" s="48">
        <v>2023</v>
      </c>
      <c r="I8" s="48">
        <f t="shared" si="2"/>
        <v>15</v>
      </c>
      <c r="J8" s="48">
        <v>40</v>
      </c>
      <c r="K8" s="49">
        <v>0.1</v>
      </c>
      <c r="L8" s="50">
        <f t="shared" si="3"/>
        <v>2.2499999999999999E-2</v>
      </c>
      <c r="M8" s="51">
        <v>700</v>
      </c>
      <c r="N8" s="6">
        <f t="shared" si="4"/>
        <v>2572500</v>
      </c>
      <c r="O8" s="6">
        <f t="shared" si="0"/>
        <v>868218.75</v>
      </c>
      <c r="P8" s="6">
        <f t="shared" si="1"/>
        <v>1704281.25</v>
      </c>
      <c r="Q8" s="11"/>
      <c r="R8" s="6">
        <f t="shared" si="5"/>
        <v>1704281.25</v>
      </c>
      <c r="S8" s="12"/>
      <c r="T8" s="1"/>
      <c r="U8" s="1"/>
    </row>
    <row r="9" spans="1:21" ht="30" x14ac:dyDescent="0.25">
      <c r="A9" s="2">
        <v>6</v>
      </c>
      <c r="B9" s="16" t="s">
        <v>46</v>
      </c>
      <c r="C9" s="16" t="s">
        <v>31</v>
      </c>
      <c r="D9" s="16" t="s">
        <v>53</v>
      </c>
      <c r="E9" s="26">
        <v>1900</v>
      </c>
      <c r="F9" s="47">
        <v>15</v>
      </c>
      <c r="G9" s="48">
        <v>2008</v>
      </c>
      <c r="H9" s="48">
        <v>2023</v>
      </c>
      <c r="I9" s="48">
        <f t="shared" si="2"/>
        <v>15</v>
      </c>
      <c r="J9" s="48">
        <v>40</v>
      </c>
      <c r="K9" s="49">
        <v>0.1</v>
      </c>
      <c r="L9" s="50">
        <f t="shared" si="3"/>
        <v>2.2499999999999999E-2</v>
      </c>
      <c r="M9" s="51">
        <v>800</v>
      </c>
      <c r="N9" s="6">
        <f t="shared" si="4"/>
        <v>1520000</v>
      </c>
      <c r="O9" s="6">
        <f t="shared" si="0"/>
        <v>513000</v>
      </c>
      <c r="P9" s="6">
        <f t="shared" si="1"/>
        <v>1007000</v>
      </c>
      <c r="Q9" s="11"/>
      <c r="R9" s="6">
        <f t="shared" si="5"/>
        <v>1007000</v>
      </c>
      <c r="S9" s="12"/>
      <c r="T9" s="1"/>
      <c r="U9" s="1"/>
    </row>
    <row r="10" spans="1:21" ht="30" x14ac:dyDescent="0.25">
      <c r="A10" s="2">
        <v>7</v>
      </c>
      <c r="B10" s="16" t="s">
        <v>34</v>
      </c>
      <c r="C10" s="16" t="s">
        <v>31</v>
      </c>
      <c r="D10" s="16" t="s">
        <v>53</v>
      </c>
      <c r="E10" s="26">
        <v>900</v>
      </c>
      <c r="F10" s="47">
        <v>9</v>
      </c>
      <c r="G10" s="48">
        <v>2008</v>
      </c>
      <c r="H10" s="48">
        <v>2023</v>
      </c>
      <c r="I10" s="48">
        <f t="shared" si="2"/>
        <v>15</v>
      </c>
      <c r="J10" s="48">
        <v>40</v>
      </c>
      <c r="K10" s="49">
        <v>0.1</v>
      </c>
      <c r="L10" s="50">
        <f t="shared" si="3"/>
        <v>2.2499999999999999E-2</v>
      </c>
      <c r="M10" s="51">
        <v>800</v>
      </c>
      <c r="N10" s="6">
        <f t="shared" si="4"/>
        <v>720000</v>
      </c>
      <c r="O10" s="6">
        <f t="shared" si="0"/>
        <v>243000</v>
      </c>
      <c r="P10" s="6">
        <f t="shared" si="1"/>
        <v>477000</v>
      </c>
      <c r="Q10" s="11"/>
      <c r="R10" s="6">
        <f t="shared" si="5"/>
        <v>477000</v>
      </c>
      <c r="S10" s="12"/>
      <c r="T10" s="1"/>
      <c r="U10" s="1"/>
    </row>
    <row r="11" spans="1:21" ht="30" x14ac:dyDescent="0.25">
      <c r="A11" s="2">
        <v>8</v>
      </c>
      <c r="B11" s="16" t="s">
        <v>35</v>
      </c>
      <c r="C11" s="16" t="s">
        <v>31</v>
      </c>
      <c r="D11" s="16" t="s">
        <v>53</v>
      </c>
      <c r="E11" s="26">
        <v>1300</v>
      </c>
      <c r="F11" s="47">
        <v>9</v>
      </c>
      <c r="G11" s="48">
        <v>2008</v>
      </c>
      <c r="H11" s="48">
        <v>2023</v>
      </c>
      <c r="I11" s="48">
        <f t="shared" si="2"/>
        <v>15</v>
      </c>
      <c r="J11" s="48">
        <v>40</v>
      </c>
      <c r="K11" s="49">
        <v>0.1</v>
      </c>
      <c r="L11" s="50">
        <f t="shared" si="3"/>
        <v>2.2499999999999999E-2</v>
      </c>
      <c r="M11" s="51">
        <v>700</v>
      </c>
      <c r="N11" s="6">
        <f t="shared" si="4"/>
        <v>910000</v>
      </c>
      <c r="O11" s="6">
        <f t="shared" si="0"/>
        <v>307125</v>
      </c>
      <c r="P11" s="6">
        <f t="shared" si="1"/>
        <v>602875</v>
      </c>
      <c r="Q11" s="11"/>
      <c r="R11" s="6">
        <f t="shared" si="5"/>
        <v>602875</v>
      </c>
      <c r="S11" s="12"/>
      <c r="T11" s="1"/>
      <c r="U11" s="1"/>
    </row>
    <row r="12" spans="1:21" ht="30" x14ac:dyDescent="0.25">
      <c r="A12" s="2">
        <v>9</v>
      </c>
      <c r="B12" s="16" t="s">
        <v>36</v>
      </c>
      <c r="C12" s="16" t="s">
        <v>31</v>
      </c>
      <c r="D12" s="16" t="s">
        <v>53</v>
      </c>
      <c r="E12" s="26">
        <v>150</v>
      </c>
      <c r="F12" s="10">
        <v>9</v>
      </c>
      <c r="G12" s="2">
        <v>2008</v>
      </c>
      <c r="H12" s="2">
        <v>2023</v>
      </c>
      <c r="I12" s="2">
        <f t="shared" si="2"/>
        <v>15</v>
      </c>
      <c r="J12" s="2">
        <v>40</v>
      </c>
      <c r="K12" s="3">
        <v>0.1</v>
      </c>
      <c r="L12" s="5">
        <f t="shared" si="3"/>
        <v>2.2499999999999999E-2</v>
      </c>
      <c r="M12" s="6">
        <v>700</v>
      </c>
      <c r="N12" s="6">
        <f t="shared" si="4"/>
        <v>105000</v>
      </c>
      <c r="O12" s="6">
        <f t="shared" si="0"/>
        <v>35437.5</v>
      </c>
      <c r="P12" s="6">
        <f t="shared" si="1"/>
        <v>69562.5</v>
      </c>
      <c r="Q12" s="11"/>
      <c r="R12" s="6">
        <f t="shared" si="5"/>
        <v>69562.5</v>
      </c>
      <c r="S12" s="12"/>
      <c r="T12" s="1"/>
      <c r="U12" s="1"/>
    </row>
    <row r="13" spans="1:21" ht="19.5" customHeight="1" x14ac:dyDescent="0.25">
      <c r="A13" s="2"/>
      <c r="B13" s="16" t="s">
        <v>48</v>
      </c>
      <c r="C13" s="16" t="s">
        <v>31</v>
      </c>
      <c r="D13" s="16" t="s">
        <v>54</v>
      </c>
      <c r="E13" s="26">
        <v>100</v>
      </c>
      <c r="F13" s="10">
        <v>9</v>
      </c>
      <c r="G13" s="2">
        <v>2008</v>
      </c>
      <c r="H13" s="2">
        <v>2023</v>
      </c>
      <c r="I13" s="2">
        <f t="shared" si="2"/>
        <v>15</v>
      </c>
      <c r="J13" s="2">
        <v>60</v>
      </c>
      <c r="K13" s="3">
        <v>0.1</v>
      </c>
      <c r="L13" s="5">
        <f t="shared" si="3"/>
        <v>1.5000000000000001E-2</v>
      </c>
      <c r="M13" s="54">
        <v>1500</v>
      </c>
      <c r="N13" s="6">
        <f t="shared" si="4"/>
        <v>150000</v>
      </c>
      <c r="O13" s="6">
        <f t="shared" si="0"/>
        <v>33750</v>
      </c>
      <c r="P13" s="6">
        <f t="shared" si="1"/>
        <v>116250</v>
      </c>
      <c r="Q13" s="11"/>
      <c r="R13" s="6">
        <f t="shared" si="5"/>
        <v>116250</v>
      </c>
      <c r="S13" s="12"/>
      <c r="T13" s="1"/>
      <c r="U13" s="1"/>
    </row>
    <row r="14" spans="1:21" ht="30" x14ac:dyDescent="0.25">
      <c r="A14" s="2">
        <v>10</v>
      </c>
      <c r="B14" s="16" t="s">
        <v>49</v>
      </c>
      <c r="C14" s="16" t="s">
        <v>31</v>
      </c>
      <c r="D14" s="16" t="s">
        <v>53</v>
      </c>
      <c r="E14" s="26">
        <v>220</v>
      </c>
      <c r="F14" s="47">
        <v>9</v>
      </c>
      <c r="G14" s="48">
        <v>2008</v>
      </c>
      <c r="H14" s="48">
        <v>2023</v>
      </c>
      <c r="I14" s="48">
        <f t="shared" si="2"/>
        <v>15</v>
      </c>
      <c r="J14" s="48">
        <v>40</v>
      </c>
      <c r="K14" s="49">
        <v>0.1</v>
      </c>
      <c r="L14" s="50">
        <f t="shared" si="3"/>
        <v>2.2499999999999999E-2</v>
      </c>
      <c r="M14" s="51">
        <v>750</v>
      </c>
      <c r="N14" s="6">
        <f t="shared" si="4"/>
        <v>165000</v>
      </c>
      <c r="O14" s="6">
        <f t="shared" si="0"/>
        <v>55687.5</v>
      </c>
      <c r="P14" s="6">
        <f t="shared" si="1"/>
        <v>109312.5</v>
      </c>
      <c r="Q14" s="11"/>
      <c r="R14" s="6">
        <f t="shared" si="5"/>
        <v>109312.5</v>
      </c>
      <c r="S14" s="12"/>
      <c r="T14" s="1"/>
      <c r="U14" s="1"/>
    </row>
    <row r="15" spans="1:21" ht="30" x14ac:dyDescent="0.25">
      <c r="A15" s="2">
        <v>11</v>
      </c>
      <c r="B15" s="16" t="s">
        <v>37</v>
      </c>
      <c r="C15" s="16" t="s">
        <v>31</v>
      </c>
      <c r="D15" s="16" t="s">
        <v>55</v>
      </c>
      <c r="E15" s="26">
        <v>1000</v>
      </c>
      <c r="F15" s="10">
        <v>20</v>
      </c>
      <c r="G15" s="2">
        <v>2008</v>
      </c>
      <c r="H15" s="2">
        <v>2023</v>
      </c>
      <c r="I15" s="2">
        <f t="shared" si="2"/>
        <v>15</v>
      </c>
      <c r="J15" s="2">
        <v>35</v>
      </c>
      <c r="K15" s="3">
        <v>0.1</v>
      </c>
      <c r="L15" s="5">
        <f t="shared" si="3"/>
        <v>2.5714285714285714E-2</v>
      </c>
      <c r="M15" s="6">
        <v>800</v>
      </c>
      <c r="N15" s="6">
        <f t="shared" si="4"/>
        <v>800000</v>
      </c>
      <c r="O15" s="6">
        <f t="shared" si="0"/>
        <v>308571.42857142858</v>
      </c>
      <c r="P15" s="6">
        <f t="shared" si="1"/>
        <v>491428.57142857142</v>
      </c>
      <c r="Q15" s="11"/>
      <c r="R15" s="6">
        <f t="shared" si="5"/>
        <v>491428.57142857142</v>
      </c>
      <c r="S15" s="12"/>
      <c r="T15" s="1"/>
      <c r="U15" s="1"/>
    </row>
    <row r="16" spans="1:21" ht="30" x14ac:dyDescent="0.25">
      <c r="A16" s="2">
        <v>12</v>
      </c>
      <c r="B16" s="16" t="s">
        <v>39</v>
      </c>
      <c r="C16" s="16" t="s">
        <v>50</v>
      </c>
      <c r="D16" s="16" t="s">
        <v>54</v>
      </c>
      <c r="E16" s="26">
        <v>300</v>
      </c>
      <c r="F16" s="10">
        <v>10</v>
      </c>
      <c r="G16" s="2">
        <v>2008</v>
      </c>
      <c r="H16" s="2">
        <v>2023</v>
      </c>
      <c r="I16" s="2">
        <f t="shared" si="2"/>
        <v>15</v>
      </c>
      <c r="J16" s="2">
        <v>60</v>
      </c>
      <c r="K16" s="3">
        <v>0.1</v>
      </c>
      <c r="L16" s="5">
        <f t="shared" si="3"/>
        <v>1.5000000000000001E-2</v>
      </c>
      <c r="M16" s="6">
        <v>1500</v>
      </c>
      <c r="N16" s="6">
        <f t="shared" si="4"/>
        <v>450000</v>
      </c>
      <c r="O16" s="6">
        <f t="shared" si="0"/>
        <v>101250.00000000001</v>
      </c>
      <c r="P16" s="6">
        <f t="shared" si="1"/>
        <v>348750</v>
      </c>
      <c r="Q16" s="11"/>
      <c r="R16" s="6">
        <f t="shared" si="5"/>
        <v>348750</v>
      </c>
      <c r="S16" s="12"/>
      <c r="T16" s="1"/>
      <c r="U16" s="1"/>
    </row>
    <row r="17" spans="1:21" ht="30" x14ac:dyDescent="0.25">
      <c r="A17" s="2">
        <v>13</v>
      </c>
      <c r="B17" s="16" t="s">
        <v>38</v>
      </c>
      <c r="C17" s="16" t="s">
        <v>50</v>
      </c>
      <c r="D17" s="16" t="s">
        <v>54</v>
      </c>
      <c r="E17" s="26">
        <v>300</v>
      </c>
      <c r="F17" s="10">
        <v>10</v>
      </c>
      <c r="G17" s="2">
        <v>2008</v>
      </c>
      <c r="H17" s="2">
        <v>2023</v>
      </c>
      <c r="I17" s="2">
        <f t="shared" si="2"/>
        <v>15</v>
      </c>
      <c r="J17" s="2">
        <v>60</v>
      </c>
      <c r="K17" s="3">
        <v>0.1</v>
      </c>
      <c r="L17" s="5">
        <f t="shared" si="3"/>
        <v>1.5000000000000001E-2</v>
      </c>
      <c r="M17" s="6">
        <v>1500</v>
      </c>
      <c r="N17" s="6">
        <f t="shared" si="4"/>
        <v>450000</v>
      </c>
      <c r="O17" s="6">
        <f t="shared" si="0"/>
        <v>101250.00000000001</v>
      </c>
      <c r="P17" s="6">
        <f t="shared" si="1"/>
        <v>348750</v>
      </c>
      <c r="Q17" s="11"/>
      <c r="R17" s="6">
        <f t="shared" si="5"/>
        <v>348750</v>
      </c>
      <c r="S17" s="12"/>
      <c r="T17" s="1"/>
      <c r="U17" s="1"/>
    </row>
    <row r="18" spans="1:21" ht="30" x14ac:dyDescent="0.25">
      <c r="A18" s="2">
        <v>14</v>
      </c>
      <c r="B18" s="16" t="s">
        <v>40</v>
      </c>
      <c r="C18" s="16" t="s">
        <v>31</v>
      </c>
      <c r="D18" s="16" t="s">
        <v>56</v>
      </c>
      <c r="E18" s="26">
        <v>9150</v>
      </c>
      <c r="F18" s="10">
        <v>30</v>
      </c>
      <c r="G18" s="48">
        <v>2020</v>
      </c>
      <c r="H18" s="48">
        <v>2023</v>
      </c>
      <c r="I18" s="48">
        <f t="shared" si="2"/>
        <v>3</v>
      </c>
      <c r="J18" s="48">
        <v>45</v>
      </c>
      <c r="K18" s="49">
        <v>0.1</v>
      </c>
      <c r="L18" s="50">
        <f t="shared" si="3"/>
        <v>0.02</v>
      </c>
      <c r="M18" s="51">
        <v>1400</v>
      </c>
      <c r="N18" s="6">
        <f t="shared" si="4"/>
        <v>12810000</v>
      </c>
      <c r="O18" s="6">
        <f t="shared" si="0"/>
        <v>768600</v>
      </c>
      <c r="P18" s="6">
        <f t="shared" si="1"/>
        <v>12041400</v>
      </c>
      <c r="Q18" s="11"/>
      <c r="R18" s="6">
        <f t="shared" si="5"/>
        <v>12041400</v>
      </c>
      <c r="S18" s="12"/>
      <c r="T18" s="1"/>
      <c r="U18" s="1"/>
    </row>
    <row r="19" spans="1:21" ht="30" x14ac:dyDescent="0.25">
      <c r="A19" s="2">
        <v>15</v>
      </c>
      <c r="B19" s="16" t="s">
        <v>41</v>
      </c>
      <c r="C19" s="16" t="s">
        <v>31</v>
      </c>
      <c r="D19" s="16" t="s">
        <v>56</v>
      </c>
      <c r="E19" s="26">
        <v>2000</v>
      </c>
      <c r="F19" s="10">
        <v>23</v>
      </c>
      <c r="G19" s="48">
        <v>2020</v>
      </c>
      <c r="H19" s="48">
        <v>2023</v>
      </c>
      <c r="I19" s="48">
        <f t="shared" si="2"/>
        <v>3</v>
      </c>
      <c r="J19" s="48">
        <v>45</v>
      </c>
      <c r="K19" s="49">
        <v>0.1</v>
      </c>
      <c r="L19" s="50">
        <f t="shared" si="3"/>
        <v>0.02</v>
      </c>
      <c r="M19" s="51">
        <v>1200</v>
      </c>
      <c r="N19" s="6">
        <f t="shared" si="4"/>
        <v>2400000</v>
      </c>
      <c r="O19" s="6">
        <f t="shared" si="0"/>
        <v>144000</v>
      </c>
      <c r="P19" s="6">
        <f t="shared" si="1"/>
        <v>2256000</v>
      </c>
      <c r="Q19" s="11"/>
      <c r="R19" s="6">
        <f t="shared" si="5"/>
        <v>2256000</v>
      </c>
      <c r="S19" s="12"/>
      <c r="T19" s="1"/>
      <c r="U19" s="1"/>
    </row>
    <row r="20" spans="1:21" x14ac:dyDescent="0.25">
      <c r="A20" s="2">
        <v>16</v>
      </c>
      <c r="B20" s="16" t="s">
        <v>42</v>
      </c>
      <c r="C20" s="16" t="s">
        <v>31</v>
      </c>
      <c r="D20" s="16" t="s">
        <v>54</v>
      </c>
      <c r="E20" s="26">
        <v>1000</v>
      </c>
      <c r="F20" s="10">
        <v>10</v>
      </c>
      <c r="G20" s="48">
        <v>2008</v>
      </c>
      <c r="H20" s="48">
        <v>2023</v>
      </c>
      <c r="I20" s="48">
        <f t="shared" si="2"/>
        <v>15</v>
      </c>
      <c r="J20" s="48">
        <v>60</v>
      </c>
      <c r="K20" s="49">
        <v>0.1</v>
      </c>
      <c r="L20" s="50">
        <f t="shared" si="3"/>
        <v>1.5000000000000001E-2</v>
      </c>
      <c r="M20" s="51">
        <v>1400</v>
      </c>
      <c r="N20" s="6">
        <f t="shared" si="4"/>
        <v>1400000</v>
      </c>
      <c r="O20" s="6">
        <f t="shared" si="0"/>
        <v>315000</v>
      </c>
      <c r="P20" s="6">
        <f t="shared" si="1"/>
        <v>1085000</v>
      </c>
      <c r="Q20" s="11"/>
      <c r="R20" s="6">
        <f t="shared" si="5"/>
        <v>1085000</v>
      </c>
      <c r="S20" s="12"/>
      <c r="T20" s="1"/>
      <c r="U20" s="1"/>
    </row>
    <row r="21" spans="1:21" ht="30" x14ac:dyDescent="0.25">
      <c r="A21" s="2">
        <v>17</v>
      </c>
      <c r="B21" s="16" t="s">
        <v>43</v>
      </c>
      <c r="C21" s="16" t="s">
        <v>31</v>
      </c>
      <c r="D21" s="16" t="s">
        <v>57</v>
      </c>
      <c r="E21" s="26">
        <v>450</v>
      </c>
      <c r="F21" s="47">
        <v>13</v>
      </c>
      <c r="G21" s="48">
        <v>2008</v>
      </c>
      <c r="H21" s="48">
        <v>2023</v>
      </c>
      <c r="I21" s="48">
        <f t="shared" si="2"/>
        <v>15</v>
      </c>
      <c r="J21" s="48">
        <v>40</v>
      </c>
      <c r="K21" s="49">
        <v>0.1</v>
      </c>
      <c r="L21" s="50">
        <f t="shared" si="3"/>
        <v>2.2499999999999999E-2</v>
      </c>
      <c r="M21" s="51">
        <v>600</v>
      </c>
      <c r="N21" s="6">
        <f t="shared" si="4"/>
        <v>270000</v>
      </c>
      <c r="O21" s="6">
        <f t="shared" si="0"/>
        <v>91125</v>
      </c>
      <c r="P21" s="6">
        <f t="shared" si="1"/>
        <v>178875</v>
      </c>
      <c r="Q21" s="11"/>
      <c r="R21" s="6">
        <f t="shared" si="5"/>
        <v>178875</v>
      </c>
      <c r="S21" s="12"/>
      <c r="T21" s="1"/>
      <c r="U21" s="1"/>
    </row>
    <row r="22" spans="1:21" x14ac:dyDescent="0.25">
      <c r="A22" s="2">
        <v>18</v>
      </c>
      <c r="B22" s="16" t="s">
        <v>44</v>
      </c>
      <c r="C22" s="16" t="s">
        <v>31</v>
      </c>
      <c r="D22" s="16" t="s">
        <v>54</v>
      </c>
      <c r="E22" s="26">
        <v>40</v>
      </c>
      <c r="F22" s="10">
        <v>8</v>
      </c>
      <c r="G22" s="2">
        <v>2008</v>
      </c>
      <c r="H22" s="2">
        <v>2023</v>
      </c>
      <c r="I22" s="2">
        <f t="shared" si="2"/>
        <v>15</v>
      </c>
      <c r="J22" s="2">
        <v>60</v>
      </c>
      <c r="K22" s="3">
        <v>0.1</v>
      </c>
      <c r="L22" s="5">
        <f t="shared" si="3"/>
        <v>1.5000000000000001E-2</v>
      </c>
      <c r="M22" s="6">
        <v>1300</v>
      </c>
      <c r="N22" s="6">
        <f t="shared" si="4"/>
        <v>52000</v>
      </c>
      <c r="O22" s="6">
        <f t="shared" si="0"/>
        <v>11700.000000000002</v>
      </c>
      <c r="P22" s="6">
        <f t="shared" si="1"/>
        <v>40300</v>
      </c>
      <c r="Q22" s="11"/>
      <c r="R22" s="6">
        <f t="shared" si="5"/>
        <v>40300</v>
      </c>
      <c r="S22" s="12"/>
      <c r="T22" s="1"/>
      <c r="U22" s="1"/>
    </row>
    <row r="23" spans="1:21" x14ac:dyDescent="0.25">
      <c r="A23" s="2">
        <v>19</v>
      </c>
      <c r="B23" s="16" t="s">
        <v>45</v>
      </c>
      <c r="C23" s="16" t="s">
        <v>31</v>
      </c>
      <c r="D23" s="16" t="s">
        <v>54</v>
      </c>
      <c r="E23" s="26">
        <v>20</v>
      </c>
      <c r="F23" s="10">
        <v>8</v>
      </c>
      <c r="G23" s="2">
        <v>2008</v>
      </c>
      <c r="H23" s="2">
        <v>2023</v>
      </c>
      <c r="I23" s="2">
        <f t="shared" si="2"/>
        <v>15</v>
      </c>
      <c r="J23" s="2">
        <v>60</v>
      </c>
      <c r="K23" s="3">
        <v>0.1</v>
      </c>
      <c r="L23" s="5">
        <f t="shared" si="3"/>
        <v>1.5000000000000001E-2</v>
      </c>
      <c r="M23" s="6">
        <v>1300</v>
      </c>
      <c r="N23" s="6">
        <f t="shared" si="4"/>
        <v>26000</v>
      </c>
      <c r="O23" s="6">
        <f t="shared" si="0"/>
        <v>5850.0000000000009</v>
      </c>
      <c r="P23" s="6">
        <f t="shared" si="1"/>
        <v>20150</v>
      </c>
      <c r="Q23" s="11"/>
      <c r="R23" s="6">
        <f t="shared" si="5"/>
        <v>20150</v>
      </c>
      <c r="S23" s="12"/>
      <c r="T23" s="1"/>
      <c r="U23" s="1"/>
    </row>
    <row r="24" spans="1:21" ht="21" customHeight="1" x14ac:dyDescent="0.25">
      <c r="A24" s="40" t="s">
        <v>6</v>
      </c>
      <c r="B24" s="41"/>
      <c r="C24" s="41"/>
      <c r="D24" s="42"/>
      <c r="E24" s="27">
        <f>SUM(E4:E23)</f>
        <v>112203</v>
      </c>
      <c r="F24" s="9"/>
      <c r="G24" s="40"/>
      <c r="H24" s="41"/>
      <c r="I24" s="41"/>
      <c r="J24" s="41"/>
      <c r="K24" s="41"/>
      <c r="L24" s="41"/>
      <c r="M24" s="42"/>
      <c r="N24" s="7">
        <f>SUM(N4:N23)</f>
        <v>172443700</v>
      </c>
      <c r="O24" s="7">
        <f>SUM(O4:O23)</f>
        <v>43928824.178571425</v>
      </c>
      <c r="P24" s="7">
        <f>SUM(P4:P23)</f>
        <v>128514875.82142857</v>
      </c>
      <c r="Q24" s="7"/>
      <c r="R24" s="7">
        <f>SUM(R4:R23)</f>
        <v>128514875.82142857</v>
      </c>
      <c r="S24" s="12"/>
    </row>
    <row r="25" spans="1:21" x14ac:dyDescent="0.25">
      <c r="A25" s="64" t="s">
        <v>59</v>
      </c>
      <c r="B25" s="65"/>
      <c r="C25" s="65"/>
      <c r="D25" s="65"/>
      <c r="E25" s="65"/>
      <c r="F25" s="65"/>
      <c r="G25" s="65"/>
      <c r="H25" s="65"/>
      <c r="I25" s="65"/>
      <c r="J25" s="65"/>
      <c r="K25" s="65"/>
      <c r="L25" s="65"/>
      <c r="M25" s="65"/>
      <c r="N25" s="65"/>
      <c r="O25" s="65"/>
      <c r="P25" s="65"/>
      <c r="Q25" s="65"/>
      <c r="R25" s="66"/>
      <c r="S25" s="12"/>
    </row>
    <row r="26" spans="1:21" x14ac:dyDescent="0.25">
      <c r="A26" s="61" t="s">
        <v>60</v>
      </c>
      <c r="B26" s="62"/>
      <c r="C26" s="62"/>
      <c r="D26" s="62"/>
      <c r="E26" s="62"/>
      <c r="F26" s="62"/>
      <c r="G26" s="62"/>
      <c r="H26" s="62"/>
      <c r="I26" s="62"/>
      <c r="J26" s="62"/>
      <c r="K26" s="62"/>
      <c r="L26" s="62"/>
      <c r="M26" s="62"/>
      <c r="N26" s="62"/>
      <c r="O26" s="62"/>
      <c r="P26" s="62"/>
      <c r="Q26" s="62"/>
      <c r="R26" s="63"/>
      <c r="S26" s="12"/>
    </row>
    <row r="27" spans="1:21" ht="15" customHeight="1" x14ac:dyDescent="0.25">
      <c r="A27" s="61" t="s">
        <v>61</v>
      </c>
      <c r="B27" s="62"/>
      <c r="C27" s="62"/>
      <c r="D27" s="62"/>
      <c r="E27" s="62"/>
      <c r="F27" s="62"/>
      <c r="G27" s="62"/>
      <c r="H27" s="62"/>
      <c r="I27" s="62"/>
      <c r="J27" s="62"/>
      <c r="K27" s="62"/>
      <c r="L27" s="62"/>
      <c r="M27" s="62"/>
      <c r="N27" s="62"/>
      <c r="O27" s="62"/>
      <c r="P27" s="62"/>
      <c r="Q27" s="62"/>
      <c r="R27" s="63"/>
      <c r="S27" s="12"/>
    </row>
    <row r="28" spans="1:21" x14ac:dyDescent="0.25">
      <c r="A28" s="55" t="s">
        <v>16</v>
      </c>
      <c r="B28" s="56"/>
      <c r="C28" s="56"/>
      <c r="D28" s="56"/>
      <c r="E28" s="56"/>
      <c r="F28" s="56"/>
      <c r="G28" s="56"/>
      <c r="H28" s="56"/>
      <c r="I28" s="56"/>
      <c r="J28" s="56"/>
      <c r="K28" s="56"/>
      <c r="L28" s="56"/>
      <c r="M28" s="56"/>
      <c r="N28" s="56"/>
      <c r="O28" s="56"/>
      <c r="P28" s="56"/>
      <c r="Q28" s="56"/>
      <c r="R28" s="57"/>
      <c r="S28" s="12"/>
    </row>
    <row r="29" spans="1:21" x14ac:dyDescent="0.25">
      <c r="S29" s="12"/>
    </row>
    <row r="30" spans="1:21" ht="18.75" x14ac:dyDescent="0.3">
      <c r="P30" s="38" t="s">
        <v>25</v>
      </c>
      <c r="Q30" s="38"/>
      <c r="S30" s="12"/>
    </row>
    <row r="31" spans="1:21" ht="15.75" x14ac:dyDescent="0.25">
      <c r="D31" s="36">
        <f>E24/10.764</f>
        <v>10423.913043478262</v>
      </c>
      <c r="I31" s="21" t="s">
        <v>62</v>
      </c>
      <c r="J31" s="23">
        <f>J44</f>
        <v>5900000</v>
      </c>
      <c r="P31" s="30" t="s">
        <v>24</v>
      </c>
      <c r="Q31" s="23">
        <f>Q32*83.6</f>
        <v>518319.99999999994</v>
      </c>
      <c r="R31" s="39">
        <f>91138*4000</f>
        <v>364552000</v>
      </c>
      <c r="S31" s="12"/>
    </row>
    <row r="32" spans="1:21" ht="15.75" x14ac:dyDescent="0.25">
      <c r="B32" s="1">
        <f>E24/10.764</f>
        <v>10423.913043478262</v>
      </c>
      <c r="C32" s="17">
        <f>4*3.28</f>
        <v>13.12</v>
      </c>
      <c r="I32" s="21" t="s">
        <v>22</v>
      </c>
      <c r="J32" s="23">
        <f>22500000*18.83</f>
        <v>423674999.99999994</v>
      </c>
      <c r="P32" s="30" t="s">
        <v>25</v>
      </c>
      <c r="Q32" s="23">
        <v>6200</v>
      </c>
      <c r="R32" s="20">
        <v>14000</v>
      </c>
      <c r="S32" s="32">
        <f>R32*83.6</f>
        <v>1170400</v>
      </c>
      <c r="U32">
        <f>1992.37/2</f>
        <v>996.18499999999995</v>
      </c>
    </row>
    <row r="33" spans="4:21" ht="15.75" x14ac:dyDescent="0.25">
      <c r="I33" s="21" t="s">
        <v>23</v>
      </c>
      <c r="J33" s="23">
        <f>R24</f>
        <v>128514875.82142857</v>
      </c>
      <c r="P33" s="31" t="s">
        <v>27</v>
      </c>
      <c r="Q33" s="32">
        <f>S32-S34</f>
        <v>1135288</v>
      </c>
      <c r="R33" s="20">
        <f>(0.9/60)*2</f>
        <v>3.0000000000000002E-2</v>
      </c>
      <c r="S33" s="12"/>
    </row>
    <row r="34" spans="4:21" ht="30" x14ac:dyDescent="0.25">
      <c r="I34" s="22" t="s">
        <v>19</v>
      </c>
      <c r="J34" s="34">
        <f>SUM(J31:J33)</f>
        <v>558089875.82142854</v>
      </c>
      <c r="M34" s="43"/>
      <c r="S34" s="12">
        <f>S32*R33</f>
        <v>35112</v>
      </c>
    </row>
    <row r="35" spans="4:21" ht="18" customHeight="1" x14ac:dyDescent="0.25">
      <c r="I35" s="22" t="s">
        <v>21</v>
      </c>
      <c r="J35" s="24">
        <f>ROUND(J34,-5)</f>
        <v>558100000</v>
      </c>
      <c r="Q35" s="33">
        <f>Q31+Q33</f>
        <v>1653608</v>
      </c>
      <c r="S35" s="12"/>
    </row>
    <row r="36" spans="4:21" x14ac:dyDescent="0.25">
      <c r="F36" s="21" t="s">
        <v>17</v>
      </c>
      <c r="G36" s="25">
        <f>0.85*J35</f>
        <v>474385000</v>
      </c>
      <c r="S36" s="12"/>
    </row>
    <row r="37" spans="4:21" x14ac:dyDescent="0.25">
      <c r="F37" s="21" t="s">
        <v>18</v>
      </c>
      <c r="G37" s="25">
        <f>0.75*J35</f>
        <v>418575000</v>
      </c>
      <c r="N37">
        <v>101.71</v>
      </c>
      <c r="O37">
        <v>14000</v>
      </c>
      <c r="P37">
        <f>N37*O37</f>
        <v>1423940</v>
      </c>
      <c r="Q37">
        <f>P37*0.015*15</f>
        <v>320386.5</v>
      </c>
      <c r="R37" s="20">
        <f>P37-Q37</f>
        <v>1103553.5</v>
      </c>
      <c r="S37" s="12"/>
    </row>
    <row r="38" spans="4:21" ht="15" customHeight="1" x14ac:dyDescent="0.25">
      <c r="N38">
        <v>83.28</v>
      </c>
      <c r="O38">
        <v>14000</v>
      </c>
      <c r="P38">
        <f>N38*O38</f>
        <v>1165920</v>
      </c>
      <c r="Q38">
        <f>P38*0.015*8</f>
        <v>139910.39999999999</v>
      </c>
      <c r="R38" s="20">
        <f>P38-Q38</f>
        <v>1026009.6</v>
      </c>
      <c r="S38" s="12"/>
    </row>
    <row r="39" spans="4:21" x14ac:dyDescent="0.25">
      <c r="H39">
        <f>18.83*4046.84</f>
        <v>76201.997199999998</v>
      </c>
      <c r="N39">
        <v>18.28</v>
      </c>
      <c r="O39">
        <v>14000</v>
      </c>
      <c r="P39">
        <f>N39*O39</f>
        <v>255920.00000000003</v>
      </c>
      <c r="Q39">
        <f>P39*0.015*8</f>
        <v>30710.400000000001</v>
      </c>
      <c r="R39" s="20">
        <f>P39-Q39</f>
        <v>225209.60000000003</v>
      </c>
    </row>
    <row r="40" spans="4:21" x14ac:dyDescent="0.25">
      <c r="D40" s="37">
        <f>4600*130</f>
        <v>598000</v>
      </c>
      <c r="H40">
        <f>H39*1.196</f>
        <v>91137.5886512</v>
      </c>
      <c r="O40" t="s">
        <v>26</v>
      </c>
      <c r="P40">
        <f>P37+P38+P39</f>
        <v>2845780</v>
      </c>
      <c r="R40" s="20">
        <f>R37+R38+R39</f>
        <v>2354772.7000000002</v>
      </c>
      <c r="S40" s="8"/>
      <c r="T40" s="4"/>
      <c r="U40" s="4"/>
    </row>
    <row r="41" spans="4:21" x14ac:dyDescent="0.25">
      <c r="D41" s="17">
        <f>D40/1000</f>
        <v>598</v>
      </c>
      <c r="J41" s="43">
        <f>1200*5000</f>
        <v>6000000</v>
      </c>
    </row>
    <row r="42" spans="4:21" x14ac:dyDescent="0.25">
      <c r="J42" s="44">
        <f>J41*L13</f>
        <v>90000</v>
      </c>
    </row>
    <row r="43" spans="4:21" x14ac:dyDescent="0.25">
      <c r="J43" s="45">
        <f>J41-J42</f>
        <v>5910000</v>
      </c>
    </row>
    <row r="44" spans="4:21" x14ac:dyDescent="0.25">
      <c r="J44">
        <f>ROUND(J43,-5)</f>
        <v>5900000</v>
      </c>
    </row>
    <row r="45" spans="4:21" x14ac:dyDescent="0.25">
      <c r="G45" s="43">
        <f>4000*4046.84</f>
        <v>16187360</v>
      </c>
      <c r="N45" s="46">
        <f>18.83*4046.84</f>
        <v>76201.997199999998</v>
      </c>
    </row>
    <row r="46" spans="4:21" x14ac:dyDescent="0.25">
      <c r="I46">
        <f>1.6*1.1</f>
        <v>1.7600000000000002</v>
      </c>
      <c r="N46" s="43">
        <f>N45*1.196</f>
        <v>91137.5886512</v>
      </c>
    </row>
    <row r="47" spans="4:21" x14ac:dyDescent="0.25">
      <c r="I47">
        <f>I46*1.1</f>
        <v>1.9360000000000004</v>
      </c>
    </row>
    <row r="48" spans="4:21" x14ac:dyDescent="0.25">
      <c r="J48">
        <f>2.2*0.9</f>
        <v>1.9800000000000002</v>
      </c>
    </row>
    <row r="49" ht="15" customHeight="1" x14ac:dyDescent="0.25"/>
  </sheetData>
  <mergeCells count="5">
    <mergeCell ref="A28:R28"/>
    <mergeCell ref="A2:R2"/>
    <mergeCell ref="A26:R26"/>
    <mergeCell ref="A27:R27"/>
    <mergeCell ref="A25:R25"/>
  </mergeCells>
  <phoneticPr fontId="17" type="noConversion"/>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18"/>
      <c r="C5" s="18"/>
      <c r="D5" s="18"/>
      <c r="E5" s="19"/>
    </row>
    <row r="6" spans="2:5" x14ac:dyDescent="0.25">
      <c r="B6" s="2"/>
      <c r="C6" s="2"/>
      <c r="D6" s="2"/>
      <c r="E6" s="2"/>
    </row>
    <row r="7" spans="2:5" x14ac:dyDescent="0.25">
      <c r="B7" s="2"/>
      <c r="C7" s="2"/>
      <c r="D7" s="2"/>
      <c r="E7" s="2"/>
    </row>
    <row r="8" spans="2:5" x14ac:dyDescent="0.25">
      <c r="B8" s="2"/>
      <c r="C8" s="2"/>
      <c r="D8" s="2"/>
      <c r="E8" s="2"/>
    </row>
    <row r="9" spans="2:5" x14ac:dyDescent="0.25">
      <c r="B9" s="67"/>
      <c r="C9" s="68"/>
      <c r="D9" s="69"/>
      <c r="E9" s="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Amit Jaiswal</cp:lastModifiedBy>
  <cp:lastPrinted>2022-01-07T08:12:53Z</cp:lastPrinted>
  <dcterms:created xsi:type="dcterms:W3CDTF">2021-09-16T11:33:35Z</dcterms:created>
  <dcterms:modified xsi:type="dcterms:W3CDTF">2023-10-23T10:43:22Z</dcterms:modified>
</cp:coreProperties>
</file>