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Z:\In Progress Files\Abhinav Chaturvedi\VIS(2023-24)-PL410-336-543_CowTown\Report\"/>
    </mc:Choice>
  </mc:AlternateContent>
  <bookViews>
    <workbookView xWindow="0" yWindow="0" windowWidth="24000" windowHeight="9735" tabRatio="867" activeTab="7"/>
  </bookViews>
  <sheets>
    <sheet name="ASSUMPTIONS" sheetId="18" r:id="rId1"/>
    <sheet name="Absorption Rate" sheetId="9" r:id="rId2"/>
    <sheet name="Residential Inflow" sheetId="3" r:id="rId3"/>
    <sheet name="Inflow" sheetId="11" r:id="rId4"/>
    <sheet name="Total Outflow" sheetId="16" r:id="rId5"/>
    <sheet name="DCF" sheetId="7" r:id="rId6"/>
    <sheet name="Consolidated Summary" sheetId="12" r:id="rId7"/>
    <sheet name="Sheet1" sheetId="19" r:id="rId8"/>
  </sheets>
  <definedNames>
    <definedName name="_xlnm._FilterDatabase" localSheetId="2" hidden="1">'Residential Inflow'!$B$3:$F$5</definedName>
  </definedNames>
  <calcPr calcId="152511"/>
</workbook>
</file>

<file path=xl/calcChain.xml><?xml version="1.0" encoding="utf-8"?>
<calcChain xmlns="http://schemas.openxmlformats.org/spreadsheetml/2006/main">
  <c r="M19" i="12" l="1"/>
  <c r="M18" i="12"/>
  <c r="M17" i="12"/>
  <c r="M16" i="12"/>
  <c r="M15" i="12"/>
  <c r="C35" i="7" l="1"/>
  <c r="C34" i="7"/>
  <c r="C33" i="7"/>
  <c r="C32" i="7"/>
  <c r="C28" i="7"/>
  <c r="E62" i="18" l="1"/>
  <c r="G8" i="18"/>
  <c r="H61" i="18" l="1"/>
  <c r="M11" i="7"/>
  <c r="M7" i="7"/>
  <c r="L4" i="7"/>
  <c r="L6" i="9"/>
  <c r="M13" i="7"/>
  <c r="M9" i="7"/>
  <c r="K4" i="7"/>
  <c r="J4" i="7"/>
  <c r="I4" i="7"/>
  <c r="H4" i="7"/>
  <c r="G4" i="7"/>
  <c r="F4" i="7"/>
  <c r="E4" i="7"/>
  <c r="G11" i="11"/>
  <c r="H11" i="11" s="1"/>
  <c r="I11" i="11" s="1"/>
  <c r="J11" i="11" s="1"/>
  <c r="E4" i="3"/>
  <c r="I27" i="18" l="1"/>
  <c r="G26" i="18" s="1"/>
  <c r="G28" i="18" s="1"/>
  <c r="C12" i="11" l="1"/>
  <c r="G30" i="18"/>
  <c r="F14" i="16" l="1"/>
  <c r="K50" i="18"/>
  <c r="K47" i="18"/>
  <c r="K44" i="18"/>
  <c r="K37" i="18" l="1"/>
  <c r="G54" i="18" s="1"/>
  <c r="G58" i="18" s="1"/>
  <c r="F10" i="11" l="1"/>
  <c r="D11" i="11" l="1"/>
  <c r="E11" i="11" l="1"/>
  <c r="D12" i="11"/>
  <c r="G5" i="18"/>
  <c r="G6" i="18" s="1"/>
  <c r="G7" i="18" s="1"/>
  <c r="K7" i="9" s="1"/>
  <c r="K9" i="11" s="1"/>
  <c r="H7" i="9" l="1"/>
  <c r="H9" i="11" s="1"/>
  <c r="J7" i="9"/>
  <c r="J9" i="11" s="1"/>
  <c r="G7" i="9"/>
  <c r="G9" i="11" s="1"/>
  <c r="I7" i="9"/>
  <c r="I9" i="11" s="1"/>
  <c r="E13" i="16"/>
  <c r="E9" i="16"/>
  <c r="D4" i="3"/>
  <c r="E7" i="9"/>
  <c r="E9" i="11" s="1"/>
  <c r="F7" i="9"/>
  <c r="F9" i="11" s="1"/>
  <c r="L9" i="9"/>
  <c r="C7" i="9"/>
  <c r="M8" i="11"/>
  <c r="D7" i="9"/>
  <c r="D9" i="11" s="1"/>
  <c r="D13" i="11" s="1"/>
  <c r="D14" i="11" s="1"/>
  <c r="E12" i="11"/>
  <c r="L7" i="9" l="1"/>
  <c r="M7" i="9" s="1"/>
  <c r="E13" i="11"/>
  <c r="E14" i="11" s="1"/>
  <c r="E10" i="16"/>
  <c r="F12" i="11"/>
  <c r="F13" i="11" l="1"/>
  <c r="F14" i="11" s="1"/>
  <c r="G12" i="11"/>
  <c r="D4" i="7"/>
  <c r="H12" i="11" l="1"/>
  <c r="G13" i="11"/>
  <c r="G14" i="11" s="1"/>
  <c r="H5" i="7" s="1"/>
  <c r="H6" i="7" s="1"/>
  <c r="I12" i="11" l="1"/>
  <c r="H13" i="11"/>
  <c r="H14" i="11" s="1"/>
  <c r="I5" i="7" s="1"/>
  <c r="I6" i="7" s="1"/>
  <c r="J12" i="11" l="1"/>
  <c r="I13" i="11"/>
  <c r="I14" i="11" s="1"/>
  <c r="J5" i="7" s="1"/>
  <c r="J6" i="7" s="1"/>
  <c r="J13" i="11" l="1"/>
  <c r="J14" i="11" s="1"/>
  <c r="K5" i="7" s="1"/>
  <c r="K6" i="7" s="1"/>
  <c r="K12" i="11"/>
  <c r="K13" i="11" s="1"/>
  <c r="K14" i="11" s="1"/>
  <c r="L5" i="7" s="1"/>
  <c r="L6" i="7" s="1"/>
  <c r="Q29" i="7"/>
  <c r="Q27" i="7"/>
  <c r="G5" i="7" l="1"/>
  <c r="G6" i="7" s="1"/>
  <c r="F5" i="7"/>
  <c r="F6" i="7" s="1"/>
  <c r="G10" i="16"/>
  <c r="E5" i="7"/>
  <c r="E6" i="7" s="1"/>
  <c r="G13" i="16"/>
  <c r="D15" i="7" s="1"/>
  <c r="G9" i="16"/>
  <c r="E11" i="16"/>
  <c r="E12" i="16"/>
  <c r="G12" i="16" s="1"/>
  <c r="I14" i="7" l="1"/>
  <c r="E14" i="7"/>
  <c r="K14" i="7"/>
  <c r="G14" i="7"/>
  <c r="F14" i="7"/>
  <c r="H14" i="7"/>
  <c r="D14" i="7"/>
  <c r="J14" i="7"/>
  <c r="K8" i="7"/>
  <c r="G8" i="7"/>
  <c r="J8" i="7"/>
  <c r="F8" i="7"/>
  <c r="I8" i="7"/>
  <c r="E8" i="7"/>
  <c r="L8" i="7"/>
  <c r="D8" i="7"/>
  <c r="H8" i="7"/>
  <c r="F10" i="7"/>
  <c r="E10" i="7"/>
  <c r="D10" i="7"/>
  <c r="G10" i="7"/>
  <c r="E15" i="7"/>
  <c r="M15" i="7" s="1"/>
  <c r="G11" i="16"/>
  <c r="E14" i="16"/>
  <c r="C9" i="11"/>
  <c r="L9" i="11" s="1"/>
  <c r="F4" i="3"/>
  <c r="D5" i="3"/>
  <c r="M8" i="7" l="1"/>
  <c r="M14" i="7"/>
  <c r="G14" i="16"/>
  <c r="I12" i="7"/>
  <c r="I16" i="7" s="1"/>
  <c r="I17" i="7" s="1"/>
  <c r="E12" i="7"/>
  <c r="E16" i="7" s="1"/>
  <c r="E17" i="7" s="1"/>
  <c r="K12" i="7"/>
  <c r="K16" i="7" s="1"/>
  <c r="K17" i="7" s="1"/>
  <c r="G12" i="7"/>
  <c r="G16" i="7" s="1"/>
  <c r="G17" i="7" s="1"/>
  <c r="J12" i="7"/>
  <c r="J16" i="7" s="1"/>
  <c r="J17" i="7" s="1"/>
  <c r="F12" i="7"/>
  <c r="F16" i="7" s="1"/>
  <c r="F17" i="7" s="1"/>
  <c r="L12" i="7"/>
  <c r="L16" i="7" s="1"/>
  <c r="L17" i="7" s="1"/>
  <c r="H12" i="7"/>
  <c r="H16" i="7" s="1"/>
  <c r="H17" i="7" s="1"/>
  <c r="D12" i="7"/>
  <c r="M10" i="7"/>
  <c r="M9" i="11"/>
  <c r="F5" i="3"/>
  <c r="E10" i="11"/>
  <c r="D10" i="11"/>
  <c r="C10" i="11"/>
  <c r="C13" i="11"/>
  <c r="C14" i="11" s="1"/>
  <c r="L10" i="11" l="1"/>
  <c r="M12" i="7"/>
  <c r="D16" i="7"/>
  <c r="M16" i="7" s="1"/>
  <c r="D5" i="7"/>
  <c r="M5" i="7" s="1"/>
  <c r="L14" i="11"/>
  <c r="D6" i="7" l="1"/>
  <c r="M6" i="7" s="1"/>
  <c r="D17" i="7" l="1"/>
  <c r="M17" i="7" s="1"/>
  <c r="C19" i="7"/>
  <c r="C21" i="7" s="1"/>
  <c r="N19" i="7" l="1"/>
  <c r="C22" i="7"/>
  <c r="N22" i="7" l="1"/>
  <c r="N24" i="7" s="1"/>
  <c r="N28" i="7" s="1"/>
  <c r="C27" i="7"/>
  <c r="O24" i="7" l="1"/>
  <c r="P24" i="7" s="1"/>
  <c r="Q23" i="7" s="1"/>
  <c r="R24" i="7" s="1"/>
  <c r="N27" i="7"/>
  <c r="Q24" i="7" l="1"/>
</calcChain>
</file>

<file path=xl/sharedStrings.xml><?xml version="1.0" encoding="utf-8"?>
<sst xmlns="http://schemas.openxmlformats.org/spreadsheetml/2006/main" count="139" uniqueCount="117">
  <si>
    <t>S.No.</t>
  </si>
  <si>
    <t>Discount Rate</t>
  </si>
  <si>
    <t>Total</t>
  </si>
  <si>
    <t>Important Notes:</t>
  </si>
  <si>
    <t>Project Details</t>
  </si>
  <si>
    <t>4. The total Value of inventory to be sold each year as shown above is in Millions Rupees.</t>
  </si>
  <si>
    <t xml:space="preserve">PROJECT INFLOW MODEL </t>
  </si>
  <si>
    <t>Market Value</t>
  </si>
  <si>
    <r>
      <t xml:space="preserve">Adopted Market Rates 
</t>
    </r>
    <r>
      <rPr>
        <i/>
        <sz val="11"/>
        <color theme="0"/>
        <rFont val="Calibri"/>
        <family val="2"/>
        <scheme val="minor"/>
      </rPr>
      <t>(per sq.ft.)</t>
    </r>
  </si>
  <si>
    <t>Tower</t>
  </si>
  <si>
    <r>
      <t xml:space="preserve">Total Super Area </t>
    </r>
    <r>
      <rPr>
        <i/>
        <sz val="11"/>
        <color theme="0"/>
        <rFont val="Calibri"/>
        <family val="2"/>
        <scheme val="minor"/>
      </rPr>
      <t>(sq.ft.)</t>
    </r>
  </si>
  <si>
    <t>Construction Cost</t>
  </si>
  <si>
    <t>Debt</t>
  </si>
  <si>
    <t>Equity</t>
  </si>
  <si>
    <t>WACC</t>
  </si>
  <si>
    <t>Administrative Cost</t>
  </si>
  <si>
    <t>Marketing Expenses</t>
  </si>
  <si>
    <t>Total Proposed Cost</t>
  </si>
  <si>
    <t>Description</t>
  </si>
  <si>
    <t>Yet to be Incurred</t>
  </si>
  <si>
    <t>Acre</t>
  </si>
  <si>
    <t xml:space="preserve">sq mtr </t>
  </si>
  <si>
    <t>Sq. ft.</t>
  </si>
  <si>
    <t>INR/sq.ft</t>
  </si>
  <si>
    <t>INR/sq.ft On SBUA</t>
  </si>
  <si>
    <t xml:space="preserve">Cost Escalation (YoY) </t>
  </si>
  <si>
    <t>%</t>
  </si>
  <si>
    <t>Admin Costs</t>
  </si>
  <si>
    <t>Sales &amp; Marketing Costs</t>
  </si>
  <si>
    <t>YoY</t>
  </si>
  <si>
    <t>Unbooked Absorption</t>
  </si>
  <si>
    <t>Cost per sq. ft.</t>
  </si>
  <si>
    <t>% of Increment per year</t>
  </si>
  <si>
    <t>Percentage absorption</t>
  </si>
  <si>
    <t>Statutory approvals &amp; NOCs</t>
  </si>
  <si>
    <t xml:space="preserve">Approval Charges </t>
  </si>
  <si>
    <t>3. As per the general real estate market scenario, the market rate for available inventory will increase @ 3% for selling of balance units in each year and in the fourth the developer will sold the remaining units with a premium of 8% since the project will be completed and ready to move.</t>
  </si>
  <si>
    <t>1. As per market/ industry practice and our market study, we are of the view that company will monetize the unsold units of residential society (to be developed) in the micro market within Four years @ 30% in first year, 35% in the second year, 30% in the third year &amp; rest 5% in the fourth year.</t>
  </si>
  <si>
    <t>Cost of DEBT</t>
  </si>
  <si>
    <t xml:space="preserve">Corporate tax rate </t>
  </si>
  <si>
    <t>Ke</t>
  </si>
  <si>
    <t>=</t>
  </si>
  <si>
    <t>Rf+ Beta(Rm-Rf)</t>
  </si>
  <si>
    <t>Rf</t>
  </si>
  <si>
    <t>Beta</t>
  </si>
  <si>
    <t>Rm</t>
  </si>
  <si>
    <t xml:space="preserve">10 year Nifty 50 nreturn avergae </t>
  </si>
  <si>
    <t>10 year govt bond rate</t>
  </si>
  <si>
    <t>5 year beta of infra senstivity iof stock with respecyt to market</t>
  </si>
  <si>
    <t>Risk free rate</t>
  </si>
  <si>
    <t>Market return</t>
  </si>
  <si>
    <t>Weight of Equity</t>
  </si>
  <si>
    <t>Post tax Cost of debt</t>
  </si>
  <si>
    <t>Weight of debt</t>
  </si>
  <si>
    <t>Wd*Kd*(1-t) +We*Ke</t>
  </si>
  <si>
    <t>Company Risk premium</t>
  </si>
  <si>
    <t>Cost of Equity Ke</t>
  </si>
  <si>
    <t xml:space="preserve">Cost of Equity </t>
  </si>
  <si>
    <t xml:space="preserve"> % Sale of captioned Project</t>
  </si>
  <si>
    <t>Important Note:</t>
  </si>
  <si>
    <t xml:space="preserve">PROJECTIONS </t>
  </si>
  <si>
    <t>PROJECTIONS SUMMATION</t>
  </si>
  <si>
    <t>RESIDUAL VALUE OF LAND</t>
  </si>
  <si>
    <t>BASIC RESIDUAL LAND VALUE METHOD</t>
  </si>
  <si>
    <t>ASSUMPTIONS FOR BASIC RESIDUAL LAND VALUE METHOD</t>
  </si>
  <si>
    <t>-</t>
  </si>
  <si>
    <t>Area Absorption Rate
 (sq. ft.)</t>
  </si>
  <si>
    <t>Residential Space Sale Rate</t>
  </si>
  <si>
    <t>DISCOUNT RATE</t>
  </si>
  <si>
    <t>NET CASH FLOW</t>
  </si>
  <si>
    <t>YEAR</t>
  </si>
  <si>
    <t>Residual Value of Land=Net Present Value-Estimated Profit</t>
  </si>
  <si>
    <t>NET PRESENT VALUE (NPV)</t>
  </si>
  <si>
    <t>% of NPV</t>
  </si>
  <si>
    <t>Percentage of Construction Cost</t>
  </si>
  <si>
    <t>Consultancy Cost</t>
  </si>
  <si>
    <t xml:space="preserve"> % of COC</t>
  </si>
  <si>
    <t>ABSORPTION RATE | M/S. AIRPORT AUTHORITY OF INDIA | SITUATED AT PROPERTY CITY SURVEY NO. 1556, 1558, 1559, 1560 AND 1568 OF VILLAGE DAHISAR, BORIVALI,  MUMBAI SUBURBAN DISTRICT, MUMBAI</t>
  </si>
  <si>
    <t>RESIDENTIAL INFLOW | M/S. AIRPORT AUTHORITY OF INDIA | SITUATED AT PROPERTY CITY SURVEY NO. 1556, 1558, 1559, 1560 AND 1568 OF VILLAGE DAHISAR, BORIVALI,  MUMBAI SUBURBAN DISTRICT, MUMBAI</t>
  </si>
  <si>
    <t>TOTAL OUTFLOW | M/S. AIRPORT AUTHORITY OF INDIA | SITUATED AT PROPERTY CITY SURVEY NO. 1556, 1558, 1559, 1560 AND 1568 OF VILLAGE DAHISAR, BORIVALI,  MUMBAI SUBURBAN DISTRICT, MUMBAI</t>
  </si>
  <si>
    <t>Inflow  (in Crore)</t>
  </si>
  <si>
    <r>
      <t xml:space="preserve"> Total Inflow </t>
    </r>
    <r>
      <rPr>
        <b/>
        <i/>
        <sz val="11"/>
        <color theme="1"/>
        <rFont val="Calibri"/>
        <family val="2"/>
        <scheme val="minor"/>
      </rPr>
      <t>(in Crore)</t>
    </r>
  </si>
  <si>
    <t>PROJECT DETAILS</t>
  </si>
  <si>
    <t>INVENTORY ABSORBTION</t>
  </si>
  <si>
    <r>
      <t>Total Earnings Through Unbooked Residential Units</t>
    </r>
    <r>
      <rPr>
        <i/>
        <sz val="11"/>
        <color theme="1"/>
        <rFont val="Calibri"/>
        <family val="2"/>
        <scheme val="minor"/>
      </rPr>
      <t xml:space="preserve"> </t>
    </r>
    <r>
      <rPr>
        <b/>
        <i/>
        <sz val="11"/>
        <color theme="1"/>
        <rFont val="Calibri"/>
        <family val="2"/>
        <scheme val="minor"/>
      </rPr>
      <t>&amp; Parking</t>
    </r>
  </si>
  <si>
    <r>
      <t xml:space="preserve">TOTAL INFLOW </t>
    </r>
    <r>
      <rPr>
        <b/>
        <i/>
        <sz val="11"/>
        <color theme="1"/>
        <rFont val="Calibri"/>
        <family val="2"/>
        <scheme val="minor"/>
      </rPr>
      <t xml:space="preserve">(in Crore) </t>
    </r>
    <r>
      <rPr>
        <b/>
        <sz val="11"/>
        <color theme="1"/>
        <rFont val="Calibri"/>
        <family val="2"/>
        <scheme val="minor"/>
      </rPr>
      <t>(A)</t>
    </r>
  </si>
  <si>
    <r>
      <rPr>
        <b/>
        <sz val="11"/>
        <color theme="1"/>
        <rFont val="Calibri"/>
        <family val="2"/>
        <scheme val="minor"/>
      </rPr>
      <t>Approval Charges</t>
    </r>
    <r>
      <rPr>
        <sz val="11"/>
        <color theme="1"/>
        <rFont val="Calibri"/>
        <family val="2"/>
        <scheme val="minor"/>
      </rPr>
      <t/>
    </r>
  </si>
  <si>
    <t>Administrative Expenses</t>
  </si>
  <si>
    <r>
      <t xml:space="preserve">TOTAL OUTFLOW </t>
    </r>
    <r>
      <rPr>
        <b/>
        <i/>
        <sz val="11"/>
        <color theme="1"/>
        <rFont val="Calibri"/>
        <family val="2"/>
        <scheme val="minor"/>
      </rPr>
      <t xml:space="preserve">(in Crore) </t>
    </r>
    <r>
      <rPr>
        <b/>
        <sz val="11"/>
        <color theme="1"/>
        <rFont val="Calibri"/>
        <family val="2"/>
        <scheme val="minor"/>
      </rPr>
      <t>(B)</t>
    </r>
  </si>
  <si>
    <t>B</t>
  </si>
  <si>
    <t>Ce</t>
  </si>
  <si>
    <t>Land Area</t>
  </si>
  <si>
    <t>Expected Built-up area as per maximum FAR</t>
  </si>
  <si>
    <t>Basic Cost of Construction for high rise building in Mumbai</t>
  </si>
  <si>
    <t>INR/ sq. ft</t>
  </si>
  <si>
    <t>Escalation in Sale Rate</t>
  </si>
  <si>
    <t>Expected Developers Profit</t>
  </si>
  <si>
    <t>FAR/ FSI</t>
  </si>
  <si>
    <t>1. The above residual value of land is arrived baased on the assumption taken during the course of the assessment.</t>
  </si>
  <si>
    <t>Area Absorbed per annum (sq. ft.)</t>
  </si>
  <si>
    <t>PROJECT OUTFLOW</t>
  </si>
  <si>
    <r>
      <t xml:space="preserve">Total Cost Incurred as on date
</t>
    </r>
    <r>
      <rPr>
        <b/>
        <i/>
        <sz val="10"/>
        <rFont val="Calibri"/>
        <family val="2"/>
        <scheme val="minor"/>
      </rPr>
      <t>(as information provided by the company)</t>
    </r>
  </si>
  <si>
    <t>5. Market rates have been considered on super area but only built-up area is considered and not the super area in the calculation to arrive at the minimum fetch value.</t>
  </si>
  <si>
    <t>Note:</t>
  </si>
  <si>
    <t>SBUA</t>
  </si>
  <si>
    <t>Check</t>
  </si>
  <si>
    <t>check</t>
  </si>
  <si>
    <t>2. The average market rate for residential flats in the subject project is varying in between Rs.24,000/-per sq.ft. to Rs.30,000/-per sq.ft.  on carpet area.After considering the loading factor we have adopted Rs. 20,000/- per sq.ft on super built-up area including other charges like PLC, IFMS Charges, Utility Charges and developer will charge additional parking charges. These rates are also the current prevailing market rate of the other projects present nearby.</t>
  </si>
  <si>
    <t>per acre</t>
  </si>
  <si>
    <t>per sq.mtr</t>
  </si>
  <si>
    <t>1. As per Industry practice, we have considered 15% loading factor on builtup area to arrive at super area.</t>
  </si>
  <si>
    <r>
      <t>Expected Saleable Area</t>
    </r>
    <r>
      <rPr>
        <b/>
        <i/>
        <sz val="11"/>
        <color theme="1"/>
        <rFont val="Calibri"/>
        <family val="2"/>
        <scheme val="minor"/>
      </rPr>
      <t xml:space="preserve"> (Super Built-up area as per maximum FAR)</t>
    </r>
  </si>
  <si>
    <t>DEVELOPERS PROFIT @ 20% OF NPV</t>
  </si>
  <si>
    <t>2. We have considered Rs 9,500/- per sq.ft on carpet area as per market information and accordingly converted Lumpsum Rs. 7,000/- per sq.ft on super area basis adjusting the loading factor approximately 25% on carpet to super area rates.</t>
  </si>
  <si>
    <t>Narivali</t>
  </si>
  <si>
    <t>Hedutane</t>
  </si>
  <si>
    <t>Waklan</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</si>
</sst>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8" formatCode="&quot;₹&quot;\ #,##0.00;[Red]&quot;₹&quot;\ \-#,##0.00"/>
    <numFmt numFmtId="44" formatCode="_ &quot;₹&quot;\ * #,##0.00_ ;_ &quot;₹&quot;\ * \-#,##0.00_ ;_ &quot;₹&quot;\ * &quot;-&quot;??_ ;_ @_ "/>
    <numFmt numFmtId="43" formatCode="_ * #,##0.00_ ;_ * \-#,##0.00_ ;_ * &quot;-&quot;??_ ;_ @_ "/>
    <numFmt numFmtId="164" formatCode="_(* #,##0.00_);_(* \(#,##0.00\);_(* &quot;-&quot;??_);_(@_)"/>
    <numFmt numFmtId="165" formatCode="_ [$₹-4009]\ * #,##0.00_ ;_ [$₹-4009]\ * \-#,##0.00_ ;_ [$₹-4009]\ * &quot;-&quot;??_ ;_ @_ "/>
    <numFmt numFmtId="166" formatCode="0.0%"/>
    <numFmt numFmtId="167" formatCode="_(* #,##0.0_);_(* \(#,##0.0\);_(* &quot;-&quot;??_);_(@_)"/>
    <numFmt numFmtId="168" formatCode="_(* #,##0_);_(* \(#,##0\);_(* &quot;-&quot;??_);_(@_)"/>
    <numFmt numFmtId="169" formatCode="_ &quot;₹&quot;\ * #,##0_ ;_ &quot;₹&quot;\ * \-#,##0_ ;_ &quot;₹&quot;\ * &quot;-&quot;??_ ;_ @_ "/>
  </numFmts>
  <fonts count="20" x14ac:knownFonts="1">
    <font>
      <sz val="11"/>
      <color theme="1"/>
      <name val="Calibri"/>
      <family val="2"/>
      <scheme val="minor"/>
    </font>
    <font>
      <b/>
      <sz val="11"/>
      <color theme="1"/>
      <name val="Calibri"/>
      <family val="2"/>
      <scheme val="minor"/>
    </font>
    <font>
      <sz val="11"/>
      <color rgb="FF000000"/>
      <name val="Calibri"/>
      <family val="2"/>
      <scheme val="minor"/>
    </font>
    <font>
      <sz val="11"/>
      <color theme="1"/>
      <name val="Calibri"/>
      <family val="2"/>
      <scheme val="minor"/>
    </font>
    <font>
      <b/>
      <sz val="11"/>
      <color theme="0"/>
      <name val="Calibri"/>
      <family val="2"/>
      <scheme val="minor"/>
    </font>
    <font>
      <i/>
      <sz val="11"/>
      <color theme="1"/>
      <name val="Calibri"/>
      <family val="2"/>
      <scheme val="minor"/>
    </font>
    <font>
      <b/>
      <sz val="12"/>
      <color theme="0"/>
      <name val="Calibri"/>
      <family val="2"/>
      <scheme val="minor"/>
    </font>
    <font>
      <b/>
      <sz val="11"/>
      <name val="Calibri"/>
      <family val="2"/>
      <scheme val="minor"/>
    </font>
    <font>
      <b/>
      <i/>
      <sz val="11"/>
      <color theme="1"/>
      <name val="Calibri"/>
      <family val="2"/>
      <scheme val="minor"/>
    </font>
    <font>
      <sz val="11"/>
      <name val="Calibri"/>
      <family val="2"/>
      <scheme val="minor"/>
    </font>
    <font>
      <i/>
      <sz val="11"/>
      <color theme="0"/>
      <name val="Calibri"/>
      <family val="2"/>
      <scheme val="minor"/>
    </font>
    <font>
      <sz val="8"/>
      <name val="Calibri"/>
      <family val="2"/>
      <scheme val="minor"/>
    </font>
    <font>
      <b/>
      <sz val="11"/>
      <color rgb="FF000000"/>
      <name val="Calibri"/>
      <family val="2"/>
      <scheme val="minor"/>
    </font>
    <font>
      <sz val="11"/>
      <color theme="0"/>
      <name val="Calibri"/>
      <family val="2"/>
      <scheme val="minor"/>
    </font>
    <font>
      <b/>
      <i/>
      <sz val="10"/>
      <name val="Calibri"/>
      <family val="2"/>
      <scheme val="minor"/>
    </font>
    <font>
      <sz val="10"/>
      <name val="Arial"/>
      <family val="2"/>
    </font>
    <font>
      <sz val="11"/>
      <color indexed="8"/>
      <name val="Calibri"/>
      <family val="2"/>
    </font>
    <font>
      <sz val="11"/>
      <color indexed="8"/>
      <name val="Arial"/>
      <family val="2"/>
    </font>
    <font>
      <sz val="12"/>
      <color theme="1"/>
      <name val="Calibri"/>
      <family val="2"/>
      <scheme val="minor"/>
    </font>
    <font>
      <b/>
      <sz val="12"/>
      <color theme="1"/>
      <name val="Calibri"/>
      <family val="2"/>
      <scheme val="minor"/>
    </font>
  </fonts>
  <fills count="12">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0" tint="-0.249977111117893"/>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uble">
        <color theme="4" tint="0.79998168889431442"/>
      </left>
      <right style="double">
        <color theme="4" tint="0.79998168889431442"/>
      </right>
      <top style="double">
        <color theme="4" tint="0.79998168889431442"/>
      </top>
      <bottom style="double">
        <color theme="4" tint="0.79998168889431442"/>
      </bottom>
      <diagonal/>
    </border>
    <border>
      <left style="double">
        <color theme="4" tint="0.79998168889431442"/>
      </left>
      <right/>
      <top style="double">
        <color theme="4" tint="0.79998168889431442"/>
      </top>
      <bottom/>
      <diagonal/>
    </border>
    <border>
      <left/>
      <right/>
      <top style="double">
        <color theme="4" tint="0.79998168889431442"/>
      </top>
      <bottom/>
      <diagonal/>
    </border>
    <border>
      <left/>
      <right style="double">
        <color theme="4" tint="0.79998168889431442"/>
      </right>
      <top style="double">
        <color theme="4" tint="0.79998168889431442"/>
      </top>
      <bottom/>
      <diagonal/>
    </border>
    <border>
      <left style="double">
        <color theme="4" tint="0.79998168889431442"/>
      </left>
      <right/>
      <top/>
      <bottom/>
      <diagonal/>
    </border>
    <border>
      <left/>
      <right style="double">
        <color theme="4" tint="0.79998168889431442"/>
      </right>
      <top/>
      <bottom/>
      <diagonal/>
    </border>
    <border>
      <left style="double">
        <color theme="4" tint="0.79998168889431442"/>
      </left>
      <right/>
      <top/>
      <bottom style="double">
        <color theme="4" tint="0.79998168889431442"/>
      </bottom>
      <diagonal/>
    </border>
    <border>
      <left/>
      <right/>
      <top/>
      <bottom style="double">
        <color theme="4" tint="0.79998168889431442"/>
      </bottom>
      <diagonal/>
    </border>
    <border>
      <left/>
      <right style="double">
        <color theme="4" tint="0.79998168889431442"/>
      </right>
      <top/>
      <bottom style="double">
        <color theme="4" tint="0.79998168889431442"/>
      </bottom>
      <diagonal/>
    </border>
    <border>
      <left style="double">
        <color theme="4" tint="0.79998168889431442"/>
      </left>
      <right/>
      <top style="double">
        <color theme="4" tint="0.79998168889431442"/>
      </top>
      <bottom style="double">
        <color theme="4" tint="0.79998168889431442"/>
      </bottom>
      <diagonal/>
    </border>
    <border>
      <left/>
      <right/>
      <top style="double">
        <color theme="4" tint="0.79998168889431442"/>
      </top>
      <bottom style="double">
        <color theme="4" tint="0.79998168889431442"/>
      </bottom>
      <diagonal/>
    </border>
    <border>
      <left/>
      <right style="double">
        <color theme="4" tint="0.79998168889431442"/>
      </right>
      <top style="double">
        <color theme="4" tint="0.79998168889431442"/>
      </top>
      <bottom style="double">
        <color theme="4" tint="0.79998168889431442"/>
      </bottom>
      <diagonal/>
    </border>
    <border>
      <left style="double">
        <color theme="4" tint="0.79998168889431442"/>
      </left>
      <right style="thin">
        <color indexed="64"/>
      </right>
      <top style="double">
        <color theme="4" tint="0.79998168889431442"/>
      </top>
      <bottom style="double">
        <color theme="4" tint="0.79998168889431442"/>
      </bottom>
      <diagonal/>
    </border>
    <border>
      <left style="thin">
        <color indexed="64"/>
      </left>
      <right style="thin">
        <color indexed="64"/>
      </right>
      <top style="double">
        <color theme="4" tint="0.79998168889431442"/>
      </top>
      <bottom style="double">
        <color theme="4" tint="0.79998168889431442"/>
      </bottom>
      <diagonal/>
    </border>
    <border>
      <left style="thin">
        <color indexed="64"/>
      </left>
      <right style="double">
        <color theme="4" tint="0.79998168889431442"/>
      </right>
      <top style="double">
        <color theme="4" tint="0.79998168889431442"/>
      </top>
      <bottom style="double">
        <color theme="4" tint="0.79998168889431442"/>
      </bottom>
      <diagonal/>
    </border>
    <border>
      <left style="thin">
        <color indexed="64"/>
      </left>
      <right style="thin">
        <color indexed="64"/>
      </right>
      <top/>
      <bottom style="thin">
        <color indexed="64"/>
      </bottom>
      <diagonal/>
    </border>
    <border>
      <left style="double">
        <color theme="4" tint="0.79998168889431442"/>
      </left>
      <right style="double">
        <color theme="4" tint="0.79998168889431442"/>
      </right>
      <top style="double">
        <color theme="4" tint="0.79998168889431442"/>
      </top>
      <bottom/>
      <diagonal/>
    </border>
    <border>
      <left style="double">
        <color theme="4" tint="0.79998168889431442"/>
      </left>
      <right style="double">
        <color theme="4" tint="0.79998168889431442"/>
      </right>
      <top/>
      <bottom style="double">
        <color theme="4" tint="0.79998168889431442"/>
      </bottom>
      <diagonal/>
    </border>
    <border>
      <left style="double">
        <color theme="4" tint="0.79998168889431442"/>
      </left>
      <right style="double">
        <color theme="4" tint="0.79995117038483843"/>
      </right>
      <top style="double">
        <color theme="4" tint="0.79995117038483843"/>
      </top>
      <bottom style="double">
        <color theme="4" tint="0.79998168889431442"/>
      </bottom>
      <diagonal/>
    </border>
    <border>
      <left style="thin">
        <color theme="3"/>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style="thin">
        <color indexed="64"/>
      </left>
      <right/>
      <top style="double">
        <color theme="4" tint="0.79998168889431442"/>
      </top>
      <bottom style="double">
        <color theme="4" tint="0.79998168889431442"/>
      </bottom>
      <diagonal/>
    </border>
  </borders>
  <cellStyleXfs count="116">
    <xf numFmtId="0" fontId="0" fillId="0" borderId="0"/>
    <xf numFmtId="16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15" fillId="0" borderId="0"/>
    <xf numFmtId="0" fontId="15" fillId="0" borderId="0"/>
    <xf numFmtId="43" fontId="16" fillId="0" borderId="0" applyFont="0" applyFill="0" applyBorder="0" applyAlignment="0" applyProtection="0"/>
    <xf numFmtId="0" fontId="3" fillId="0" borderId="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6"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cellStyleXfs>
  <cellXfs count="206">
    <xf numFmtId="0" fontId="0" fillId="0" borderId="0" xfId="0"/>
    <xf numFmtId="0" fontId="0" fillId="0" borderId="1" xfId="0" applyBorder="1" applyAlignment="1">
      <alignment horizontal="center" vertical="center"/>
    </xf>
    <xf numFmtId="0" fontId="2" fillId="0" borderId="0" xfId="0" applyFont="1" applyAlignment="1">
      <alignment horizontal="left" vertical="top"/>
    </xf>
    <xf numFmtId="9" fontId="2" fillId="0" borderId="0" xfId="3" applyFont="1" applyFill="1" applyBorder="1" applyAlignment="1">
      <alignment horizontal="left" vertical="top"/>
    </xf>
    <xf numFmtId="0" fontId="2" fillId="0" borderId="0" xfId="0" applyFont="1" applyAlignment="1">
      <alignment horizontal="center" vertical="center"/>
    </xf>
    <xf numFmtId="0" fontId="4" fillId="5" borderId="1" xfId="0" applyFont="1" applyFill="1" applyBorder="1" applyAlignment="1">
      <alignment horizontal="center" vertical="center" wrapText="1"/>
    </xf>
    <xf numFmtId="44" fontId="0" fillId="0" borderId="0" xfId="0" applyNumberFormat="1"/>
    <xf numFmtId="0" fontId="1" fillId="0" borderId="1" xfId="0" applyFont="1" applyBorder="1" applyAlignment="1">
      <alignment horizontal="center" vertical="center"/>
    </xf>
    <xf numFmtId="0" fontId="0" fillId="0" borderId="1" xfId="0" applyBorder="1"/>
    <xf numFmtId="0" fontId="2" fillId="2" borderId="1" xfId="0" applyFont="1" applyFill="1" applyBorder="1" applyAlignment="1">
      <alignment vertical="center"/>
    </xf>
    <xf numFmtId="10" fontId="0" fillId="0" borderId="1" xfId="0" applyNumberFormat="1" applyBorder="1"/>
    <xf numFmtId="9" fontId="0" fillId="0" borderId="1" xfId="0" applyNumberFormat="1" applyBorder="1"/>
    <xf numFmtId="10" fontId="0" fillId="0" borderId="1" xfId="3" applyNumberFormat="1" applyFont="1" applyBorder="1"/>
    <xf numFmtId="43" fontId="2" fillId="3" borderId="1" xfId="0" applyNumberFormat="1" applyFont="1" applyFill="1" applyBorder="1" applyAlignment="1">
      <alignment horizontal="center" vertical="center"/>
    </xf>
    <xf numFmtId="44" fontId="2" fillId="0" borderId="0" xfId="3" applyNumberFormat="1" applyFont="1" applyFill="1" applyBorder="1" applyAlignment="1">
      <alignment horizontal="left" vertical="top"/>
    </xf>
    <xf numFmtId="0" fontId="0" fillId="0" borderId="0" xfId="0" quotePrefix="1"/>
    <xf numFmtId="10" fontId="0" fillId="8" borderId="0" xfId="3" applyNumberFormat="1" applyFont="1" applyFill="1"/>
    <xf numFmtId="0" fontId="1" fillId="0" borderId="0" xfId="0" applyFont="1"/>
    <xf numFmtId="9" fontId="0" fillId="0" borderId="1" xfId="3" applyFont="1" applyBorder="1"/>
    <xf numFmtId="9" fontId="0" fillId="8" borderId="0" xfId="0" applyNumberFormat="1" applyFill="1"/>
    <xf numFmtId="9" fontId="0" fillId="0" borderId="0" xfId="3" applyFont="1" applyBorder="1"/>
    <xf numFmtId="10" fontId="0" fillId="3" borderId="1" xfId="0" applyNumberFormat="1" applyFill="1" applyBorder="1"/>
    <xf numFmtId="0" fontId="1" fillId="3" borderId="5" xfId="0" applyFont="1" applyFill="1" applyBorder="1" applyAlignment="1">
      <alignment vertical="center"/>
    </xf>
    <xf numFmtId="2" fontId="9" fillId="3" borderId="5" xfId="1" applyNumberFormat="1" applyFont="1" applyFill="1" applyBorder="1" applyAlignment="1">
      <alignment vertical="center"/>
    </xf>
    <xf numFmtId="167" fontId="9" fillId="3" borderId="5" xfId="1" applyNumberFormat="1" applyFont="1" applyFill="1" applyBorder="1" applyAlignment="1">
      <alignment horizontal="right" vertical="center"/>
    </xf>
    <xf numFmtId="164" fontId="9" fillId="3" borderId="5" xfId="1" applyFont="1" applyFill="1" applyBorder="1" applyAlignment="1">
      <alignment vertical="center"/>
    </xf>
    <xf numFmtId="0" fontId="0" fillId="0" borderId="20" xfId="0" applyBorder="1"/>
    <xf numFmtId="0" fontId="1" fillId="0" borderId="5" xfId="0" applyFont="1" applyBorder="1" applyAlignment="1">
      <alignment horizontal="left" vertical="center"/>
    </xf>
    <xf numFmtId="0" fontId="0" fillId="0" borderId="5" xfId="0" applyBorder="1" applyAlignment="1">
      <alignment horizontal="left"/>
    </xf>
    <xf numFmtId="0" fontId="0" fillId="0" borderId="5" xfId="0" applyBorder="1" applyAlignment="1">
      <alignment horizontal="left" vertical="center"/>
    </xf>
    <xf numFmtId="0" fontId="1" fillId="3" borderId="5" xfId="0" applyFont="1" applyFill="1" applyBorder="1" applyAlignment="1">
      <alignment horizontal="left" vertical="center"/>
    </xf>
    <xf numFmtId="0" fontId="0" fillId="3" borderId="5" xfId="0" applyFill="1" applyBorder="1" applyAlignment="1">
      <alignment horizontal="left" vertical="center"/>
    </xf>
    <xf numFmtId="9" fontId="7" fillId="3" borderId="5" xfId="0" applyNumberFormat="1" applyFont="1" applyFill="1" applyBorder="1" applyAlignment="1">
      <alignment horizontal="left" vertical="center"/>
    </xf>
    <xf numFmtId="0" fontId="0" fillId="0" borderId="5" xfId="0" applyBorder="1" applyAlignment="1">
      <alignment horizontal="center" vertical="center"/>
    </xf>
    <xf numFmtId="9" fontId="2" fillId="0" borderId="5" xfId="3" applyFont="1" applyBorder="1" applyAlignment="1">
      <alignment horizontal="center" vertical="center"/>
    </xf>
    <xf numFmtId="0" fontId="2" fillId="0" borderId="5" xfId="0" applyFont="1" applyBorder="1" applyAlignment="1">
      <alignment horizontal="center" vertical="center" wrapText="1"/>
    </xf>
    <xf numFmtId="9" fontId="0" fillId="3" borderId="5" xfId="3" applyFont="1" applyFill="1" applyBorder="1" applyAlignment="1">
      <alignment horizontal="right" vertical="center"/>
    </xf>
    <xf numFmtId="0" fontId="2" fillId="0" borderId="5" xfId="0" applyFont="1" applyBorder="1" applyAlignment="1">
      <alignment vertical="center" wrapText="1"/>
    </xf>
    <xf numFmtId="166" fontId="2" fillId="0" borderId="5" xfId="3" applyNumberFormat="1" applyFont="1" applyBorder="1" applyAlignment="1">
      <alignment vertical="center"/>
    </xf>
    <xf numFmtId="44" fontId="2" fillId="0" borderId="5" xfId="2" applyFont="1" applyBorder="1" applyAlignment="1">
      <alignment vertical="center"/>
    </xf>
    <xf numFmtId="0" fontId="5" fillId="0" borderId="5" xfId="0" applyFont="1" applyBorder="1" applyAlignment="1">
      <alignment vertical="center" wrapText="1"/>
    </xf>
    <xf numFmtId="44" fontId="3" fillId="0" borderId="5" xfId="2" applyFont="1" applyBorder="1" applyAlignment="1">
      <alignment horizontal="center" vertical="center"/>
    </xf>
    <xf numFmtId="0" fontId="12" fillId="0" borderId="5" xfId="0" applyFont="1" applyBorder="1" applyAlignment="1">
      <alignment vertical="center" wrapText="1"/>
    </xf>
    <xf numFmtId="0" fontId="0" fillId="0" borderId="20" xfId="0" applyBorder="1" applyAlignment="1">
      <alignment horizontal="center" vertical="center"/>
    </xf>
    <xf numFmtId="0" fontId="0" fillId="0" borderId="5" xfId="0" applyBorder="1" applyAlignment="1">
      <alignment horizontal="left" vertical="center" wrapText="1"/>
    </xf>
    <xf numFmtId="44" fontId="0" fillId="0" borderId="5" xfId="0" applyNumberFormat="1" applyBorder="1" applyAlignment="1">
      <alignment horizontal="center" vertical="center"/>
    </xf>
    <xf numFmtId="0" fontId="0" fillId="3" borderId="0" xfId="0" applyFill="1"/>
    <xf numFmtId="0" fontId="1" fillId="3" borderId="0" xfId="0" applyFont="1" applyFill="1"/>
    <xf numFmtId="165" fontId="0" fillId="3" borderId="0" xfId="0" applyNumberFormat="1" applyFill="1"/>
    <xf numFmtId="44" fontId="1" fillId="0" borderId="5" xfId="0" applyNumberFormat="1" applyFont="1" applyBorder="1" applyAlignment="1">
      <alignment horizontal="right" vertical="center"/>
    </xf>
    <xf numFmtId="0" fontId="1" fillId="3" borderId="5" xfId="0" applyFont="1" applyFill="1" applyBorder="1" applyAlignment="1">
      <alignment vertical="center" wrapText="1"/>
    </xf>
    <xf numFmtId="164" fontId="0" fillId="3" borderId="0" xfId="1" applyFont="1" applyFill="1"/>
    <xf numFmtId="8" fontId="1" fillId="3" borderId="0" xfId="0" applyNumberFormat="1" applyFont="1" applyFill="1"/>
    <xf numFmtId="43" fontId="1" fillId="3" borderId="0" xfId="0" applyNumberFormat="1" applyFont="1" applyFill="1"/>
    <xf numFmtId="43" fontId="0" fillId="3" borderId="0" xfId="0" applyNumberFormat="1" applyFill="1"/>
    <xf numFmtId="168" fontId="0" fillId="3" borderId="0" xfId="1" applyNumberFormat="1" applyFont="1" applyFill="1"/>
    <xf numFmtId="9" fontId="2" fillId="0" borderId="0" xfId="0" applyNumberFormat="1" applyFont="1" applyAlignment="1">
      <alignment horizontal="left" vertical="top"/>
    </xf>
    <xf numFmtId="0" fontId="1" fillId="3" borderId="5" xfId="0" applyFont="1" applyFill="1" applyBorder="1" applyAlignment="1">
      <alignment horizontal="left" vertical="center" wrapText="1"/>
    </xf>
    <xf numFmtId="164" fontId="0" fillId="0" borderId="5" xfId="1" applyFont="1" applyBorder="1" applyAlignment="1">
      <alignment horizontal="right" vertical="center"/>
    </xf>
    <xf numFmtId="10" fontId="0" fillId="3" borderId="5" xfId="1" applyNumberFormat="1" applyFont="1" applyFill="1" applyBorder="1" applyAlignment="1">
      <alignment horizontal="right" vertical="center"/>
    </xf>
    <xf numFmtId="17" fontId="7" fillId="6" borderId="5" xfId="2" applyNumberFormat="1" applyFont="1" applyFill="1" applyBorder="1" applyAlignment="1">
      <alignment horizontal="center" vertical="center"/>
    </xf>
    <xf numFmtId="0" fontId="2" fillId="0" borderId="25" xfId="0" applyFont="1" applyBorder="1" applyAlignment="1">
      <alignment horizontal="left" vertical="top"/>
    </xf>
    <xf numFmtId="0" fontId="2" fillId="0" borderId="22" xfId="0" applyFont="1" applyBorder="1" applyAlignment="1">
      <alignment vertical="center" wrapText="1"/>
    </xf>
    <xf numFmtId="17" fontId="7" fillId="6" borderId="24" xfId="2" applyNumberFormat="1" applyFont="1" applyFill="1" applyBorder="1" applyAlignment="1">
      <alignment horizontal="center" vertical="top"/>
    </xf>
    <xf numFmtId="0" fontId="0" fillId="0" borderId="22" xfId="0" applyBorder="1" applyAlignment="1">
      <alignment horizontal="center" vertical="center"/>
    </xf>
    <xf numFmtId="0" fontId="7" fillId="4" borderId="24" xfId="0" applyFont="1" applyFill="1" applyBorder="1" applyAlignment="1">
      <alignment horizontal="center" vertical="center" wrapText="1"/>
    </xf>
    <xf numFmtId="0" fontId="7" fillId="0" borderId="5" xfId="0" applyFont="1" applyFill="1" applyBorder="1" applyAlignment="1">
      <alignment horizontal="center" vertical="center"/>
    </xf>
    <xf numFmtId="44" fontId="7" fillId="0" borderId="5" xfId="0" applyNumberFormat="1" applyFont="1" applyFill="1" applyBorder="1" applyAlignment="1">
      <alignment horizontal="center" vertical="center"/>
    </xf>
    <xf numFmtId="17" fontId="4" fillId="10" borderId="5" xfId="2" applyNumberFormat="1" applyFont="1" applyFill="1" applyBorder="1" applyAlignment="1">
      <alignment horizontal="center" vertical="center"/>
    </xf>
    <xf numFmtId="164" fontId="7" fillId="4" borderId="5" xfId="1" applyFont="1" applyFill="1" applyBorder="1" applyAlignment="1">
      <alignment vertical="center"/>
    </xf>
    <xf numFmtId="2" fontId="7" fillId="4" borderId="5" xfId="1" applyNumberFormat="1" applyFont="1" applyFill="1" applyBorder="1" applyAlignment="1">
      <alignment vertical="center"/>
    </xf>
    <xf numFmtId="0" fontId="4" fillId="10" borderId="5" xfId="0" applyFont="1" applyFill="1" applyBorder="1" applyAlignment="1">
      <alignment vertical="center"/>
    </xf>
    <xf numFmtId="165" fontId="13" fillId="10" borderId="5" xfId="0" applyNumberFormat="1" applyFont="1" applyFill="1" applyBorder="1" applyAlignment="1">
      <alignment vertical="center"/>
    </xf>
    <xf numFmtId="10" fontId="13" fillId="10" borderId="5" xfId="3" applyNumberFormat="1" applyFont="1" applyFill="1" applyBorder="1" applyAlignment="1">
      <alignment vertical="center" wrapText="1"/>
    </xf>
    <xf numFmtId="165" fontId="4" fillId="10" borderId="5" xfId="0" applyNumberFormat="1" applyFont="1" applyFill="1" applyBorder="1" applyAlignment="1">
      <alignment vertical="center"/>
    </xf>
    <xf numFmtId="0" fontId="1" fillId="0" borderId="21" xfId="0" applyFont="1" applyBorder="1" applyAlignment="1">
      <alignment vertical="center"/>
    </xf>
    <xf numFmtId="17" fontId="7" fillId="6" borderId="5" xfId="2" applyNumberFormat="1" applyFont="1" applyFill="1" applyBorder="1" applyAlignment="1">
      <alignment horizontal="center" vertical="center"/>
    </xf>
    <xf numFmtId="43" fontId="0" fillId="0" borderId="0" xfId="0" applyNumberFormat="1"/>
    <xf numFmtId="0" fontId="0" fillId="8" borderId="0" xfId="0" applyFill="1"/>
    <xf numFmtId="164" fontId="2" fillId="0" borderId="0" xfId="0" applyNumberFormat="1" applyFont="1" applyAlignment="1">
      <alignment horizontal="left" vertical="top"/>
    </xf>
    <xf numFmtId="43" fontId="2" fillId="0" borderId="26" xfId="0" applyNumberFormat="1" applyFont="1" applyBorder="1" applyAlignment="1">
      <alignment horizontal="left" vertical="top"/>
    </xf>
    <xf numFmtId="0" fontId="1" fillId="0" borderId="22" xfId="0" applyFont="1" applyBorder="1" applyAlignment="1">
      <alignment vertical="center" wrapText="1"/>
    </xf>
    <xf numFmtId="17" fontId="7" fillId="6" borderId="5" xfId="2" applyNumberFormat="1" applyFont="1" applyFill="1" applyBorder="1" applyAlignment="1">
      <alignment horizontal="center" vertical="center"/>
    </xf>
    <xf numFmtId="17" fontId="7" fillId="6" borderId="24" xfId="2" applyNumberFormat="1" applyFont="1" applyFill="1" applyBorder="1" applyAlignment="1">
      <alignment horizontal="center" vertical="top"/>
    </xf>
    <xf numFmtId="0" fontId="1" fillId="3" borderId="5" xfId="0" applyFont="1" applyFill="1" applyBorder="1" applyAlignment="1">
      <alignment vertical="center" wrapText="1"/>
    </xf>
    <xf numFmtId="0" fontId="0" fillId="0" borderId="0" xfId="0"/>
    <xf numFmtId="9" fontId="0" fillId="0" borderId="0" xfId="0" applyNumberFormat="1"/>
    <xf numFmtId="168" fontId="0" fillId="0" borderId="5" xfId="1" applyNumberFormat="1" applyFont="1" applyBorder="1" applyAlignment="1">
      <alignment horizontal="center" vertical="center"/>
    </xf>
    <xf numFmtId="168" fontId="2" fillId="0" borderId="5" xfId="1" applyNumberFormat="1" applyFont="1" applyBorder="1" applyAlignment="1">
      <alignment horizontal="center" vertical="center"/>
    </xf>
    <xf numFmtId="168" fontId="0" fillId="8" borderId="0" xfId="1" applyNumberFormat="1" applyFont="1" applyFill="1"/>
    <xf numFmtId="169" fontId="0" fillId="0" borderId="1" xfId="2" applyNumberFormat="1" applyFont="1" applyBorder="1" applyAlignment="1">
      <alignment horizontal="center" vertical="center"/>
    </xf>
    <xf numFmtId="169" fontId="1" fillId="0" borderId="1" xfId="2" applyNumberFormat="1" applyFont="1" applyBorder="1" applyAlignment="1">
      <alignment horizontal="center" vertical="center"/>
    </xf>
    <xf numFmtId="168" fontId="2" fillId="3" borderId="1" xfId="1" applyNumberFormat="1" applyFont="1" applyFill="1" applyBorder="1" applyAlignment="1">
      <alignment horizontal="center" vertical="center"/>
    </xf>
    <xf numFmtId="0" fontId="4" fillId="9" borderId="0" xfId="0" applyFont="1" applyFill="1" applyBorder="1" applyAlignment="1">
      <alignment horizontal="center" vertical="center" wrapText="1"/>
    </xf>
    <xf numFmtId="17" fontId="7" fillId="6" borderId="0" xfId="2" applyNumberFormat="1" applyFont="1" applyFill="1" applyBorder="1" applyAlignment="1">
      <alignment horizontal="center" vertical="top"/>
    </xf>
    <xf numFmtId="166" fontId="2" fillId="0" borderId="0" xfId="3" applyNumberFormat="1" applyFont="1" applyBorder="1" applyAlignment="1">
      <alignment vertical="center"/>
    </xf>
    <xf numFmtId="0" fontId="2" fillId="0" borderId="0" xfId="0" applyFont="1" applyBorder="1" applyAlignment="1">
      <alignment horizontal="left" vertical="center" wrapText="1"/>
    </xf>
    <xf numFmtId="0" fontId="12" fillId="0" borderId="0" xfId="0" applyFont="1" applyBorder="1" applyAlignment="1">
      <alignment horizontal="left" vertical="center" wrapText="1"/>
    </xf>
    <xf numFmtId="0" fontId="5" fillId="0" borderId="0" xfId="0" applyFont="1" applyBorder="1" applyAlignment="1">
      <alignment horizontal="left" vertical="center" wrapText="1"/>
    </xf>
    <xf numFmtId="10" fontId="2" fillId="0" borderId="0" xfId="3" applyNumberFormat="1" applyFont="1" applyBorder="1" applyAlignment="1">
      <alignment vertical="center"/>
    </xf>
    <xf numFmtId="168" fontId="7" fillId="4" borderId="24" xfId="1" applyNumberFormat="1" applyFont="1" applyFill="1" applyBorder="1" applyAlignment="1">
      <alignment horizontal="center" vertical="center" wrapText="1"/>
    </xf>
    <xf numFmtId="168" fontId="0" fillId="0" borderId="22" xfId="1" applyNumberFormat="1" applyFont="1" applyBorder="1" applyAlignment="1">
      <alignment horizontal="center" vertical="center"/>
    </xf>
    <xf numFmtId="168" fontId="7" fillId="0" borderId="5" xfId="1" applyNumberFormat="1" applyFont="1" applyFill="1" applyBorder="1" applyAlignment="1">
      <alignment horizontal="center" vertical="center"/>
    </xf>
    <xf numFmtId="168" fontId="0" fillId="0" borderId="20" xfId="1" applyNumberFormat="1" applyFont="1" applyBorder="1" applyAlignment="1">
      <alignment horizontal="center" vertical="center"/>
    </xf>
    <xf numFmtId="168" fontId="0" fillId="0" borderId="0" xfId="1" applyNumberFormat="1" applyFont="1"/>
    <xf numFmtId="9" fontId="1" fillId="3" borderId="5" xfId="0" applyNumberFormat="1" applyFont="1" applyFill="1" applyBorder="1" applyAlignment="1">
      <alignment vertical="center"/>
    </xf>
    <xf numFmtId="9" fontId="9" fillId="3" borderId="5" xfId="3" applyFont="1" applyFill="1" applyBorder="1" applyAlignment="1">
      <alignment vertical="center"/>
    </xf>
    <xf numFmtId="168" fontId="0" fillId="0" borderId="5" xfId="1" applyNumberFormat="1" applyFont="1" applyFill="1" applyBorder="1" applyAlignment="1">
      <alignment horizontal="right" vertical="center"/>
    </xf>
    <xf numFmtId="9" fontId="2" fillId="0" borderId="0" xfId="3" applyFont="1" applyAlignment="1">
      <alignment horizontal="center" vertical="center"/>
    </xf>
    <xf numFmtId="164" fontId="2" fillId="0" borderId="0" xfId="1" applyFont="1" applyAlignment="1">
      <alignment horizontal="center" vertical="center"/>
    </xf>
    <xf numFmtId="168" fontId="0" fillId="0" borderId="5" xfId="1" applyNumberFormat="1" applyFont="1" applyBorder="1" applyAlignment="1">
      <alignment horizontal="right" vertical="center"/>
    </xf>
    <xf numFmtId="168" fontId="0" fillId="0" borderId="0" xfId="1" applyNumberFormat="1" applyFont="1" applyFill="1"/>
    <xf numFmtId="168" fontId="0" fillId="0" borderId="0" xfId="1" applyNumberFormat="1" applyFont="1" applyFill="1" applyAlignment="1">
      <alignment horizontal="right" vertical="top"/>
    </xf>
    <xf numFmtId="168" fontId="0" fillId="3" borderId="5" xfId="1" applyNumberFormat="1" applyFont="1" applyFill="1" applyBorder="1" applyAlignment="1">
      <alignment horizontal="right" vertical="center"/>
    </xf>
    <xf numFmtId="0" fontId="2" fillId="0" borderId="0" xfId="0" applyFont="1" applyBorder="1"/>
    <xf numFmtId="0" fontId="1" fillId="0" borderId="14" xfId="0" applyFont="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1" fillId="3" borderId="14" xfId="0" applyFont="1" applyFill="1" applyBorder="1" applyAlignment="1">
      <alignment vertical="center"/>
    </xf>
    <xf numFmtId="0" fontId="1" fillId="3" borderId="15" xfId="0" applyFont="1" applyFill="1" applyBorder="1" applyAlignment="1">
      <alignment vertical="center"/>
    </xf>
    <xf numFmtId="0" fontId="1" fillId="3" borderId="16" xfId="0" applyFont="1" applyFill="1" applyBorder="1" applyAlignment="1">
      <alignment vertical="center"/>
    </xf>
    <xf numFmtId="164" fontId="2" fillId="0" borderId="0" xfId="1" applyFont="1" applyBorder="1"/>
    <xf numFmtId="9" fontId="2" fillId="0" borderId="0" xfId="3" applyFont="1" applyBorder="1"/>
    <xf numFmtId="0" fontId="0" fillId="0" borderId="0" xfId="0" applyNumberFormat="1" applyFill="1"/>
    <xf numFmtId="0" fontId="0" fillId="0" borderId="0" xfId="2" applyNumberFormat="1" applyFont="1" applyFill="1"/>
    <xf numFmtId="17" fontId="7" fillId="6" borderId="15" xfId="2" applyNumberFormat="1" applyFont="1" applyFill="1" applyBorder="1" applyAlignment="1">
      <alignment vertical="center"/>
    </xf>
    <xf numFmtId="17" fontId="7" fillId="6" borderId="16" xfId="2" applyNumberFormat="1" applyFont="1" applyFill="1" applyBorder="1" applyAlignment="1">
      <alignment vertical="center"/>
    </xf>
    <xf numFmtId="168" fontId="2" fillId="0" borderId="22" xfId="1" applyNumberFormat="1" applyFont="1" applyBorder="1" applyAlignment="1">
      <alignment vertical="center" wrapText="1"/>
    </xf>
    <xf numFmtId="168" fontId="2" fillId="0" borderId="5" xfId="1" applyNumberFormat="1" applyFont="1" applyBorder="1" applyAlignment="1">
      <alignment vertical="center"/>
    </xf>
    <xf numFmtId="2" fontId="1" fillId="11" borderId="5" xfId="1" applyNumberFormat="1" applyFont="1" applyFill="1" applyBorder="1" applyAlignment="1">
      <alignment vertical="center"/>
    </xf>
    <xf numFmtId="164" fontId="1" fillId="11" borderId="5" xfId="1" applyFont="1" applyFill="1" applyBorder="1" applyAlignment="1">
      <alignment vertical="center"/>
    </xf>
    <xf numFmtId="9" fontId="1" fillId="11" borderId="5" xfId="3" applyFont="1" applyFill="1" applyBorder="1" applyAlignment="1">
      <alignment vertical="center"/>
    </xf>
    <xf numFmtId="0" fontId="18" fillId="3" borderId="0" xfId="0" applyFont="1" applyFill="1"/>
    <xf numFmtId="43" fontId="6" fillId="10" borderId="23" xfId="0" applyNumberFormat="1" applyFont="1" applyFill="1" applyBorder="1" applyAlignment="1">
      <alignment horizontal="center" vertical="center"/>
    </xf>
    <xf numFmtId="2" fontId="19" fillId="11" borderId="5" xfId="1" applyNumberFormat="1" applyFont="1" applyFill="1" applyBorder="1" applyAlignment="1">
      <alignment vertical="center"/>
    </xf>
    <xf numFmtId="164" fontId="18" fillId="3" borderId="0" xfId="1" applyFont="1" applyFill="1"/>
    <xf numFmtId="168" fontId="18" fillId="3" borderId="0" xfId="1" applyNumberFormat="1" applyFont="1" applyFill="1"/>
    <xf numFmtId="0" fontId="18" fillId="0" borderId="0" xfId="0" applyFont="1"/>
    <xf numFmtId="43" fontId="0" fillId="3" borderId="0" xfId="1" applyNumberFormat="1" applyFont="1" applyFill="1"/>
    <xf numFmtId="0" fontId="0" fillId="0" borderId="3" xfId="0" applyFill="1" applyBorder="1" applyAlignment="1">
      <alignment horizontal="left" wrapText="1"/>
    </xf>
    <xf numFmtId="0" fontId="0" fillId="0" borderId="4" xfId="0" applyFill="1" applyBorder="1" applyAlignment="1">
      <alignment horizontal="left" wrapText="1"/>
    </xf>
    <xf numFmtId="0" fontId="0" fillId="0" borderId="2" xfId="0" applyFill="1" applyBorder="1" applyAlignment="1">
      <alignment horizontal="left" wrapText="1"/>
    </xf>
    <xf numFmtId="0" fontId="0" fillId="0" borderId="1" xfId="0" applyFill="1" applyBorder="1" applyAlignment="1">
      <alignment horizontal="left"/>
    </xf>
    <xf numFmtId="0" fontId="1" fillId="0" borderId="1" xfId="0" applyFont="1" applyBorder="1" applyAlignment="1">
      <alignment horizontal="left"/>
    </xf>
    <xf numFmtId="0" fontId="1" fillId="4" borderId="5" xfId="0" applyFont="1" applyFill="1" applyBorder="1" applyAlignment="1">
      <alignment horizontal="center" vertical="center"/>
    </xf>
    <xf numFmtId="0" fontId="1" fillId="0" borderId="21" xfId="0" applyFont="1" applyBorder="1" applyAlignment="1">
      <alignment horizontal="left" vertical="center" wrapText="1"/>
    </xf>
    <xf numFmtId="0" fontId="1" fillId="0" borderId="22" xfId="0" applyFont="1" applyBorder="1" applyAlignment="1">
      <alignment horizontal="left" vertical="center" wrapText="1"/>
    </xf>
    <xf numFmtId="0" fontId="7" fillId="6" borderId="5" xfId="0" applyFont="1" applyFill="1" applyBorder="1" applyAlignment="1">
      <alignment horizontal="center" vertical="center"/>
    </xf>
    <xf numFmtId="0" fontId="4" fillId="9" borderId="0" xfId="0" applyFont="1" applyFill="1" applyAlignment="1">
      <alignment horizontal="center" vertical="center" wrapText="1"/>
    </xf>
    <xf numFmtId="0" fontId="4" fillId="9" borderId="12" xfId="0" applyFont="1" applyFill="1" applyBorder="1" applyAlignment="1">
      <alignment horizontal="center" vertical="center" wrapText="1"/>
    </xf>
    <xf numFmtId="17" fontId="7" fillId="6" borderId="14" xfId="2" applyNumberFormat="1" applyFont="1" applyFill="1" applyBorder="1" applyAlignment="1">
      <alignment horizontal="center" vertical="center"/>
    </xf>
    <xf numFmtId="17" fontId="7" fillId="6" borderId="15" xfId="2" applyNumberFormat="1" applyFont="1" applyFill="1" applyBorder="1" applyAlignment="1">
      <alignment horizontal="center" vertical="center"/>
    </xf>
    <xf numFmtId="0" fontId="1" fillId="0" borderId="1" xfId="0" applyFont="1" applyBorder="1" applyAlignment="1">
      <alignment horizontal="center" vertical="center"/>
    </xf>
    <xf numFmtId="0" fontId="1" fillId="7" borderId="1" xfId="0" applyFont="1" applyFill="1"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vertical="center"/>
    </xf>
    <xf numFmtId="0" fontId="5" fillId="0" borderId="5" xfId="0" applyFont="1" applyBorder="1" applyAlignment="1">
      <alignment horizontal="left" vertical="center" wrapText="1"/>
    </xf>
    <xf numFmtId="0" fontId="4" fillId="9" borderId="21" xfId="0" applyFont="1" applyFill="1" applyBorder="1" applyAlignment="1">
      <alignment horizontal="center" vertical="center" wrapText="1"/>
    </xf>
    <xf numFmtId="17" fontId="7" fillId="6" borderId="25" xfId="2" applyNumberFormat="1" applyFont="1" applyFill="1" applyBorder="1" applyAlignment="1">
      <alignment horizontal="center" vertical="center"/>
    </xf>
    <xf numFmtId="17" fontId="7" fillId="6" borderId="26" xfId="2" applyNumberFormat="1" applyFont="1" applyFill="1" applyBorder="1" applyAlignment="1">
      <alignment horizontal="center" vertical="center"/>
    </xf>
    <xf numFmtId="0" fontId="2" fillId="0" borderId="5" xfId="0" applyFont="1" applyBorder="1" applyAlignment="1">
      <alignment horizontal="left" vertical="center" wrapText="1"/>
    </xf>
    <xf numFmtId="0" fontId="12" fillId="0" borderId="5" xfId="0" applyFont="1" applyBorder="1" applyAlignment="1">
      <alignment horizontal="left" vertical="center" wrapText="1"/>
    </xf>
    <xf numFmtId="17" fontId="7" fillId="6" borderId="24" xfId="2" applyNumberFormat="1" applyFont="1" applyFill="1" applyBorder="1" applyAlignment="1">
      <alignment horizontal="center" vertical="top"/>
    </xf>
    <xf numFmtId="44" fontId="0" fillId="0" borderId="0" xfId="0" applyNumberFormat="1" applyAlignment="1">
      <alignment horizontal="center"/>
    </xf>
    <xf numFmtId="0" fontId="0" fillId="0" borderId="0" xfId="0" applyAlignment="1">
      <alignment horizontal="center"/>
    </xf>
    <xf numFmtId="0" fontId="1" fillId="6" borderId="0" xfId="0" applyFont="1" applyFill="1" applyAlignment="1">
      <alignment horizontal="center" vertical="center" wrapText="1"/>
    </xf>
    <xf numFmtId="0" fontId="1" fillId="6" borderId="0" xfId="0" applyFont="1" applyFill="1" applyBorder="1" applyAlignment="1">
      <alignment horizontal="center" vertical="center" wrapText="1"/>
    </xf>
    <xf numFmtId="0" fontId="4" fillId="9" borderId="0" xfId="0" applyFont="1" applyFill="1" applyAlignment="1">
      <alignment horizontal="center"/>
    </xf>
    <xf numFmtId="0" fontId="1" fillId="3" borderId="21" xfId="0" applyFont="1" applyFill="1" applyBorder="1" applyAlignment="1">
      <alignment horizontal="center" vertical="center" wrapText="1"/>
    </xf>
    <xf numFmtId="0" fontId="1" fillId="3" borderId="22" xfId="0" applyFont="1" applyFill="1" applyBorder="1" applyAlignment="1">
      <alignment horizontal="center" vertical="center" wrapText="1"/>
    </xf>
    <xf numFmtId="44" fontId="6" fillId="10" borderId="5" xfId="2" applyFont="1" applyFill="1" applyBorder="1" applyAlignment="1">
      <alignment horizontal="center" vertical="center" wrapText="1"/>
    </xf>
    <xf numFmtId="0" fontId="4" fillId="10" borderId="5" xfId="0" applyFont="1" applyFill="1" applyBorder="1" applyAlignment="1">
      <alignment horizontal="left" vertical="center"/>
    </xf>
    <xf numFmtId="0" fontId="4" fillId="10" borderId="5" xfId="0" applyFont="1" applyFill="1" applyBorder="1" applyAlignment="1">
      <alignment horizontal="center" vertical="center"/>
    </xf>
    <xf numFmtId="17" fontId="4" fillId="10" borderId="5" xfId="2" applyNumberFormat="1" applyFont="1" applyFill="1" applyBorder="1" applyAlignment="1">
      <alignment horizontal="center" vertical="center" wrapText="1"/>
    </xf>
    <xf numFmtId="0" fontId="1" fillId="3" borderId="5" xfId="0" applyFont="1" applyFill="1" applyBorder="1" applyAlignment="1">
      <alignment vertical="center" wrapText="1"/>
    </xf>
    <xf numFmtId="0" fontId="1" fillId="4" borderId="5" xfId="0" applyFont="1" applyFill="1" applyBorder="1" applyAlignment="1">
      <alignment vertical="center" wrapText="1"/>
    </xf>
    <xf numFmtId="10" fontId="1" fillId="3" borderId="6" xfId="3" applyNumberFormat="1" applyFont="1" applyFill="1" applyBorder="1" applyAlignment="1">
      <alignment horizontal="left" vertical="center" wrapText="1"/>
    </xf>
    <xf numFmtId="10" fontId="1" fillId="3" borderId="7" xfId="3" applyNumberFormat="1" applyFont="1" applyFill="1" applyBorder="1" applyAlignment="1">
      <alignment horizontal="left" vertical="center" wrapText="1"/>
    </xf>
    <xf numFmtId="10" fontId="1" fillId="3" borderId="8" xfId="3" applyNumberFormat="1" applyFont="1" applyFill="1" applyBorder="1" applyAlignment="1">
      <alignment horizontal="left" vertical="center" wrapText="1"/>
    </xf>
    <xf numFmtId="10" fontId="1" fillId="3" borderId="9" xfId="3" applyNumberFormat="1" applyFont="1" applyFill="1" applyBorder="1" applyAlignment="1">
      <alignment horizontal="left" vertical="center" wrapText="1"/>
    </xf>
    <xf numFmtId="10" fontId="1" fillId="3" borderId="0" xfId="3" applyNumberFormat="1" applyFont="1" applyFill="1" applyBorder="1" applyAlignment="1">
      <alignment horizontal="left" vertical="center" wrapText="1"/>
    </xf>
    <xf numFmtId="10" fontId="1" fillId="3" borderId="10" xfId="3" applyNumberFormat="1" applyFont="1" applyFill="1" applyBorder="1" applyAlignment="1">
      <alignment horizontal="left" vertical="center" wrapText="1"/>
    </xf>
    <xf numFmtId="10" fontId="1" fillId="3" borderId="11" xfId="3" applyNumberFormat="1" applyFont="1" applyFill="1" applyBorder="1" applyAlignment="1">
      <alignment horizontal="left" vertical="center" wrapText="1"/>
    </xf>
    <xf numFmtId="10" fontId="1" fillId="3" borderId="12" xfId="3" applyNumberFormat="1" applyFont="1" applyFill="1" applyBorder="1" applyAlignment="1">
      <alignment horizontal="left" vertical="center" wrapText="1"/>
    </xf>
    <xf numFmtId="10" fontId="1" fillId="3" borderId="13" xfId="3" applyNumberFormat="1" applyFont="1" applyFill="1" applyBorder="1" applyAlignment="1">
      <alignment horizontal="left" vertical="center" wrapText="1"/>
    </xf>
    <xf numFmtId="165" fontId="0" fillId="3" borderId="14" xfId="0" applyNumberFormat="1" applyFill="1" applyBorder="1" applyAlignment="1">
      <alignment horizontal="center" vertical="center"/>
    </xf>
    <xf numFmtId="0" fontId="0" fillId="3" borderId="15" xfId="0" applyFill="1" applyBorder="1" applyAlignment="1">
      <alignment horizontal="center" vertical="center"/>
    </xf>
    <xf numFmtId="0" fontId="0" fillId="3" borderId="16" xfId="0" applyFill="1" applyBorder="1" applyAlignment="1">
      <alignment horizontal="center" vertical="center"/>
    </xf>
    <xf numFmtId="0" fontId="0" fillId="3" borderId="5" xfId="0" applyFill="1" applyBorder="1" applyAlignment="1">
      <alignment vertical="center" wrapText="1"/>
    </xf>
    <xf numFmtId="0" fontId="8" fillId="3" borderId="17" xfId="0" applyFont="1" applyFill="1" applyBorder="1" applyAlignment="1">
      <alignment horizontal="left"/>
    </xf>
    <xf numFmtId="0" fontId="8" fillId="3" borderId="18" xfId="0" applyFont="1" applyFill="1" applyBorder="1" applyAlignment="1">
      <alignment horizontal="left"/>
    </xf>
    <xf numFmtId="0" fontId="8" fillId="3" borderId="27" xfId="0" applyFont="1" applyFill="1" applyBorder="1" applyAlignment="1">
      <alignment horizontal="left"/>
    </xf>
    <xf numFmtId="0" fontId="8" fillId="3" borderId="19" xfId="0" applyFont="1" applyFill="1" applyBorder="1" applyAlignment="1">
      <alignment horizontal="left"/>
    </xf>
    <xf numFmtId="0" fontId="8" fillId="3" borderId="17" xfId="0" applyFont="1" applyFill="1" applyBorder="1" applyAlignment="1">
      <alignment horizontal="left" vertical="top" wrapText="1"/>
    </xf>
    <xf numFmtId="0" fontId="8" fillId="3" borderId="18" xfId="0" applyFont="1" applyFill="1" applyBorder="1" applyAlignment="1">
      <alignment horizontal="left" vertical="top" wrapText="1"/>
    </xf>
    <xf numFmtId="0" fontId="8" fillId="3" borderId="27" xfId="0" applyFont="1" applyFill="1" applyBorder="1" applyAlignment="1">
      <alignment horizontal="left" vertical="top" wrapText="1"/>
    </xf>
    <xf numFmtId="0" fontId="8" fillId="3" borderId="19" xfId="0" applyFont="1" applyFill="1" applyBorder="1" applyAlignment="1">
      <alignment horizontal="left" vertical="top" wrapText="1"/>
    </xf>
    <xf numFmtId="0" fontId="6" fillId="10" borderId="14" xfId="0" applyFont="1" applyFill="1" applyBorder="1" applyAlignment="1">
      <alignment horizontal="left" vertical="center"/>
    </xf>
    <xf numFmtId="0" fontId="6" fillId="10" borderId="16" xfId="0" applyFont="1" applyFill="1" applyBorder="1" applyAlignment="1">
      <alignment horizontal="left" vertical="center"/>
    </xf>
    <xf numFmtId="0" fontId="1" fillId="3" borderId="14" xfId="0" applyFont="1" applyFill="1" applyBorder="1" applyAlignment="1">
      <alignment horizontal="center" vertical="center"/>
    </xf>
    <xf numFmtId="0" fontId="1" fillId="3" borderId="15" xfId="0" applyFont="1" applyFill="1" applyBorder="1" applyAlignment="1">
      <alignment horizontal="center" vertical="center"/>
    </xf>
    <xf numFmtId="0" fontId="1" fillId="3" borderId="16" xfId="0" applyFont="1" applyFill="1" applyBorder="1" applyAlignment="1">
      <alignment horizontal="center" vertical="center"/>
    </xf>
    <xf numFmtId="0" fontId="1" fillId="4" borderId="5" xfId="0" applyFont="1" applyFill="1" applyBorder="1" applyAlignment="1">
      <alignment vertical="center"/>
    </xf>
    <xf numFmtId="168" fontId="2" fillId="0" borderId="0" xfId="1" applyNumberFormat="1" applyFont="1" applyBorder="1"/>
    <xf numFmtId="168" fontId="2" fillId="0" borderId="0" xfId="0" applyNumberFormat="1" applyFont="1" applyBorder="1"/>
  </cellXfs>
  <cellStyles count="116">
    <cellStyle name="Comma" xfId="1" builtinId="3"/>
    <cellStyle name="Comma 2" xfId="4"/>
    <cellStyle name="Comma 2 2" xfId="12"/>
    <cellStyle name="Comma 2 2 2" xfId="13"/>
    <cellStyle name="Comma 2 2 2 2" xfId="14"/>
    <cellStyle name="Comma 2 3" xfId="10"/>
    <cellStyle name="Comma 3" xfId="15"/>
    <cellStyle name="Comma 4" xfId="11"/>
    <cellStyle name="Comma 4 2" xfId="16"/>
    <cellStyle name="Comma 4 2 10" xfId="17"/>
    <cellStyle name="Comma 4 2 11" xfId="18"/>
    <cellStyle name="Comma 4 2 2" xfId="19"/>
    <cellStyle name="Comma 4 2 2 2" xfId="20"/>
    <cellStyle name="Comma 4 2 2 3" xfId="21"/>
    <cellStyle name="Comma 4 2 2 4" xfId="22"/>
    <cellStyle name="Comma 4 2 2 5" xfId="23"/>
    <cellStyle name="Comma 4 2 2 6" xfId="24"/>
    <cellStyle name="Comma 4 2 2 7" xfId="25"/>
    <cellStyle name="Comma 4 2 3" xfId="26"/>
    <cellStyle name="Comma 4 2 3 2" xfId="27"/>
    <cellStyle name="Comma 4 2 3 3" xfId="28"/>
    <cellStyle name="Comma 4 2 3 4" xfId="29"/>
    <cellStyle name="Comma 4 2 3 5" xfId="30"/>
    <cellStyle name="Comma 4 2 3 6" xfId="31"/>
    <cellStyle name="Comma 4 2 3 7" xfId="32"/>
    <cellStyle name="Comma 4 2 4" xfId="33"/>
    <cellStyle name="Comma 4 2 4 2" xfId="34"/>
    <cellStyle name="Comma 4 2 4 3" xfId="35"/>
    <cellStyle name="Comma 4 2 4 4" xfId="36"/>
    <cellStyle name="Comma 4 2 4 5" xfId="37"/>
    <cellStyle name="Comma 4 2 4 6" xfId="38"/>
    <cellStyle name="Comma 4 2 4 7" xfId="39"/>
    <cellStyle name="Comma 4 2 5" xfId="40"/>
    <cellStyle name="Comma 4 2 6" xfId="41"/>
    <cellStyle name="Comma 4 2 7" xfId="42"/>
    <cellStyle name="Comma 4 2 8" xfId="43"/>
    <cellStyle name="Comma 4 2 9" xfId="44"/>
    <cellStyle name="Comma 5" xfId="7"/>
    <cellStyle name="Comma 5 10" xfId="45"/>
    <cellStyle name="Comma 5 11" xfId="46"/>
    <cellStyle name="Comma 5 12" xfId="47"/>
    <cellStyle name="Comma 5 13" xfId="48"/>
    <cellStyle name="Comma 5 2" xfId="49"/>
    <cellStyle name="Comma 5 2 2" xfId="50"/>
    <cellStyle name="Comma 5 2 3" xfId="51"/>
    <cellStyle name="Comma 5 2 4" xfId="52"/>
    <cellStyle name="Comma 5 2 5" xfId="53"/>
    <cellStyle name="Comma 5 2 6" xfId="54"/>
    <cellStyle name="Comma 5 2 7" xfId="55"/>
    <cellStyle name="Comma 5 3" xfId="56"/>
    <cellStyle name="Comma 5 3 2" xfId="57"/>
    <cellStyle name="Comma 5 3 3" xfId="58"/>
    <cellStyle name="Comma 5 3 4" xfId="59"/>
    <cellStyle name="Comma 5 3 5" xfId="60"/>
    <cellStyle name="Comma 5 3 6" xfId="61"/>
    <cellStyle name="Comma 5 3 7" xfId="62"/>
    <cellStyle name="Comma 5 4" xfId="9"/>
    <cellStyle name="Comma 5 4 2" xfId="63"/>
    <cellStyle name="Comma 5 4 3" xfId="64"/>
    <cellStyle name="Comma 5 4 4" xfId="65"/>
    <cellStyle name="Comma 5 4 5" xfId="66"/>
    <cellStyle name="Comma 5 5" xfId="67"/>
    <cellStyle name="Comma 5 5 2" xfId="68"/>
    <cellStyle name="Comma 5 5 3" xfId="69"/>
    <cellStyle name="Comma 5 5 4" xfId="70"/>
    <cellStyle name="Comma 5 5 5" xfId="71"/>
    <cellStyle name="Comma 5 6" xfId="72"/>
    <cellStyle name="Comma 5 6 2" xfId="73"/>
    <cellStyle name="Comma 5 6 3" xfId="74"/>
    <cellStyle name="Comma 5 6 4" xfId="75"/>
    <cellStyle name="Comma 5 6 5" xfId="76"/>
    <cellStyle name="Comma 5 7" xfId="77"/>
    <cellStyle name="Comma 5 7 2" xfId="78"/>
    <cellStyle name="Comma 5 7 3" xfId="79"/>
    <cellStyle name="Comma 5 7 4" xfId="80"/>
    <cellStyle name="Comma 5 7 5" xfId="81"/>
    <cellStyle name="Comma 5 8" xfId="82"/>
    <cellStyle name="Comma 5 8 2" xfId="83"/>
    <cellStyle name="Comma 5 8 3" xfId="84"/>
    <cellStyle name="Comma 5 8 4" xfId="85"/>
    <cellStyle name="Comma 5 8 5" xfId="86"/>
    <cellStyle name="Comma 5 9" xfId="87"/>
    <cellStyle name="Comma 6" xfId="88"/>
    <cellStyle name="Comma 6 2" xfId="89"/>
    <cellStyle name="Comma 6 3" xfId="90"/>
    <cellStyle name="Comma 6 4" xfId="91"/>
    <cellStyle name="Comma 6 5" xfId="92"/>
    <cellStyle name="Comma 6 6" xfId="93"/>
    <cellStyle name="Comma 6 7" xfId="94"/>
    <cellStyle name="Comma 7" xfId="95"/>
    <cellStyle name="Comma 8" xfId="114"/>
    <cellStyle name="Currency" xfId="2" builtinId="4"/>
    <cellStyle name="Currency 2" xfId="115"/>
    <cellStyle name="Excel Built-in Excel Built-in Excel Built-in Excel Built-in Excel Built-in Excel Built-in Excel Built-in Excel Built-in Excel" xfId="96"/>
    <cellStyle name="Normal" xfId="0" builtinId="0"/>
    <cellStyle name="Normal 10" xfId="97"/>
    <cellStyle name="Normal 2" xfId="5"/>
    <cellStyle name="Normal 2 2" xfId="6"/>
    <cellStyle name="Normal 3" xfId="8"/>
    <cellStyle name="Normal 4" xfId="98"/>
    <cellStyle name="Normal 4 2" xfId="99"/>
    <cellStyle name="Normal 4 3" xfId="100"/>
    <cellStyle name="Normal 4 4" xfId="101"/>
    <cellStyle name="Normal 4 5" xfId="102"/>
    <cellStyle name="Normal 4 6" xfId="103"/>
    <cellStyle name="Normal 4 7" xfId="104"/>
    <cellStyle name="Normal 4 8" xfId="105"/>
    <cellStyle name="Normal 5" xfId="106"/>
    <cellStyle name="Normal 5 2" xfId="107"/>
    <cellStyle name="Normal 5 3" xfId="108"/>
    <cellStyle name="Normal 5 4" xfId="109"/>
    <cellStyle name="Normal 5 5" xfId="110"/>
    <cellStyle name="Normal 5 6" xfId="111"/>
    <cellStyle name="Normal 5 7" xfId="112"/>
    <cellStyle name="Percent" xfId="3" builtinId="5"/>
    <cellStyle name="Percent 2" xfId="1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247650</xdr:colOff>
      <xdr:row>13</xdr:row>
      <xdr:rowOff>238125</xdr:rowOff>
    </xdr:to>
    <xdr:pic>
      <xdr:nvPicPr>
        <xdr:cNvPr id="2" name="Picture 1"/>
        <xdr:cNvPicPr>
          <a:picLocks noChangeAspect="1"/>
        </xdr:cNvPicPr>
      </xdr:nvPicPr>
      <xdr:blipFill rotWithShape="1">
        <a:blip xmlns:r="http://schemas.openxmlformats.org/officeDocument/2006/relationships" r:embed="rId1"/>
        <a:srcRect l="15346" t="7291" r="14804" b="25682"/>
        <a:stretch/>
      </xdr:blipFill>
      <xdr:spPr>
        <a:xfrm>
          <a:off x="0" y="0"/>
          <a:ext cx="5029200" cy="2714625"/>
        </a:xfrm>
        <a:prstGeom prst="rect">
          <a:avLst/>
        </a:prstGeom>
      </xdr:spPr>
    </xdr:pic>
    <xdr:clientData/>
  </xdr:twoCellAnchor>
  <xdr:twoCellAnchor editAs="oneCell">
    <xdr:from>
      <xdr:col>7</xdr:col>
      <xdr:colOff>428625</xdr:colOff>
      <xdr:row>0</xdr:row>
      <xdr:rowOff>0</xdr:rowOff>
    </xdr:from>
    <xdr:to>
      <xdr:col>14</xdr:col>
      <xdr:colOff>323850</xdr:colOff>
      <xdr:row>13</xdr:row>
      <xdr:rowOff>28576</xdr:rowOff>
    </xdr:to>
    <xdr:pic>
      <xdr:nvPicPr>
        <xdr:cNvPr id="3" name="Picture 2"/>
        <xdr:cNvPicPr>
          <a:picLocks noChangeAspect="1"/>
        </xdr:cNvPicPr>
      </xdr:nvPicPr>
      <xdr:blipFill rotWithShape="1">
        <a:blip xmlns:r="http://schemas.openxmlformats.org/officeDocument/2006/relationships" r:embed="rId2"/>
        <a:srcRect l="15610" t="7761" r="15598" b="30385"/>
        <a:stretch/>
      </xdr:blipFill>
      <xdr:spPr>
        <a:xfrm>
          <a:off x="5210175" y="0"/>
          <a:ext cx="4953000" cy="2505076"/>
        </a:xfrm>
        <a:prstGeom prst="rect">
          <a:avLst/>
        </a:prstGeom>
      </xdr:spPr>
    </xdr:pic>
    <xdr:clientData/>
  </xdr:twoCellAnchor>
  <xdr:twoCellAnchor editAs="oneCell">
    <xdr:from>
      <xdr:col>0</xdr:col>
      <xdr:colOff>85725</xdr:colOff>
      <xdr:row>13</xdr:row>
      <xdr:rowOff>228600</xdr:rowOff>
    </xdr:from>
    <xdr:to>
      <xdr:col>6</xdr:col>
      <xdr:colOff>342900</xdr:colOff>
      <xdr:row>30</xdr:row>
      <xdr:rowOff>0</xdr:rowOff>
    </xdr:to>
    <xdr:pic>
      <xdr:nvPicPr>
        <xdr:cNvPr id="4" name="Picture 3"/>
        <xdr:cNvPicPr>
          <a:picLocks noChangeAspect="1"/>
        </xdr:cNvPicPr>
      </xdr:nvPicPr>
      <xdr:blipFill rotWithShape="1">
        <a:blip xmlns:r="http://schemas.openxmlformats.org/officeDocument/2006/relationships" r:embed="rId3"/>
        <a:srcRect l="18653" t="7996" r="19831" b="4044"/>
        <a:stretch/>
      </xdr:blipFill>
      <xdr:spPr>
        <a:xfrm>
          <a:off x="85725" y="2705100"/>
          <a:ext cx="4429125" cy="3562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114300</xdr:colOff>
      <xdr:row>9</xdr:row>
      <xdr:rowOff>47625</xdr:rowOff>
    </xdr:to>
    <xdr:pic>
      <xdr:nvPicPr>
        <xdr:cNvPr id="2" name="Picture 1"/>
        <xdr:cNvPicPr>
          <a:picLocks noChangeAspect="1"/>
        </xdr:cNvPicPr>
      </xdr:nvPicPr>
      <xdr:blipFill rotWithShape="1">
        <a:blip xmlns:r="http://schemas.openxmlformats.org/officeDocument/2006/relationships" r:embed="rId1"/>
        <a:srcRect l="34793" t="27752" r="12819" b="28739"/>
        <a:stretch/>
      </xdr:blipFill>
      <xdr:spPr>
        <a:xfrm>
          <a:off x="0" y="0"/>
          <a:ext cx="3771900" cy="1762125"/>
        </a:xfrm>
        <a:prstGeom prst="rect">
          <a:avLst/>
        </a:prstGeom>
      </xdr:spPr>
    </xdr:pic>
    <xdr:clientData/>
  </xdr:twoCellAnchor>
  <xdr:twoCellAnchor editAs="oneCell">
    <xdr:from>
      <xdr:col>0</xdr:col>
      <xdr:colOff>0</xdr:colOff>
      <xdr:row>9</xdr:row>
      <xdr:rowOff>57150</xdr:rowOff>
    </xdr:from>
    <xdr:to>
      <xdr:col>6</xdr:col>
      <xdr:colOff>161925</xdr:colOff>
      <xdr:row>18</xdr:row>
      <xdr:rowOff>123825</xdr:rowOff>
    </xdr:to>
    <xdr:pic>
      <xdr:nvPicPr>
        <xdr:cNvPr id="3" name="Picture 2"/>
        <xdr:cNvPicPr>
          <a:picLocks noChangeAspect="1"/>
        </xdr:cNvPicPr>
      </xdr:nvPicPr>
      <xdr:blipFill rotWithShape="1">
        <a:blip xmlns:r="http://schemas.openxmlformats.org/officeDocument/2006/relationships" r:embed="rId2"/>
        <a:srcRect l="34396" t="42333" r="12555" b="13687"/>
        <a:stretch/>
      </xdr:blipFill>
      <xdr:spPr>
        <a:xfrm>
          <a:off x="0" y="1771650"/>
          <a:ext cx="3819525" cy="1781175"/>
        </a:xfrm>
        <a:prstGeom prst="rect">
          <a:avLst/>
        </a:prstGeom>
      </xdr:spPr>
    </xdr:pic>
    <xdr:clientData/>
  </xdr:twoCellAnchor>
  <xdr:twoCellAnchor editAs="oneCell">
    <xdr:from>
      <xdr:col>0</xdr:col>
      <xdr:colOff>0</xdr:colOff>
      <xdr:row>18</xdr:row>
      <xdr:rowOff>76199</xdr:rowOff>
    </xdr:from>
    <xdr:to>
      <xdr:col>6</xdr:col>
      <xdr:colOff>152400</xdr:colOff>
      <xdr:row>26</xdr:row>
      <xdr:rowOff>152400</xdr:rowOff>
    </xdr:to>
    <xdr:pic>
      <xdr:nvPicPr>
        <xdr:cNvPr id="4" name="Picture 3"/>
        <xdr:cNvPicPr>
          <a:picLocks noChangeAspect="1"/>
        </xdr:cNvPicPr>
      </xdr:nvPicPr>
      <xdr:blipFill rotWithShape="1">
        <a:blip xmlns:r="http://schemas.openxmlformats.org/officeDocument/2006/relationships" r:embed="rId3"/>
        <a:srcRect l="34396" t="22342" r="12688" b="38147"/>
        <a:stretch/>
      </xdr:blipFill>
      <xdr:spPr>
        <a:xfrm>
          <a:off x="0" y="3505199"/>
          <a:ext cx="3810000" cy="16002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K62"/>
  <sheetViews>
    <sheetView topLeftCell="E1" zoomScaleNormal="100" workbookViewId="0">
      <selection activeCell="M8" sqref="M8"/>
    </sheetView>
  </sheetViews>
  <sheetFormatPr defaultRowHeight="15" x14ac:dyDescent="0.25"/>
  <cols>
    <col min="5" max="5" width="46.7109375" bestFit="1" customWidth="1"/>
    <col min="6" max="6" width="30" bestFit="1" customWidth="1"/>
    <col min="7" max="7" width="15.28515625" bestFit="1" customWidth="1"/>
    <col min="8" max="8" width="9.140625" style="85" customWidth="1"/>
    <col min="9" max="9" width="9.140625" style="123" customWidth="1"/>
  </cols>
  <sheetData>
    <row r="1" spans="5:9" ht="15.75" thickBot="1" x14ac:dyDescent="0.3"/>
    <row r="2" spans="5:9" ht="16.5" thickTop="1" thickBot="1" x14ac:dyDescent="0.3">
      <c r="E2" s="144" t="s">
        <v>64</v>
      </c>
      <c r="F2" s="144"/>
      <c r="G2" s="144"/>
    </row>
    <row r="3" spans="5:9" ht="16.5" thickTop="1" thickBot="1" x14ac:dyDescent="0.3">
      <c r="E3" s="27" t="s">
        <v>97</v>
      </c>
      <c r="F3" s="28" t="s">
        <v>65</v>
      </c>
      <c r="G3" s="58">
        <v>0.6</v>
      </c>
    </row>
    <row r="4" spans="5:9" ht="16.5" thickTop="1" thickBot="1" x14ac:dyDescent="0.3">
      <c r="E4" s="145" t="s">
        <v>91</v>
      </c>
      <c r="F4" s="28" t="s">
        <v>20</v>
      </c>
      <c r="G4" s="58">
        <v>122.58</v>
      </c>
    </row>
    <row r="5" spans="5:9" ht="16.5" thickTop="1" thickBot="1" x14ac:dyDescent="0.3">
      <c r="E5" s="146"/>
      <c r="F5" s="28" t="s">
        <v>21</v>
      </c>
      <c r="G5" s="110">
        <f>G4*4046.86</f>
        <v>496064.09880000004</v>
      </c>
    </row>
    <row r="6" spans="5:9" ht="16.5" thickTop="1" thickBot="1" x14ac:dyDescent="0.3">
      <c r="E6" s="75" t="s">
        <v>92</v>
      </c>
      <c r="F6" s="28" t="s">
        <v>21</v>
      </c>
      <c r="G6" s="110">
        <f>G5*G3</f>
        <v>297638.45928000001</v>
      </c>
    </row>
    <row r="7" spans="5:9" ht="16.5" thickTop="1" thickBot="1" x14ac:dyDescent="0.3">
      <c r="E7" s="75" t="s">
        <v>92</v>
      </c>
      <c r="F7" s="29" t="s">
        <v>22</v>
      </c>
      <c r="G7" s="111">
        <f>G6*10.7639</f>
        <v>3203750.611843992</v>
      </c>
    </row>
    <row r="8" spans="5:9" ht="31.5" thickTop="1" thickBot="1" x14ac:dyDescent="0.3">
      <c r="E8" s="81" t="s">
        <v>111</v>
      </c>
      <c r="F8" s="29" t="s">
        <v>22</v>
      </c>
      <c r="G8" s="112">
        <f>G7*1.15</f>
        <v>3684313.2036205907</v>
      </c>
    </row>
    <row r="9" spans="5:9" ht="16.5" thickTop="1" thickBot="1" x14ac:dyDescent="0.3">
      <c r="E9" s="115"/>
      <c r="F9" s="116"/>
      <c r="G9" s="117"/>
    </row>
    <row r="10" spans="5:9" ht="31.5" thickTop="1" thickBot="1" x14ac:dyDescent="0.3">
      <c r="E10" s="57" t="s">
        <v>93</v>
      </c>
      <c r="F10" s="31" t="s">
        <v>24</v>
      </c>
      <c r="G10" s="113">
        <v>2600</v>
      </c>
    </row>
    <row r="11" spans="5:9" ht="16.5" thickTop="1" thickBot="1" x14ac:dyDescent="0.3">
      <c r="E11" s="30" t="s">
        <v>75</v>
      </c>
      <c r="F11" s="31" t="s">
        <v>76</v>
      </c>
      <c r="G11" s="36">
        <v>0.02</v>
      </c>
    </row>
    <row r="12" spans="5:9" ht="16.5" thickTop="1" thickBot="1" x14ac:dyDescent="0.3">
      <c r="E12" s="30" t="s">
        <v>34</v>
      </c>
      <c r="F12" s="31" t="s">
        <v>94</v>
      </c>
      <c r="G12" s="113">
        <v>100</v>
      </c>
      <c r="I12" s="124"/>
    </row>
    <row r="13" spans="5:9" ht="16.5" thickTop="1" thickBot="1" x14ac:dyDescent="0.3">
      <c r="E13" s="22" t="s">
        <v>27</v>
      </c>
      <c r="F13" s="31" t="s">
        <v>74</v>
      </c>
      <c r="G13" s="36">
        <v>0.03</v>
      </c>
    </row>
    <row r="14" spans="5:9" ht="16.5" thickTop="1" thickBot="1" x14ac:dyDescent="0.3">
      <c r="E14" s="22" t="s">
        <v>28</v>
      </c>
      <c r="F14" s="31" t="s">
        <v>74</v>
      </c>
      <c r="G14" s="36">
        <v>0.02</v>
      </c>
    </row>
    <row r="15" spans="5:9" ht="16.5" thickTop="1" thickBot="1" x14ac:dyDescent="0.3">
      <c r="E15" s="22"/>
      <c r="F15" s="31"/>
      <c r="G15" s="36"/>
    </row>
    <row r="16" spans="5:9" ht="16.5" thickTop="1" thickBot="1" x14ac:dyDescent="0.3">
      <c r="E16" s="22" t="s">
        <v>25</v>
      </c>
      <c r="F16" s="31" t="s">
        <v>26</v>
      </c>
      <c r="G16" s="59">
        <v>0.02</v>
      </c>
    </row>
    <row r="17" spans="5:9" ht="16.5" thickTop="1" thickBot="1" x14ac:dyDescent="0.3">
      <c r="E17" s="22" t="s">
        <v>96</v>
      </c>
      <c r="F17" s="31" t="s">
        <v>73</v>
      </c>
      <c r="G17" s="36">
        <v>0.2</v>
      </c>
    </row>
    <row r="18" spans="5:9" ht="16.5" thickTop="1" thickBot="1" x14ac:dyDescent="0.3">
      <c r="E18" s="118"/>
      <c r="F18" s="119"/>
      <c r="G18" s="120"/>
    </row>
    <row r="19" spans="5:9" ht="16.5" thickTop="1" thickBot="1" x14ac:dyDescent="0.3">
      <c r="E19" s="32" t="s">
        <v>67</v>
      </c>
      <c r="F19" s="31" t="s">
        <v>23</v>
      </c>
      <c r="G19" s="107">
        <v>7000</v>
      </c>
    </row>
    <row r="20" spans="5:9" ht="16.5" thickTop="1" thickBot="1" x14ac:dyDescent="0.3">
      <c r="E20" s="32" t="s">
        <v>95</v>
      </c>
      <c r="F20" s="31" t="s">
        <v>29</v>
      </c>
      <c r="G20" s="36">
        <v>0.02</v>
      </c>
    </row>
    <row r="21" spans="5:9" ht="15.75" hidden="1" thickTop="1" x14ac:dyDescent="0.25">
      <c r="E21" s="26"/>
      <c r="F21" s="26"/>
      <c r="G21" s="26"/>
    </row>
    <row r="22" spans="5:9" ht="15.75" hidden="1" thickTop="1" x14ac:dyDescent="0.25">
      <c r="E22" s="8" t="s">
        <v>12</v>
      </c>
      <c r="F22" s="10"/>
      <c r="G22" s="11">
        <v>0.75</v>
      </c>
    </row>
    <row r="23" spans="5:9" ht="15.75" hidden="1" thickTop="1" x14ac:dyDescent="0.25">
      <c r="E23" s="8" t="s">
        <v>13</v>
      </c>
      <c r="F23" s="10"/>
      <c r="G23" s="11">
        <v>0.25</v>
      </c>
    </row>
    <row r="24" spans="5:9" ht="15.75" hidden="1" thickTop="1" x14ac:dyDescent="0.25">
      <c r="E24" s="8" t="s">
        <v>38</v>
      </c>
      <c r="F24" s="8"/>
      <c r="G24" s="10">
        <v>0.09</v>
      </c>
      <c r="H24" s="85" t="s">
        <v>43</v>
      </c>
      <c r="I24" s="123">
        <v>7.0000000000000007E-2</v>
      </c>
    </row>
    <row r="25" spans="5:9" ht="15.75" hidden="1" thickTop="1" x14ac:dyDescent="0.25">
      <c r="E25" s="8" t="s">
        <v>39</v>
      </c>
      <c r="F25" s="8"/>
      <c r="G25" s="18">
        <v>0.25169999999999998</v>
      </c>
      <c r="H25" s="85" t="s">
        <v>45</v>
      </c>
      <c r="I25" s="123">
        <v>0.14000000000000001</v>
      </c>
    </row>
    <row r="26" spans="5:9" ht="15.75" hidden="1" thickTop="1" x14ac:dyDescent="0.25">
      <c r="E26" s="8" t="s">
        <v>57</v>
      </c>
      <c r="F26" s="8"/>
      <c r="G26" s="12">
        <f>I27</f>
        <v>0.17500000000000002</v>
      </c>
      <c r="H26" s="85" t="s">
        <v>89</v>
      </c>
      <c r="I26" s="123">
        <v>1.5</v>
      </c>
    </row>
    <row r="27" spans="5:9" ht="15.75" hidden="1" thickTop="1" x14ac:dyDescent="0.25">
      <c r="E27" s="8" t="s">
        <v>52</v>
      </c>
      <c r="F27" s="8"/>
      <c r="G27" s="18">
        <v>0.25</v>
      </c>
      <c r="H27" s="85" t="s">
        <v>90</v>
      </c>
      <c r="I27" s="123">
        <f>I24+(I26*(I25-I24))</f>
        <v>0.17500000000000002</v>
      </c>
    </row>
    <row r="28" spans="5:9" ht="15.75" hidden="1" thickTop="1" x14ac:dyDescent="0.25">
      <c r="E28" s="8" t="s">
        <v>14</v>
      </c>
      <c r="F28" s="8"/>
      <c r="G28" s="12">
        <f>(G23*G26)+((G22*G24)*(1-G25))</f>
        <v>9.4260250000000004E-2</v>
      </c>
    </row>
    <row r="29" spans="5:9" ht="15.75" hidden="1" thickTop="1" x14ac:dyDescent="0.25">
      <c r="E29" s="8" t="s">
        <v>55</v>
      </c>
      <c r="F29" s="8"/>
      <c r="G29" s="10"/>
    </row>
    <row r="30" spans="5:9" ht="15.75" hidden="1" thickTop="1" x14ac:dyDescent="0.25">
      <c r="E30" s="8" t="s">
        <v>1</v>
      </c>
      <c r="F30" s="8"/>
      <c r="G30" s="21">
        <f>G28+G29</f>
        <v>9.4260250000000004E-2</v>
      </c>
    </row>
    <row r="31" spans="5:9" ht="15.75" thickTop="1" x14ac:dyDescent="0.25">
      <c r="G31" s="20"/>
    </row>
    <row r="32" spans="5:9" x14ac:dyDescent="0.25">
      <c r="E32" s="143" t="s">
        <v>103</v>
      </c>
      <c r="F32" s="143"/>
      <c r="G32" s="143"/>
    </row>
    <row r="33" spans="3:11" x14ac:dyDescent="0.25">
      <c r="E33" s="142" t="s">
        <v>110</v>
      </c>
      <c r="F33" s="142"/>
      <c r="G33" s="142"/>
      <c r="J33">
        <v>1</v>
      </c>
    </row>
    <row r="34" spans="3:11" ht="45" customHeight="1" x14ac:dyDescent="0.25">
      <c r="E34" s="139" t="s">
        <v>113</v>
      </c>
      <c r="F34" s="140"/>
      <c r="G34" s="141"/>
      <c r="J34" s="86">
        <v>0.33</v>
      </c>
    </row>
    <row r="36" spans="3:11" x14ac:dyDescent="0.25">
      <c r="H36" s="85">
        <v>1990</v>
      </c>
    </row>
    <row r="37" spans="3:11" hidden="1" x14ac:dyDescent="0.25">
      <c r="E37" t="s">
        <v>56</v>
      </c>
      <c r="F37" t="s">
        <v>40</v>
      </c>
      <c r="G37" t="s">
        <v>41</v>
      </c>
      <c r="H37" s="85" t="s">
        <v>42</v>
      </c>
      <c r="J37" s="15" t="s">
        <v>41</v>
      </c>
      <c r="K37" s="16">
        <f>G39+G40*(G41-G39)</f>
        <v>0.13150000000000001</v>
      </c>
    </row>
    <row r="38" spans="3:11" hidden="1" x14ac:dyDescent="0.25"/>
    <row r="39" spans="3:11" hidden="1" x14ac:dyDescent="0.25">
      <c r="C39" t="s">
        <v>49</v>
      </c>
      <c r="E39" t="s">
        <v>43</v>
      </c>
      <c r="F39" t="s">
        <v>41</v>
      </c>
      <c r="G39">
        <v>6.8500000000000005E-2</v>
      </c>
      <c r="H39" s="85" t="s">
        <v>47</v>
      </c>
    </row>
    <row r="40" spans="3:11" hidden="1" x14ac:dyDescent="0.25">
      <c r="E40" t="s">
        <v>44</v>
      </c>
      <c r="G40">
        <v>2</v>
      </c>
      <c r="H40" s="85" t="s">
        <v>48</v>
      </c>
    </row>
    <row r="41" spans="3:11" hidden="1" x14ac:dyDescent="0.25">
      <c r="C41" t="s">
        <v>50</v>
      </c>
      <c r="E41" t="s">
        <v>45</v>
      </c>
      <c r="G41">
        <v>0.1</v>
      </c>
      <c r="H41" s="85" t="s">
        <v>46</v>
      </c>
    </row>
    <row r="42" spans="3:11" hidden="1" x14ac:dyDescent="0.25"/>
    <row r="43" spans="3:11" hidden="1" x14ac:dyDescent="0.25"/>
    <row r="44" spans="3:11" hidden="1" x14ac:dyDescent="0.25">
      <c r="E44" t="s">
        <v>51</v>
      </c>
      <c r="K44" s="19">
        <f>G23</f>
        <v>0.25</v>
      </c>
    </row>
    <row r="45" spans="3:11" hidden="1" x14ac:dyDescent="0.25"/>
    <row r="46" spans="3:11" hidden="1" x14ac:dyDescent="0.25"/>
    <row r="47" spans="3:11" hidden="1" x14ac:dyDescent="0.25">
      <c r="E47" t="s">
        <v>52</v>
      </c>
      <c r="F47" t="s">
        <v>41</v>
      </c>
      <c r="K47" s="16">
        <f>G24*(1-G25)</f>
        <v>6.734699999999999E-2</v>
      </c>
    </row>
    <row r="48" spans="3:11" hidden="1" x14ac:dyDescent="0.25"/>
    <row r="49" spans="5:11" hidden="1" x14ac:dyDescent="0.25">
      <c r="E49" t="s">
        <v>53</v>
      </c>
    </row>
    <row r="50" spans="5:11" hidden="1" x14ac:dyDescent="0.25">
      <c r="K50" s="19">
        <f>G22</f>
        <v>0.75</v>
      </c>
    </row>
    <row r="51" spans="5:11" hidden="1" x14ac:dyDescent="0.25"/>
    <row r="52" spans="5:11" hidden="1" x14ac:dyDescent="0.25">
      <c r="E52" t="s">
        <v>14</v>
      </c>
      <c r="F52" t="s">
        <v>41</v>
      </c>
      <c r="G52" t="s">
        <v>54</v>
      </c>
    </row>
    <row r="53" spans="5:11" hidden="1" x14ac:dyDescent="0.25"/>
    <row r="54" spans="5:11" hidden="1" x14ac:dyDescent="0.25">
      <c r="E54" t="s">
        <v>14</v>
      </c>
      <c r="G54">
        <f>K50*K47+K44*K37</f>
        <v>8.3385249999999994E-2</v>
      </c>
    </row>
    <row r="55" spans="5:11" hidden="1" x14ac:dyDescent="0.25"/>
    <row r="56" spans="5:11" hidden="1" x14ac:dyDescent="0.25">
      <c r="E56" t="s">
        <v>55</v>
      </c>
      <c r="G56">
        <v>2.5000000000000001E-2</v>
      </c>
    </row>
    <row r="57" spans="5:11" hidden="1" x14ac:dyDescent="0.25"/>
    <row r="58" spans="5:11" hidden="1" x14ac:dyDescent="0.25">
      <c r="E58" t="s">
        <v>1</v>
      </c>
      <c r="G58">
        <f>G54+G56</f>
        <v>0.10838524999999999</v>
      </c>
    </row>
    <row r="59" spans="5:11" hidden="1" x14ac:dyDescent="0.25"/>
    <row r="60" spans="5:11" x14ac:dyDescent="0.25">
      <c r="E60">
        <v>9500</v>
      </c>
      <c r="H60" s="85">
        <v>338</v>
      </c>
    </row>
    <row r="61" spans="5:11" x14ac:dyDescent="0.25">
      <c r="E61">
        <v>0.75</v>
      </c>
      <c r="H61" s="85">
        <f>H36/H60</f>
        <v>5.8875739644970411</v>
      </c>
    </row>
    <row r="62" spans="5:11" x14ac:dyDescent="0.25">
      <c r="E62">
        <f>E60*E61</f>
        <v>7125</v>
      </c>
    </row>
  </sheetData>
  <mergeCells count="5">
    <mergeCell ref="E34:G34"/>
    <mergeCell ref="E33:G33"/>
    <mergeCell ref="E32:G32"/>
    <mergeCell ref="E2:G2"/>
    <mergeCell ref="E4:E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9"/>
  <sheetViews>
    <sheetView workbookViewId="0">
      <selection activeCell="L7" sqref="L7"/>
    </sheetView>
  </sheetViews>
  <sheetFormatPr defaultRowHeight="15" x14ac:dyDescent="0.25"/>
  <cols>
    <col min="2" max="2" width="22" bestFit="1" customWidth="1"/>
    <col min="3" max="3" width="16.85546875" bestFit="1" customWidth="1"/>
    <col min="4" max="4" width="14" customWidth="1"/>
    <col min="5" max="6" width="13" customWidth="1"/>
    <col min="7" max="11" width="13" style="85" customWidth="1"/>
    <col min="12" max="12" width="13.28515625" bestFit="1" customWidth="1"/>
    <col min="13" max="13" width="13.42578125" bestFit="1" customWidth="1"/>
  </cols>
  <sheetData>
    <row r="1" spans="2:13" x14ac:dyDescent="0.25">
      <c r="B1" s="148" t="s">
        <v>77</v>
      </c>
      <c r="C1" s="148"/>
      <c r="D1" s="148"/>
      <c r="E1" s="148"/>
      <c r="F1" s="148"/>
      <c r="G1" s="148"/>
      <c r="H1" s="148"/>
      <c r="I1" s="148"/>
      <c r="J1" s="148"/>
      <c r="K1" s="148"/>
      <c r="L1" s="148"/>
    </row>
    <row r="2" spans="2:13" ht="30" customHeight="1" thickBot="1" x14ac:dyDescent="0.3">
      <c r="B2" s="149"/>
      <c r="C2" s="149"/>
      <c r="D2" s="149"/>
      <c r="E2" s="149"/>
      <c r="F2" s="149"/>
      <c r="G2" s="149"/>
      <c r="H2" s="149"/>
      <c r="I2" s="149"/>
      <c r="J2" s="149"/>
      <c r="K2" s="149"/>
      <c r="L2" s="149"/>
    </row>
    <row r="3" spans="2:13" ht="16.5" thickTop="1" thickBot="1" x14ac:dyDescent="0.3">
      <c r="B3" s="147" t="s">
        <v>4</v>
      </c>
      <c r="C3" s="150" t="s">
        <v>30</v>
      </c>
      <c r="D3" s="151"/>
      <c r="E3" s="151"/>
      <c r="F3" s="151"/>
      <c r="G3" s="151"/>
      <c r="H3" s="125"/>
      <c r="I3" s="125"/>
      <c r="J3" s="125"/>
      <c r="K3" s="126"/>
      <c r="L3" s="76" t="s">
        <v>2</v>
      </c>
    </row>
    <row r="4" spans="2:13" ht="16.5" thickTop="1" thickBot="1" x14ac:dyDescent="0.3">
      <c r="B4" s="147"/>
      <c r="C4" s="60"/>
      <c r="D4" s="60"/>
      <c r="E4" s="60"/>
      <c r="F4" s="60"/>
      <c r="G4" s="82"/>
      <c r="H4" s="82"/>
      <c r="I4" s="82"/>
      <c r="J4" s="82"/>
      <c r="K4" s="82"/>
      <c r="L4" s="76"/>
    </row>
    <row r="5" spans="2:13" ht="16.5" thickTop="1" thickBot="1" x14ac:dyDescent="0.3">
      <c r="B5" s="147"/>
      <c r="C5" s="60">
        <v>45352</v>
      </c>
      <c r="D5" s="82">
        <v>45717</v>
      </c>
      <c r="E5" s="82">
        <v>46082</v>
      </c>
      <c r="F5" s="82">
        <v>46447</v>
      </c>
      <c r="G5" s="82">
        <v>46813</v>
      </c>
      <c r="H5" s="82">
        <v>47178</v>
      </c>
      <c r="I5" s="82">
        <v>47543</v>
      </c>
      <c r="J5" s="82">
        <v>47908</v>
      </c>
      <c r="K5" s="82">
        <v>48274</v>
      </c>
      <c r="L5" s="76"/>
    </row>
    <row r="6" spans="2:13" ht="16.5" thickTop="1" thickBot="1" x14ac:dyDescent="0.3">
      <c r="B6" s="33" t="s">
        <v>33</v>
      </c>
      <c r="C6" s="34">
        <v>0</v>
      </c>
      <c r="D6" s="34">
        <v>0.05</v>
      </c>
      <c r="E6" s="34">
        <v>0.05</v>
      </c>
      <c r="F6" s="34">
        <v>0.05</v>
      </c>
      <c r="G6" s="34">
        <v>0.1</v>
      </c>
      <c r="H6" s="34">
        <v>0.15</v>
      </c>
      <c r="I6" s="34">
        <v>0.2</v>
      </c>
      <c r="J6" s="34">
        <v>0.2</v>
      </c>
      <c r="K6" s="34">
        <v>0.2</v>
      </c>
      <c r="L6" s="34">
        <f>SUM(C6:K6)</f>
        <v>1</v>
      </c>
    </row>
    <row r="7" spans="2:13" ht="31.5" thickTop="1" thickBot="1" x14ac:dyDescent="0.3">
      <c r="B7" s="35" t="s">
        <v>66</v>
      </c>
      <c r="C7" s="87">
        <f>C6*ASSUMPTIONS!$G$8</f>
        <v>0</v>
      </c>
      <c r="D7" s="87">
        <f>D6*ASSUMPTIONS!$G$8</f>
        <v>184215.66018102955</v>
      </c>
      <c r="E7" s="87">
        <f>E6*ASSUMPTIONS!$G$8</f>
        <v>184215.66018102955</v>
      </c>
      <c r="F7" s="87">
        <f>F6*ASSUMPTIONS!$G$8</f>
        <v>184215.66018102955</v>
      </c>
      <c r="G7" s="87">
        <f>G6*ASSUMPTIONS!$G$8</f>
        <v>368431.32036205911</v>
      </c>
      <c r="H7" s="87">
        <f>H6*ASSUMPTIONS!$G$8</f>
        <v>552646.98054308863</v>
      </c>
      <c r="I7" s="87">
        <f>I6*ASSUMPTIONS!$G$8</f>
        <v>736862.64072411822</v>
      </c>
      <c r="J7" s="87">
        <f>J6*ASSUMPTIONS!$G$8</f>
        <v>736862.64072411822</v>
      </c>
      <c r="K7" s="87">
        <f>K6*ASSUMPTIONS!$G$8</f>
        <v>736862.64072411822</v>
      </c>
      <c r="L7" s="88">
        <f>SUM(C7:K7)</f>
        <v>3684313.2036205912</v>
      </c>
      <c r="M7" s="77">
        <f>L7-L9</f>
        <v>0</v>
      </c>
    </row>
    <row r="8" spans="2:13" ht="15.75" thickTop="1" x14ac:dyDescent="0.25"/>
    <row r="9" spans="2:13" x14ac:dyDescent="0.25">
      <c r="F9" s="78" t="s">
        <v>105</v>
      </c>
      <c r="G9" s="78"/>
      <c r="H9" s="78"/>
      <c r="I9" s="78"/>
      <c r="J9" s="78"/>
      <c r="K9" s="78"/>
      <c r="L9" s="89">
        <f>ASSUMPTIONS!G8</f>
        <v>3684313.2036205907</v>
      </c>
    </row>
  </sheetData>
  <mergeCells count="3">
    <mergeCell ref="B3:B5"/>
    <mergeCell ref="B1:L2"/>
    <mergeCell ref="C3:G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9"/>
  <sheetViews>
    <sheetView zoomScale="85" zoomScaleNormal="85" workbookViewId="0">
      <selection activeCell="E4" sqref="E4"/>
    </sheetView>
  </sheetViews>
  <sheetFormatPr defaultRowHeight="15" x14ac:dyDescent="0.25"/>
  <cols>
    <col min="2" max="2" width="5.7109375" bestFit="1" customWidth="1"/>
    <col min="3" max="3" width="27.42578125" customWidth="1"/>
    <col min="4" max="4" width="15.7109375" customWidth="1"/>
    <col min="5" max="6" width="21.140625" bestFit="1" customWidth="1"/>
  </cols>
  <sheetData>
    <row r="2" spans="2:6" ht="40.5" customHeight="1" x14ac:dyDescent="0.25">
      <c r="B2" s="153" t="s">
        <v>78</v>
      </c>
      <c r="C2" s="153"/>
      <c r="D2" s="153"/>
      <c r="E2" s="153"/>
      <c r="F2" s="153"/>
    </row>
    <row r="3" spans="2:6" ht="30" x14ac:dyDescent="0.25">
      <c r="B3" s="5" t="s">
        <v>0</v>
      </c>
      <c r="C3" s="5" t="s">
        <v>9</v>
      </c>
      <c r="D3" s="5" t="s">
        <v>10</v>
      </c>
      <c r="E3" s="5" t="s">
        <v>8</v>
      </c>
      <c r="F3" s="5" t="s">
        <v>7</v>
      </c>
    </row>
    <row r="4" spans="2:6" x14ac:dyDescent="0.25">
      <c r="B4" s="1">
        <v>1</v>
      </c>
      <c r="C4" s="9" t="s">
        <v>104</v>
      </c>
      <c r="D4" s="13">
        <f>ASSUMPTIONS!G8</f>
        <v>3684313.2036205907</v>
      </c>
      <c r="E4" s="92">
        <f>ASSUMPTIONS!G19</f>
        <v>7000</v>
      </c>
      <c r="F4" s="90">
        <f>E4*D4</f>
        <v>25790192425.344135</v>
      </c>
    </row>
    <row r="5" spans="2:6" x14ac:dyDescent="0.25">
      <c r="B5" s="152" t="s">
        <v>2</v>
      </c>
      <c r="C5" s="152"/>
      <c r="D5" s="7">
        <f>SUM(D4:D4)</f>
        <v>3684313.2036205907</v>
      </c>
      <c r="E5" s="7"/>
      <c r="F5" s="91">
        <f>SUM(F4:F4)</f>
        <v>25790192425.344135</v>
      </c>
    </row>
    <row r="6" spans="2:6" x14ac:dyDescent="0.25">
      <c r="B6" s="154"/>
      <c r="C6" s="155"/>
      <c r="D6" s="155"/>
      <c r="E6" s="155"/>
      <c r="F6" s="156"/>
    </row>
    <row r="7" spans="2:6" ht="51.75" customHeight="1" x14ac:dyDescent="0.25"/>
    <row r="8" spans="2:6" ht="21.75" customHeight="1" x14ac:dyDescent="0.25">
      <c r="F8" s="6"/>
    </row>
    <row r="9" spans="2:6" x14ac:dyDescent="0.25">
      <c r="F9" s="6"/>
    </row>
  </sheetData>
  <mergeCells count="3">
    <mergeCell ref="B5:C5"/>
    <mergeCell ref="B2:F2"/>
    <mergeCell ref="B6:F6"/>
  </mergeCells>
  <phoneticPr fontId="11"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N28"/>
  <sheetViews>
    <sheetView zoomScale="120" zoomScaleNormal="120" workbookViewId="0">
      <selection activeCell="A15" sqref="A15"/>
    </sheetView>
  </sheetViews>
  <sheetFormatPr defaultColWidth="9.140625" defaultRowHeight="15" x14ac:dyDescent="0.25"/>
  <cols>
    <col min="1" max="1" width="9.140625" style="2"/>
    <col min="2" max="2" width="31.42578125" style="2" customWidth="1"/>
    <col min="3" max="3" width="18.5703125" style="2" customWidth="1"/>
    <col min="4" max="4" width="17.28515625" style="2" customWidth="1"/>
    <col min="5" max="11" width="16" style="2" customWidth="1"/>
    <col min="12" max="12" width="13.42578125" style="2" bestFit="1" customWidth="1"/>
    <col min="13" max="13" width="14.140625" style="2" bestFit="1" customWidth="1"/>
    <col min="14" max="16384" width="9.140625" style="2"/>
  </cols>
  <sheetData>
    <row r="5" spans="1:14" ht="15.75" thickBot="1" x14ac:dyDescent="0.3"/>
    <row r="6" spans="1:14" ht="15.75" thickTop="1" x14ac:dyDescent="0.25">
      <c r="B6" s="158" t="s">
        <v>6</v>
      </c>
      <c r="C6" s="158"/>
      <c r="D6" s="158"/>
      <c r="E6" s="158"/>
      <c r="F6" s="158"/>
      <c r="G6" s="93"/>
      <c r="H6" s="93"/>
      <c r="I6" s="93"/>
      <c r="J6" s="93"/>
      <c r="K6" s="93"/>
      <c r="N6" s="56"/>
    </row>
    <row r="7" spans="1:14" x14ac:dyDescent="0.25">
      <c r="B7" s="159" t="s">
        <v>82</v>
      </c>
      <c r="C7" s="163" t="s">
        <v>83</v>
      </c>
      <c r="D7" s="163"/>
      <c r="E7" s="163"/>
      <c r="F7" s="163"/>
      <c r="G7" s="94"/>
      <c r="H7" s="94"/>
      <c r="I7" s="94"/>
      <c r="J7" s="94"/>
      <c r="K7" s="94"/>
    </row>
    <row r="8" spans="1:14" x14ac:dyDescent="0.25">
      <c r="B8" s="160"/>
      <c r="C8" s="63">
        <v>45352</v>
      </c>
      <c r="D8" s="83">
        <v>45717</v>
      </c>
      <c r="E8" s="83">
        <v>46082</v>
      </c>
      <c r="F8" s="83">
        <v>46447</v>
      </c>
      <c r="G8" s="83">
        <v>46813</v>
      </c>
      <c r="H8" s="83">
        <v>47178</v>
      </c>
      <c r="I8" s="83">
        <v>47543</v>
      </c>
      <c r="J8" s="83">
        <v>47908</v>
      </c>
      <c r="K8" s="83">
        <v>48274</v>
      </c>
      <c r="L8" s="2" t="s">
        <v>106</v>
      </c>
      <c r="M8" s="61">
        <f>ASSUMPTIONS!G8</f>
        <v>3684313.2036205907</v>
      </c>
    </row>
    <row r="9" spans="1:14" ht="18" customHeight="1" thickBot="1" x14ac:dyDescent="0.3">
      <c r="A9" s="62"/>
      <c r="B9" s="62" t="s">
        <v>99</v>
      </c>
      <c r="C9" s="127">
        <f>'Absorption Rate'!C7</f>
        <v>0</v>
      </c>
      <c r="D9" s="127">
        <f>'Absorption Rate'!D7</f>
        <v>184215.66018102955</v>
      </c>
      <c r="E9" s="127">
        <f>'Absorption Rate'!E7</f>
        <v>184215.66018102955</v>
      </c>
      <c r="F9" s="127">
        <f>'Absorption Rate'!F7</f>
        <v>184215.66018102955</v>
      </c>
      <c r="G9" s="127">
        <f>'Absorption Rate'!G7</f>
        <v>368431.32036205911</v>
      </c>
      <c r="H9" s="127">
        <f>'Absorption Rate'!H7</f>
        <v>552646.98054308863</v>
      </c>
      <c r="I9" s="127">
        <f>'Absorption Rate'!I7</f>
        <v>736862.64072411822</v>
      </c>
      <c r="J9" s="127">
        <f>'Absorption Rate'!J7</f>
        <v>736862.64072411822</v>
      </c>
      <c r="K9" s="127">
        <f>'Absorption Rate'!K7</f>
        <v>736862.64072411822</v>
      </c>
      <c r="L9" s="79">
        <f>SUM(C9:K9)</f>
        <v>3684313.2036205912</v>
      </c>
      <c r="M9" s="80">
        <f>L9-M8</f>
        <v>0</v>
      </c>
    </row>
    <row r="10" spans="1:14" ht="16.5" thickTop="1" thickBot="1" x14ac:dyDescent="0.3">
      <c r="B10" s="37" t="s">
        <v>58</v>
      </c>
      <c r="C10" s="38">
        <f>C9/'Absorption Rate'!$L7</f>
        <v>0</v>
      </c>
      <c r="D10" s="38">
        <f>D9/'Absorption Rate'!$L7</f>
        <v>4.9999999999999996E-2</v>
      </c>
      <c r="E10" s="38">
        <f>E9/'Absorption Rate'!$L7</f>
        <v>4.9999999999999996E-2</v>
      </c>
      <c r="F10" s="38">
        <f>'Absorption Rate'!F6</f>
        <v>0.05</v>
      </c>
      <c r="G10" s="38">
        <v>0.15</v>
      </c>
      <c r="H10" s="38">
        <v>0.15</v>
      </c>
      <c r="I10" s="38">
        <v>0.15</v>
      </c>
      <c r="J10" s="38">
        <v>0.2</v>
      </c>
      <c r="K10" s="38">
        <v>0.2</v>
      </c>
      <c r="L10" s="108">
        <f>SUM(C10:K10)</f>
        <v>1</v>
      </c>
    </row>
    <row r="11" spans="1:14" ht="16.5" thickTop="1" thickBot="1" x14ac:dyDescent="0.3">
      <c r="B11" s="37" t="s">
        <v>32</v>
      </c>
      <c r="C11" s="38">
        <v>0</v>
      </c>
      <c r="D11" s="38">
        <f>ASSUMPTIONS!G20</f>
        <v>0.02</v>
      </c>
      <c r="E11" s="38">
        <f>ASSUMPTIONS!G20</f>
        <v>0.02</v>
      </c>
      <c r="F11" s="38">
        <v>0.03</v>
      </c>
      <c r="G11" s="95">
        <f>F11</f>
        <v>0.03</v>
      </c>
      <c r="H11" s="99">
        <f>G11+2%</f>
        <v>0.05</v>
      </c>
      <c r="I11" s="95">
        <f>H11</f>
        <v>0.05</v>
      </c>
      <c r="J11" s="99">
        <f>I11+2%</f>
        <v>7.0000000000000007E-2</v>
      </c>
      <c r="K11" s="99">
        <v>7.0000000000000007E-2</v>
      </c>
    </row>
    <row r="12" spans="1:14" ht="16.5" thickTop="1" thickBot="1" x14ac:dyDescent="0.3">
      <c r="B12" s="37" t="s">
        <v>31</v>
      </c>
      <c r="C12" s="39">
        <f>ASSUMPTIONS!G19</f>
        <v>7000</v>
      </c>
      <c r="D12" s="39">
        <f t="shared" ref="D12:K12" si="0">C12*(1+D11)</f>
        <v>7140</v>
      </c>
      <c r="E12" s="39">
        <f t="shared" si="0"/>
        <v>7282.8</v>
      </c>
      <c r="F12" s="39">
        <f t="shared" si="0"/>
        <v>7501.2840000000006</v>
      </c>
      <c r="G12" s="39">
        <f t="shared" si="0"/>
        <v>7726.3225200000006</v>
      </c>
      <c r="H12" s="128">
        <f t="shared" si="0"/>
        <v>8112.6386460000012</v>
      </c>
      <c r="I12" s="128">
        <f t="shared" si="0"/>
        <v>8518.2705783000019</v>
      </c>
      <c r="J12" s="128">
        <f t="shared" si="0"/>
        <v>9114.5495187810029</v>
      </c>
      <c r="K12" s="128">
        <f t="shared" si="0"/>
        <v>9752.5679850956731</v>
      </c>
    </row>
    <row r="13" spans="1:14" ht="16.5" thickTop="1" thickBot="1" x14ac:dyDescent="0.3">
      <c r="B13" s="40" t="s">
        <v>80</v>
      </c>
      <c r="C13" s="41">
        <f>C12*C9/10^7</f>
        <v>0</v>
      </c>
      <c r="D13" s="41">
        <f t="shared" ref="D13:K13" si="1">D12*D9/10^7</f>
        <v>131.52998136925513</v>
      </c>
      <c r="E13" s="41">
        <f t="shared" si="1"/>
        <v>134.16058099664019</v>
      </c>
      <c r="F13" s="41">
        <f t="shared" si="1"/>
        <v>138.18539842653942</v>
      </c>
      <c r="G13" s="41">
        <f t="shared" si="1"/>
        <v>284.66192075867122</v>
      </c>
      <c r="H13" s="41">
        <f t="shared" si="1"/>
        <v>448.34252519490718</v>
      </c>
      <c r="I13" s="41">
        <f t="shared" si="1"/>
        <v>627.67953527287011</v>
      </c>
      <c r="J13" s="41">
        <f t="shared" si="1"/>
        <v>671.61710274197117</v>
      </c>
      <c r="K13" s="41">
        <f t="shared" si="1"/>
        <v>718.63029993390899</v>
      </c>
      <c r="M13" s="14"/>
    </row>
    <row r="14" spans="1:14" ht="16.5" thickTop="1" thickBot="1" x14ac:dyDescent="0.3">
      <c r="B14" s="42" t="s">
        <v>81</v>
      </c>
      <c r="C14" s="49">
        <f>C13</f>
        <v>0</v>
      </c>
      <c r="D14" s="49">
        <f t="shared" ref="D14:K14" si="2">D13</f>
        <v>131.52998136925513</v>
      </c>
      <c r="E14" s="49">
        <f t="shared" si="2"/>
        <v>134.16058099664019</v>
      </c>
      <c r="F14" s="49">
        <f t="shared" si="2"/>
        <v>138.18539842653942</v>
      </c>
      <c r="G14" s="49">
        <f t="shared" si="2"/>
        <v>284.66192075867122</v>
      </c>
      <c r="H14" s="49">
        <f t="shared" si="2"/>
        <v>448.34252519490718</v>
      </c>
      <c r="I14" s="49">
        <f t="shared" si="2"/>
        <v>627.67953527287011</v>
      </c>
      <c r="J14" s="49">
        <f t="shared" si="2"/>
        <v>671.61710274197117</v>
      </c>
      <c r="K14" s="49">
        <f t="shared" si="2"/>
        <v>718.63029993390899</v>
      </c>
      <c r="L14" s="109">
        <f>SUM(C14:K14)</f>
        <v>3154.8073446947633</v>
      </c>
      <c r="M14" s="3"/>
    </row>
    <row r="15" spans="1:14" ht="16.5" thickTop="1" thickBot="1" x14ac:dyDescent="0.3">
      <c r="B15" s="161"/>
      <c r="C15" s="161"/>
      <c r="D15" s="161"/>
      <c r="E15" s="161"/>
      <c r="F15" s="161"/>
      <c r="G15" s="96"/>
      <c r="H15" s="96"/>
      <c r="I15" s="96"/>
      <c r="J15" s="96"/>
      <c r="K15" s="96"/>
    </row>
    <row r="16" spans="1:14" ht="16.5" thickTop="1" thickBot="1" x14ac:dyDescent="0.3">
      <c r="B16" s="162" t="s">
        <v>3</v>
      </c>
      <c r="C16" s="162"/>
      <c r="D16" s="162"/>
      <c r="E16" s="162"/>
      <c r="F16" s="162"/>
      <c r="G16" s="97"/>
      <c r="H16" s="97"/>
      <c r="I16" s="97"/>
      <c r="J16" s="97"/>
      <c r="K16" s="97"/>
    </row>
    <row r="17" spans="2:11" ht="51" customHeight="1" thickTop="1" thickBot="1" x14ac:dyDescent="0.3">
      <c r="B17" s="157" t="s">
        <v>37</v>
      </c>
      <c r="C17" s="157"/>
      <c r="D17" s="157"/>
      <c r="E17" s="157"/>
      <c r="F17" s="157"/>
      <c r="G17" s="98"/>
      <c r="H17" s="98"/>
      <c r="I17" s="98"/>
      <c r="J17" s="98"/>
      <c r="K17" s="98"/>
    </row>
    <row r="18" spans="2:11" ht="78.75" customHeight="1" thickTop="1" thickBot="1" x14ac:dyDescent="0.3">
      <c r="B18" s="157" t="s">
        <v>107</v>
      </c>
      <c r="C18" s="157"/>
      <c r="D18" s="157"/>
      <c r="E18" s="157"/>
      <c r="F18" s="157"/>
      <c r="G18" s="98"/>
      <c r="H18" s="98"/>
      <c r="I18" s="98"/>
      <c r="J18" s="98"/>
      <c r="K18" s="98"/>
    </row>
    <row r="19" spans="2:11" ht="48" customHeight="1" thickTop="1" thickBot="1" x14ac:dyDescent="0.3">
      <c r="B19" s="157" t="s">
        <v>36</v>
      </c>
      <c r="C19" s="157"/>
      <c r="D19" s="157"/>
      <c r="E19" s="157"/>
      <c r="F19" s="157"/>
      <c r="G19" s="98"/>
      <c r="H19" s="98"/>
      <c r="I19" s="98"/>
      <c r="J19" s="98"/>
      <c r="K19" s="98"/>
    </row>
    <row r="20" spans="2:11" ht="16.5" thickTop="1" thickBot="1" x14ac:dyDescent="0.3">
      <c r="B20" s="157" t="s">
        <v>5</v>
      </c>
      <c r="C20" s="157"/>
      <c r="D20" s="157"/>
      <c r="E20" s="157"/>
      <c r="F20" s="157"/>
      <c r="G20" s="98"/>
      <c r="H20" s="98"/>
      <c r="I20" s="98"/>
      <c r="J20" s="98"/>
      <c r="K20" s="98"/>
    </row>
    <row r="21" spans="2:11" ht="28.5" customHeight="1" thickTop="1" thickBot="1" x14ac:dyDescent="0.3">
      <c r="B21" s="157" t="s">
        <v>102</v>
      </c>
      <c r="C21" s="157"/>
      <c r="D21" s="157"/>
      <c r="E21" s="157"/>
      <c r="F21" s="157"/>
      <c r="G21" s="98"/>
      <c r="H21" s="98"/>
      <c r="I21" s="98"/>
      <c r="J21" s="98"/>
      <c r="K21" s="98"/>
    </row>
    <row r="22" spans="2:11" ht="15.75" thickTop="1" x14ac:dyDescent="0.25"/>
    <row r="28" spans="2:11" x14ac:dyDescent="0.25">
      <c r="D28" s="4"/>
    </row>
  </sheetData>
  <mergeCells count="10">
    <mergeCell ref="B21:F21"/>
    <mergeCell ref="B18:F18"/>
    <mergeCell ref="B19:F19"/>
    <mergeCell ref="B20:F20"/>
    <mergeCell ref="B6:F6"/>
    <mergeCell ref="B7:B8"/>
    <mergeCell ref="B15:F15"/>
    <mergeCell ref="B16:F16"/>
    <mergeCell ref="B17:F17"/>
    <mergeCell ref="C7:F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G21"/>
  <sheetViews>
    <sheetView workbookViewId="0">
      <selection activeCell="G14" sqref="G14"/>
    </sheetView>
  </sheetViews>
  <sheetFormatPr defaultRowHeight="15" x14ac:dyDescent="0.25"/>
  <cols>
    <col min="4" max="4" width="19" bestFit="1" customWidth="1"/>
    <col min="5" max="5" width="23.140625" style="104" bestFit="1" customWidth="1"/>
    <col min="6" max="6" width="25.85546875" customWidth="1"/>
    <col min="7" max="7" width="18.5703125" style="104" customWidth="1"/>
  </cols>
  <sheetData>
    <row r="4" spans="4:7" x14ac:dyDescent="0.25">
      <c r="D4" s="168" t="s">
        <v>100</v>
      </c>
      <c r="E4" s="168"/>
      <c r="F4" s="168"/>
      <c r="G4" s="168"/>
    </row>
    <row r="5" spans="4:7" hidden="1" x14ac:dyDescent="0.25">
      <c r="D5" s="166" t="s">
        <v>79</v>
      </c>
      <c r="E5" s="166"/>
      <c r="F5" s="166"/>
      <c r="G5" s="166"/>
    </row>
    <row r="6" spans="4:7" ht="33" hidden="1" customHeight="1" thickBot="1" x14ac:dyDescent="0.3">
      <c r="D6" s="167"/>
      <c r="E6" s="167"/>
      <c r="F6" s="167"/>
      <c r="G6" s="167"/>
    </row>
    <row r="7" spans="4:7" ht="56.25" thickBot="1" x14ac:dyDescent="0.3">
      <c r="D7" s="65" t="s">
        <v>18</v>
      </c>
      <c r="E7" s="100" t="s">
        <v>17</v>
      </c>
      <c r="F7" s="65" t="s">
        <v>101</v>
      </c>
      <c r="G7" s="100" t="s">
        <v>19</v>
      </c>
    </row>
    <row r="8" spans="4:7" ht="15.75" hidden="1" thickBot="1" x14ac:dyDescent="0.3">
      <c r="D8" s="64"/>
      <c r="E8" s="101"/>
      <c r="F8" s="64"/>
      <c r="G8" s="101"/>
    </row>
    <row r="9" spans="4:7" ht="16.5" thickTop="1" thickBot="1" x14ac:dyDescent="0.3">
      <c r="D9" s="44" t="s">
        <v>11</v>
      </c>
      <c r="E9" s="87">
        <f>ASSUMPTIONS!G10*ASSUMPTIONS!G8</f>
        <v>9579214329.4135361</v>
      </c>
      <c r="F9" s="45">
        <v>0</v>
      </c>
      <c r="G9" s="87">
        <f>E9-F9</f>
        <v>9579214329.4135361</v>
      </c>
    </row>
    <row r="10" spans="4:7" ht="16.5" thickTop="1" thickBot="1" x14ac:dyDescent="0.3">
      <c r="D10" s="44" t="s">
        <v>75</v>
      </c>
      <c r="E10" s="87">
        <f>E9*ASSUMPTIONS!G11</f>
        <v>191584286.58827072</v>
      </c>
      <c r="F10" s="45">
        <v>0</v>
      </c>
      <c r="G10" s="87">
        <f>E10-F10</f>
        <v>191584286.58827072</v>
      </c>
    </row>
    <row r="11" spans="4:7" ht="16.5" thickTop="1" thickBot="1" x14ac:dyDescent="0.3">
      <c r="D11" s="44" t="s">
        <v>15</v>
      </c>
      <c r="E11" s="87">
        <f>E9*ASSUMPTIONS!G13</f>
        <v>287376429.88240606</v>
      </c>
      <c r="F11" s="45">
        <v>0</v>
      </c>
      <c r="G11" s="87">
        <f>E11-F11</f>
        <v>287376429.88240606</v>
      </c>
    </row>
    <row r="12" spans="4:7" ht="16.5" thickTop="1" thickBot="1" x14ac:dyDescent="0.3">
      <c r="D12" s="44" t="s">
        <v>16</v>
      </c>
      <c r="E12" s="87">
        <f>E9*ASSUMPTIONS!G14</f>
        <v>191584286.58827072</v>
      </c>
      <c r="F12" s="45">
        <v>0</v>
      </c>
      <c r="G12" s="87">
        <f>E12-F12</f>
        <v>191584286.58827072</v>
      </c>
    </row>
    <row r="13" spans="4:7" ht="16.5" thickTop="1" thickBot="1" x14ac:dyDescent="0.3">
      <c r="D13" s="44" t="s">
        <v>35</v>
      </c>
      <c r="E13" s="87">
        <f>ASSUMPTIONS!G12*ASSUMPTIONS!G8</f>
        <v>368431320.36205906</v>
      </c>
      <c r="F13" s="45">
        <v>0</v>
      </c>
      <c r="G13" s="87">
        <f>E13-F13</f>
        <v>368431320.36205906</v>
      </c>
    </row>
    <row r="14" spans="4:7" s="17" customFormat="1" ht="16.5" thickTop="1" thickBot="1" x14ac:dyDescent="0.3">
      <c r="D14" s="66" t="s">
        <v>2</v>
      </c>
      <c r="E14" s="102">
        <f>SUM(E9:E13)</f>
        <v>10618190652.834541</v>
      </c>
      <c r="F14" s="67">
        <f>SUM(F9:F13)</f>
        <v>0</v>
      </c>
      <c r="G14" s="102">
        <f>SUM(G9:G13)</f>
        <v>10618190652.834541</v>
      </c>
    </row>
    <row r="15" spans="4:7" ht="15.75" thickTop="1" x14ac:dyDescent="0.25">
      <c r="D15" s="43"/>
      <c r="E15" s="103"/>
      <c r="F15" s="43"/>
      <c r="G15" s="103"/>
    </row>
    <row r="18" spans="4:7" x14ac:dyDescent="0.25">
      <c r="D18" s="164"/>
      <c r="E18" s="165"/>
      <c r="F18" s="165"/>
      <c r="G18" s="165"/>
    </row>
    <row r="21" spans="4:7" x14ac:dyDescent="0.25">
      <c r="F21" s="6"/>
    </row>
  </sheetData>
  <mergeCells count="3">
    <mergeCell ref="D18:G18"/>
    <mergeCell ref="D5:G6"/>
    <mergeCell ref="D4:G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223"/>
  <sheetViews>
    <sheetView topLeftCell="A11" zoomScale="85" zoomScaleNormal="85" workbookViewId="0">
      <selection activeCell="G28" sqref="G28"/>
    </sheetView>
  </sheetViews>
  <sheetFormatPr defaultRowHeight="15" x14ac:dyDescent="0.25"/>
  <cols>
    <col min="1" max="1" width="2" style="46" customWidth="1"/>
    <col min="2" max="2" width="33" bestFit="1" customWidth="1"/>
    <col min="3" max="3" width="18.5703125" bestFit="1" customWidth="1"/>
    <col min="4" max="4" width="13.28515625" customWidth="1"/>
    <col min="5" max="5" width="14" customWidth="1"/>
    <col min="6" max="6" width="14.5703125" bestFit="1" customWidth="1"/>
    <col min="7" max="7" width="14.5703125" customWidth="1"/>
    <col min="8" max="12" width="14.5703125" style="85" customWidth="1"/>
    <col min="13" max="13" width="14.85546875" customWidth="1"/>
    <col min="14" max="14" width="19.5703125" style="46" bestFit="1" customWidth="1"/>
    <col min="15" max="15" width="17" style="46" bestFit="1" customWidth="1"/>
    <col min="16" max="18" width="19.5703125" style="46" bestFit="1" customWidth="1"/>
    <col min="19" max="19" width="9.140625" style="46"/>
    <col min="20" max="20" width="15.85546875" style="46" bestFit="1" customWidth="1"/>
    <col min="21" max="148" width="9.140625" style="46"/>
  </cols>
  <sheetData>
    <row r="1" spans="1:148" s="46" customFormat="1" ht="15.75" thickBot="1" x14ac:dyDescent="0.3"/>
    <row r="2" spans="1:148" ht="17.25" thickTop="1" thickBot="1" x14ac:dyDescent="0.3">
      <c r="B2" s="171" t="s">
        <v>63</v>
      </c>
      <c r="C2" s="171"/>
      <c r="D2" s="171"/>
      <c r="E2" s="171"/>
      <c r="F2" s="171"/>
      <c r="G2" s="171"/>
      <c r="H2" s="171"/>
      <c r="I2" s="171"/>
      <c r="J2" s="171"/>
      <c r="K2" s="171"/>
      <c r="L2" s="171"/>
      <c r="M2" s="171"/>
    </row>
    <row r="3" spans="1:148" ht="16.5" thickTop="1" thickBot="1" x14ac:dyDescent="0.3">
      <c r="B3" s="172" t="s">
        <v>60</v>
      </c>
      <c r="C3" s="173" t="s">
        <v>70</v>
      </c>
      <c r="D3" s="68"/>
      <c r="E3" s="68"/>
      <c r="F3" s="68"/>
      <c r="G3" s="68"/>
      <c r="H3" s="68"/>
      <c r="I3" s="68"/>
      <c r="J3" s="68"/>
      <c r="K3" s="68"/>
      <c r="L3" s="68"/>
      <c r="M3" s="174" t="s">
        <v>61</v>
      </c>
    </row>
    <row r="4" spans="1:148" ht="16.5" thickTop="1" thickBot="1" x14ac:dyDescent="0.3">
      <c r="B4" s="172"/>
      <c r="C4" s="173"/>
      <c r="D4" s="68">
        <f>Inflow!C8</f>
        <v>45352</v>
      </c>
      <c r="E4" s="68">
        <f>Inflow!D8</f>
        <v>45717</v>
      </c>
      <c r="F4" s="68">
        <f>Inflow!E8</f>
        <v>46082</v>
      </c>
      <c r="G4" s="68">
        <f>Inflow!F8</f>
        <v>46447</v>
      </c>
      <c r="H4" s="68">
        <f>Inflow!G8</f>
        <v>46813</v>
      </c>
      <c r="I4" s="68">
        <f>Inflow!H8</f>
        <v>47178</v>
      </c>
      <c r="J4" s="68">
        <f>Inflow!I8</f>
        <v>47543</v>
      </c>
      <c r="K4" s="68">
        <f>Inflow!J8</f>
        <v>47908</v>
      </c>
      <c r="L4" s="68">
        <f>Inflow!K8</f>
        <v>48274</v>
      </c>
      <c r="M4" s="174"/>
    </row>
    <row r="5" spans="1:148" ht="29.25" customHeight="1" thickTop="1" thickBot="1" x14ac:dyDescent="0.3">
      <c r="B5" s="175" t="s">
        <v>84</v>
      </c>
      <c r="C5" s="175"/>
      <c r="D5" s="25">
        <f>Inflow!C14</f>
        <v>0</v>
      </c>
      <c r="E5" s="25">
        <f>Inflow!D14</f>
        <v>131.52998136925513</v>
      </c>
      <c r="F5" s="25">
        <f>Inflow!E14</f>
        <v>134.16058099664019</v>
      </c>
      <c r="G5" s="25">
        <f>Inflow!F14</f>
        <v>138.18539842653942</v>
      </c>
      <c r="H5" s="25">
        <f>Inflow!G14</f>
        <v>284.66192075867122</v>
      </c>
      <c r="I5" s="25">
        <f>Inflow!H14</f>
        <v>448.34252519490718</v>
      </c>
      <c r="J5" s="25">
        <f>Inflow!I14</f>
        <v>627.67953527287011</v>
      </c>
      <c r="K5" s="25">
        <f>Inflow!J14</f>
        <v>671.61710274197117</v>
      </c>
      <c r="L5" s="25">
        <f>Inflow!K14</f>
        <v>718.63029993390899</v>
      </c>
      <c r="M5" s="130">
        <f>SUM(D5:L5)</f>
        <v>3154.8073446947633</v>
      </c>
    </row>
    <row r="6" spans="1:148" s="17" customFormat="1" ht="16.5" thickTop="1" thickBot="1" x14ac:dyDescent="0.3">
      <c r="A6" s="47"/>
      <c r="B6" s="176" t="s">
        <v>85</v>
      </c>
      <c r="C6" s="176"/>
      <c r="D6" s="69">
        <f t="shared" ref="D6:L6" si="0">SUM(D5:D5)</f>
        <v>0</v>
      </c>
      <c r="E6" s="69">
        <f t="shared" si="0"/>
        <v>131.52998136925513</v>
      </c>
      <c r="F6" s="69">
        <f t="shared" si="0"/>
        <v>134.16058099664019</v>
      </c>
      <c r="G6" s="69">
        <f t="shared" si="0"/>
        <v>138.18539842653942</v>
      </c>
      <c r="H6" s="69">
        <f t="shared" si="0"/>
        <v>284.66192075867122</v>
      </c>
      <c r="I6" s="69">
        <f t="shared" si="0"/>
        <v>448.34252519490718</v>
      </c>
      <c r="J6" s="69">
        <f t="shared" si="0"/>
        <v>627.67953527287011</v>
      </c>
      <c r="K6" s="69">
        <f t="shared" si="0"/>
        <v>671.61710274197117</v>
      </c>
      <c r="L6" s="69">
        <f t="shared" si="0"/>
        <v>718.63029993390899</v>
      </c>
      <c r="M6" s="130">
        <f>SUM(D6:L6)</f>
        <v>3154.8073446947633</v>
      </c>
      <c r="N6" s="52"/>
      <c r="O6" s="47"/>
      <c r="P6" s="53"/>
      <c r="Q6" s="53"/>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47"/>
      <c r="DJ6" s="47"/>
      <c r="DK6" s="47"/>
      <c r="DL6" s="47"/>
      <c r="DM6" s="47"/>
      <c r="DN6" s="47"/>
      <c r="DO6" s="47"/>
      <c r="DP6" s="47"/>
      <c r="DQ6" s="47"/>
      <c r="DR6" s="47"/>
      <c r="DS6" s="47"/>
      <c r="DT6" s="47"/>
      <c r="DU6" s="47"/>
      <c r="DV6" s="47"/>
      <c r="DW6" s="47"/>
      <c r="DX6" s="47"/>
      <c r="DY6" s="47"/>
      <c r="DZ6" s="47"/>
      <c r="EA6" s="47"/>
      <c r="EB6" s="47"/>
      <c r="EC6" s="47"/>
      <c r="ED6" s="47"/>
      <c r="EE6" s="47"/>
      <c r="EF6" s="47"/>
      <c r="EG6" s="47"/>
      <c r="EH6" s="47"/>
      <c r="EI6" s="47"/>
      <c r="EJ6" s="47"/>
      <c r="EK6" s="47"/>
      <c r="EL6" s="47"/>
      <c r="EM6" s="47"/>
      <c r="EN6" s="47"/>
      <c r="EO6" s="47"/>
      <c r="EP6" s="47"/>
      <c r="EQ6" s="47"/>
      <c r="ER6" s="47"/>
    </row>
    <row r="7" spans="1:148" ht="16.5" thickTop="1" thickBot="1" x14ac:dyDescent="0.3">
      <c r="B7" s="169" t="s">
        <v>11</v>
      </c>
      <c r="C7" s="22"/>
      <c r="D7" s="105">
        <v>0</v>
      </c>
      <c r="E7" s="105">
        <v>0.05</v>
      </c>
      <c r="F7" s="105">
        <v>0.05</v>
      </c>
      <c r="G7" s="105">
        <v>0.1</v>
      </c>
      <c r="H7" s="105">
        <v>0.15</v>
      </c>
      <c r="I7" s="105">
        <v>0.15</v>
      </c>
      <c r="J7" s="105">
        <v>0.15</v>
      </c>
      <c r="K7" s="105">
        <v>0.2</v>
      </c>
      <c r="L7" s="105">
        <v>0.15</v>
      </c>
      <c r="M7" s="131">
        <f>SUM(D7:L7)</f>
        <v>1</v>
      </c>
      <c r="Q7" s="54"/>
    </row>
    <row r="8" spans="1:148" ht="16.5" thickTop="1" thickBot="1" x14ac:dyDescent="0.3">
      <c r="B8" s="170"/>
      <c r="C8" s="84"/>
      <c r="D8" s="23">
        <f>'Total Outflow'!$G$9*DCF!D7/10^7</f>
        <v>0</v>
      </c>
      <c r="E8" s="23">
        <f>'Total Outflow'!$G$9*DCF!E7/10^7</f>
        <v>47.896071647067686</v>
      </c>
      <c r="F8" s="23">
        <f>'Total Outflow'!$G$9*DCF!F7/10^7</f>
        <v>47.896071647067686</v>
      </c>
      <c r="G8" s="23">
        <f>'Total Outflow'!$G$9*DCF!G7/10^7</f>
        <v>95.792143294135371</v>
      </c>
      <c r="H8" s="23">
        <f>'Total Outflow'!$G$9*DCF!H7/10^7</f>
        <v>143.68821494120306</v>
      </c>
      <c r="I8" s="23">
        <f>'Total Outflow'!$G$9*DCF!I7/10^7</f>
        <v>143.68821494120306</v>
      </c>
      <c r="J8" s="23">
        <f>'Total Outflow'!$G$9*DCF!J7/10^7</f>
        <v>143.68821494120306</v>
      </c>
      <c r="K8" s="23">
        <f>'Total Outflow'!$G$9*DCF!K7/10^7</f>
        <v>191.58428658827074</v>
      </c>
      <c r="L8" s="23">
        <f>'Total Outflow'!$G$9*DCF!L7/10^7</f>
        <v>143.68821494120306</v>
      </c>
      <c r="M8" s="130">
        <f>SUM(D8:L8)</f>
        <v>957.92143294135371</v>
      </c>
    </row>
    <row r="9" spans="1:148" s="85" customFormat="1" ht="16.5" thickTop="1" thickBot="1" x14ac:dyDescent="0.3">
      <c r="A9" s="46"/>
      <c r="B9" s="169" t="s">
        <v>75</v>
      </c>
      <c r="C9" s="84"/>
      <c r="D9" s="106">
        <v>0.2</v>
      </c>
      <c r="E9" s="106">
        <v>0.2</v>
      </c>
      <c r="F9" s="106">
        <v>0.3</v>
      </c>
      <c r="G9" s="106">
        <v>0.3</v>
      </c>
      <c r="H9" s="23"/>
      <c r="I9" s="23"/>
      <c r="J9" s="23"/>
      <c r="K9" s="23"/>
      <c r="L9" s="23"/>
      <c r="M9" s="131">
        <f>SUM(D9:K9)</f>
        <v>1</v>
      </c>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c r="EN9" s="46"/>
      <c r="EO9" s="46"/>
      <c r="EP9" s="46"/>
      <c r="EQ9" s="46"/>
      <c r="ER9" s="46"/>
    </row>
    <row r="10" spans="1:148" ht="16.5" thickTop="1" thickBot="1" x14ac:dyDescent="0.3">
      <c r="B10" s="170"/>
      <c r="C10" s="50"/>
      <c r="D10" s="23">
        <f>'Total Outflow'!$G$10*DCF!D9/10^7</f>
        <v>3.8316857317654147</v>
      </c>
      <c r="E10" s="23">
        <f>'Total Outflow'!$G$10*DCF!E9/10^7</f>
        <v>3.8316857317654147</v>
      </c>
      <c r="F10" s="23">
        <f>'Total Outflow'!$G$10*DCF!F9/10^7</f>
        <v>5.7475285976481212</v>
      </c>
      <c r="G10" s="23">
        <f>'Total Outflow'!$G$10*DCF!G9/10^7</f>
        <v>5.7475285976481212</v>
      </c>
      <c r="H10" s="24"/>
      <c r="I10" s="24"/>
      <c r="J10" s="24"/>
      <c r="K10" s="24"/>
      <c r="L10" s="24"/>
      <c r="M10" s="129">
        <f>SUM(D10:L10)</f>
        <v>19.15842865882707</v>
      </c>
    </row>
    <row r="11" spans="1:148" s="85" customFormat="1" ht="16.5" thickTop="1" thickBot="1" x14ac:dyDescent="0.3">
      <c r="A11" s="46"/>
      <c r="B11" s="169" t="s">
        <v>87</v>
      </c>
      <c r="C11" s="84"/>
      <c r="D11" s="106">
        <v>0.11</v>
      </c>
      <c r="E11" s="106">
        <v>0.11</v>
      </c>
      <c r="F11" s="106">
        <v>0.11</v>
      </c>
      <c r="G11" s="106">
        <v>0.11</v>
      </c>
      <c r="H11" s="106">
        <v>0.11</v>
      </c>
      <c r="I11" s="106">
        <v>0.11</v>
      </c>
      <c r="J11" s="106">
        <v>0.11</v>
      </c>
      <c r="K11" s="106">
        <v>0.11</v>
      </c>
      <c r="L11" s="106">
        <v>0.12</v>
      </c>
      <c r="M11" s="131">
        <f>SUM(D11:L11)</f>
        <v>1</v>
      </c>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row>
    <row r="12" spans="1:148" ht="16.5" thickTop="1" thickBot="1" x14ac:dyDescent="0.3">
      <c r="B12" s="170"/>
      <c r="C12" s="84"/>
      <c r="D12" s="23">
        <f>'Total Outflow'!$G$11*DCF!D11/10^7</f>
        <v>3.1611407287064668</v>
      </c>
      <c r="E12" s="23">
        <f>'Total Outflow'!$G$11*DCF!E11/10^7</f>
        <v>3.1611407287064668</v>
      </c>
      <c r="F12" s="23">
        <f>'Total Outflow'!$G$11*DCF!F11/10^7</f>
        <v>3.1611407287064668</v>
      </c>
      <c r="G12" s="23">
        <f>'Total Outflow'!$G$11*DCF!G11/10^7</f>
        <v>3.1611407287064668</v>
      </c>
      <c r="H12" s="23">
        <f>'Total Outflow'!$G$11*DCF!H11/10^7</f>
        <v>3.1611407287064668</v>
      </c>
      <c r="I12" s="23">
        <f>'Total Outflow'!$G$11*DCF!I11/10^7</f>
        <v>3.1611407287064668</v>
      </c>
      <c r="J12" s="23">
        <f>'Total Outflow'!$G$11*DCF!J11/10^7</f>
        <v>3.1611407287064668</v>
      </c>
      <c r="K12" s="23">
        <f>'Total Outflow'!$G$11*DCF!K11/10^7</f>
        <v>3.1611407287064668</v>
      </c>
      <c r="L12" s="23">
        <f>'Total Outflow'!$G$11*DCF!L11/10^7</f>
        <v>3.448517158588873</v>
      </c>
      <c r="M12" s="129">
        <f>SUM(D12:L12)</f>
        <v>28.737642988240609</v>
      </c>
    </row>
    <row r="13" spans="1:148" s="85" customFormat="1" ht="16.5" thickTop="1" thickBot="1" x14ac:dyDescent="0.3">
      <c r="A13" s="46"/>
      <c r="B13" s="169" t="s">
        <v>16</v>
      </c>
      <c r="C13" s="84"/>
      <c r="D13" s="106">
        <v>0.15</v>
      </c>
      <c r="E13" s="106">
        <v>0.15</v>
      </c>
      <c r="F13" s="106">
        <v>0.15</v>
      </c>
      <c r="G13" s="106">
        <v>0.15</v>
      </c>
      <c r="H13" s="106">
        <v>0.1</v>
      </c>
      <c r="I13" s="106">
        <v>0.1</v>
      </c>
      <c r="J13" s="106">
        <v>0.1</v>
      </c>
      <c r="K13" s="106">
        <v>0.1</v>
      </c>
      <c r="L13" s="106"/>
      <c r="M13" s="131">
        <f>SUM(D13:K13)</f>
        <v>0.99999999999999989</v>
      </c>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row>
    <row r="14" spans="1:148" ht="16.5" thickTop="1" thickBot="1" x14ac:dyDescent="0.3">
      <c r="B14" s="170"/>
      <c r="C14" s="84"/>
      <c r="D14" s="23">
        <f>'Total Outflow'!$G$12*DCF!D13/10^7</f>
        <v>2.8737642988240606</v>
      </c>
      <c r="E14" s="23">
        <f>'Total Outflow'!$G$12*DCF!E13/10^7</f>
        <v>2.8737642988240606</v>
      </c>
      <c r="F14" s="23">
        <f>'Total Outflow'!$G$12*DCF!F13/10^7</f>
        <v>2.8737642988240606</v>
      </c>
      <c r="G14" s="23">
        <f>'Total Outflow'!$G$12*DCF!G13/10^7</f>
        <v>2.8737642988240606</v>
      </c>
      <c r="H14" s="23">
        <f>'Total Outflow'!$G$12*DCF!H13/10^7</f>
        <v>1.9158428658827074</v>
      </c>
      <c r="I14" s="23">
        <f>'Total Outflow'!$G$12*DCF!I13/10^7</f>
        <v>1.9158428658827074</v>
      </c>
      <c r="J14" s="23">
        <f>'Total Outflow'!$G$12*DCF!J13/10^7</f>
        <v>1.9158428658827074</v>
      </c>
      <c r="K14" s="23">
        <f>'Total Outflow'!$G$12*DCF!K13/10^7</f>
        <v>1.9158428658827074</v>
      </c>
      <c r="L14" s="23"/>
      <c r="M14" s="129">
        <f>SUM(D14:L14)</f>
        <v>19.15842865882707</v>
      </c>
    </row>
    <row r="15" spans="1:148" ht="16.5" thickTop="1" thickBot="1" x14ac:dyDescent="0.3">
      <c r="B15" s="189" t="s">
        <v>86</v>
      </c>
      <c r="C15" s="189"/>
      <c r="D15" s="23">
        <f>'Total Outflow'!G13*50%/10^7</f>
        <v>18.421566018102954</v>
      </c>
      <c r="E15" s="23">
        <f>D15</f>
        <v>18.421566018102954</v>
      </c>
      <c r="F15" s="23"/>
      <c r="G15" s="24">
        <v>0</v>
      </c>
      <c r="H15" s="24"/>
      <c r="I15" s="24"/>
      <c r="J15" s="24"/>
      <c r="K15" s="24"/>
      <c r="L15" s="24"/>
      <c r="M15" s="129">
        <f>SUM(D15:L15)</f>
        <v>36.843132036205908</v>
      </c>
    </row>
    <row r="16" spans="1:148" s="17" customFormat="1" ht="16.5" thickTop="1" thickBot="1" x14ac:dyDescent="0.3">
      <c r="A16" s="47"/>
      <c r="B16" s="203" t="s">
        <v>88</v>
      </c>
      <c r="C16" s="203"/>
      <c r="D16" s="70">
        <f t="shared" ref="D16:L16" si="1">D15+D14+D12+D10+D8</f>
        <v>28.288156777398896</v>
      </c>
      <c r="E16" s="70">
        <f t="shared" si="1"/>
        <v>76.184228424466582</v>
      </c>
      <c r="F16" s="70">
        <f t="shared" si="1"/>
        <v>59.678505272246333</v>
      </c>
      <c r="G16" s="70">
        <f t="shared" si="1"/>
        <v>107.57457691931401</v>
      </c>
      <c r="H16" s="70">
        <f t="shared" si="1"/>
        <v>148.76519853579222</v>
      </c>
      <c r="I16" s="70">
        <f t="shared" si="1"/>
        <v>148.76519853579222</v>
      </c>
      <c r="J16" s="70">
        <f t="shared" si="1"/>
        <v>148.76519853579222</v>
      </c>
      <c r="K16" s="70">
        <f t="shared" si="1"/>
        <v>196.66127018285991</v>
      </c>
      <c r="L16" s="70">
        <f t="shared" si="1"/>
        <v>147.13673209979194</v>
      </c>
      <c r="M16" s="129">
        <f>SUM(D16:L16)</f>
        <v>1061.8190652834544</v>
      </c>
      <c r="N16" s="52"/>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row>
    <row r="17" spans="1:148" s="137" customFormat="1" ht="17.25" thickTop="1" thickBot="1" x14ac:dyDescent="0.3">
      <c r="A17" s="132"/>
      <c r="B17" s="198" t="s">
        <v>69</v>
      </c>
      <c r="C17" s="199"/>
      <c r="D17" s="133">
        <f t="shared" ref="D17:L17" si="2">D6-D16</f>
        <v>-28.288156777398896</v>
      </c>
      <c r="E17" s="133">
        <f t="shared" si="2"/>
        <v>55.345752944788543</v>
      </c>
      <c r="F17" s="133">
        <f t="shared" si="2"/>
        <v>74.482075724393866</v>
      </c>
      <c r="G17" s="133">
        <f t="shared" si="2"/>
        <v>30.61082150722541</v>
      </c>
      <c r="H17" s="133">
        <f t="shared" si="2"/>
        <v>135.89672222287899</v>
      </c>
      <c r="I17" s="133">
        <f t="shared" si="2"/>
        <v>299.57732665911499</v>
      </c>
      <c r="J17" s="133">
        <f t="shared" si="2"/>
        <v>478.91433673707786</v>
      </c>
      <c r="K17" s="133">
        <f t="shared" si="2"/>
        <v>474.95583255911129</v>
      </c>
      <c r="L17" s="133">
        <f t="shared" si="2"/>
        <v>571.49356783411702</v>
      </c>
      <c r="M17" s="134">
        <f>SUM(D17:L17)</f>
        <v>2092.9882794113091</v>
      </c>
      <c r="N17" s="132"/>
      <c r="O17" s="132"/>
      <c r="P17" s="135"/>
      <c r="Q17" s="132"/>
      <c r="R17" s="132"/>
      <c r="S17" s="132"/>
      <c r="T17" s="136"/>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row>
    <row r="18" spans="1:148" ht="16.5" thickTop="1" thickBot="1" x14ac:dyDescent="0.3">
      <c r="B18" s="200"/>
      <c r="C18" s="201"/>
      <c r="D18" s="201"/>
      <c r="E18" s="201"/>
      <c r="F18" s="201"/>
      <c r="G18" s="201"/>
      <c r="H18" s="201"/>
      <c r="I18" s="201"/>
      <c r="J18" s="201"/>
      <c r="K18" s="201"/>
      <c r="L18" s="201"/>
      <c r="M18" s="202"/>
      <c r="R18" s="48"/>
    </row>
    <row r="19" spans="1:148" ht="16.5" thickTop="1" thickBot="1" x14ac:dyDescent="0.3">
      <c r="B19" s="71" t="s">
        <v>72</v>
      </c>
      <c r="C19" s="72">
        <f>XNPV(C20,D17:L17,D4:L4)</f>
        <v>894.97334453624933</v>
      </c>
      <c r="D19" s="177" t="s">
        <v>71</v>
      </c>
      <c r="E19" s="178"/>
      <c r="F19" s="178"/>
      <c r="G19" s="178"/>
      <c r="H19" s="178"/>
      <c r="I19" s="178"/>
      <c r="J19" s="178"/>
      <c r="K19" s="178"/>
      <c r="L19" s="178"/>
      <c r="M19" s="179"/>
      <c r="N19" s="48">
        <f>C19-C21</f>
        <v>715.97867562899944</v>
      </c>
    </row>
    <row r="20" spans="1:148" ht="16.5" thickTop="1" thickBot="1" x14ac:dyDescent="0.3">
      <c r="B20" s="71" t="s">
        <v>68</v>
      </c>
      <c r="C20" s="73">
        <v>0.15</v>
      </c>
      <c r="D20" s="180"/>
      <c r="E20" s="181"/>
      <c r="F20" s="181"/>
      <c r="G20" s="181"/>
      <c r="H20" s="181"/>
      <c r="I20" s="181"/>
      <c r="J20" s="181"/>
      <c r="K20" s="181"/>
      <c r="L20" s="181"/>
      <c r="M20" s="182"/>
      <c r="P20" s="48"/>
    </row>
    <row r="21" spans="1:148" ht="16.5" thickTop="1" thickBot="1" x14ac:dyDescent="0.3">
      <c r="B21" s="71" t="s">
        <v>112</v>
      </c>
      <c r="C21" s="72">
        <f>C19*ASSUMPTIONS!G17</f>
        <v>178.99466890724989</v>
      </c>
      <c r="D21" s="180"/>
      <c r="E21" s="181"/>
      <c r="F21" s="181"/>
      <c r="G21" s="181"/>
      <c r="H21" s="181"/>
      <c r="I21" s="181"/>
      <c r="J21" s="181"/>
      <c r="K21" s="181"/>
      <c r="L21" s="181"/>
      <c r="M21" s="182"/>
      <c r="P21" s="48"/>
      <c r="Q21" s="48"/>
      <c r="R21" s="48"/>
    </row>
    <row r="22" spans="1:148" ht="16.5" thickTop="1" thickBot="1" x14ac:dyDescent="0.3">
      <c r="B22" s="71" t="s">
        <v>62</v>
      </c>
      <c r="C22" s="74">
        <f>C19-C21</f>
        <v>715.97867562899944</v>
      </c>
      <c r="D22" s="183"/>
      <c r="E22" s="184"/>
      <c r="F22" s="184"/>
      <c r="G22" s="184"/>
      <c r="H22" s="184"/>
      <c r="I22" s="184"/>
      <c r="J22" s="184"/>
      <c r="K22" s="184"/>
      <c r="L22" s="184"/>
      <c r="M22" s="185"/>
      <c r="N22" s="48">
        <f>C22*10^7</f>
        <v>7159786756.2899942</v>
      </c>
      <c r="Q22" s="48"/>
    </row>
    <row r="23" spans="1:148" ht="16.5" thickTop="1" thickBot="1" x14ac:dyDescent="0.3">
      <c r="B23" s="186"/>
      <c r="C23" s="187"/>
      <c r="D23" s="187"/>
      <c r="E23" s="187"/>
      <c r="F23" s="187"/>
      <c r="G23" s="187"/>
      <c r="H23" s="187"/>
      <c r="I23" s="187"/>
      <c r="J23" s="187"/>
      <c r="K23" s="187"/>
      <c r="L23" s="187"/>
      <c r="M23" s="188"/>
      <c r="N23" s="46">
        <v>783613</v>
      </c>
      <c r="P23" s="51"/>
      <c r="Q23" s="48">
        <f>ROUND(P24,-7)</f>
        <v>7300000000</v>
      </c>
    </row>
    <row r="24" spans="1:148" ht="16.5" thickTop="1" thickBot="1" x14ac:dyDescent="0.3">
      <c r="B24" s="190" t="s">
        <v>59</v>
      </c>
      <c r="C24" s="191"/>
      <c r="D24" s="191"/>
      <c r="E24" s="191"/>
      <c r="F24" s="191"/>
      <c r="G24" s="191"/>
      <c r="H24" s="192"/>
      <c r="I24" s="192"/>
      <c r="J24" s="192"/>
      <c r="K24" s="192"/>
      <c r="L24" s="192"/>
      <c r="M24" s="193"/>
      <c r="N24" s="48">
        <f>N22+N23</f>
        <v>7160570369.2899942</v>
      </c>
      <c r="O24" s="48">
        <f>N24*2%</f>
        <v>143211407.38579988</v>
      </c>
      <c r="P24" s="48">
        <f>N24+O24</f>
        <v>7303781776.6757946</v>
      </c>
      <c r="Q24" s="48">
        <f>Q23*85%</f>
        <v>6205000000</v>
      </c>
      <c r="R24" s="51">
        <f>Q23*75%</f>
        <v>5475000000</v>
      </c>
    </row>
    <row r="25" spans="1:148" ht="31.5" customHeight="1" thickTop="1" thickBot="1" x14ac:dyDescent="0.3">
      <c r="B25" s="194" t="s">
        <v>98</v>
      </c>
      <c r="C25" s="195"/>
      <c r="D25" s="195"/>
      <c r="E25" s="195"/>
      <c r="F25" s="195"/>
      <c r="G25" s="195"/>
      <c r="H25" s="196"/>
      <c r="I25" s="196"/>
      <c r="J25" s="196"/>
      <c r="K25" s="196"/>
      <c r="L25" s="196"/>
      <c r="M25" s="197"/>
      <c r="Q25" s="48"/>
    </row>
    <row r="26" spans="1:148" s="46" customFormat="1" ht="15.75" thickTop="1" x14ac:dyDescent="0.25"/>
    <row r="27" spans="1:148" s="46" customFormat="1" x14ac:dyDescent="0.25">
      <c r="C27" s="55">
        <f>C22*10^7/122.58</f>
        <v>58409094.112334758</v>
      </c>
      <c r="G27" s="46" t="s">
        <v>108</v>
      </c>
      <c r="N27" s="48">
        <f>N24/ASSUMPTIONS!G4</f>
        <v>58415486.778348789</v>
      </c>
      <c r="Q27" s="48">
        <f>Q25*0.85</f>
        <v>0</v>
      </c>
    </row>
    <row r="28" spans="1:148" s="46" customFormat="1" x14ac:dyDescent="0.25">
      <c r="C28" s="138">
        <f>C27/4047</f>
        <v>14432.689427312764</v>
      </c>
      <c r="G28" s="46" t="s">
        <v>109</v>
      </c>
      <c r="N28" s="48">
        <f>N24/ASSUMPTIONS!G5</f>
        <v>14434.768382980577</v>
      </c>
    </row>
    <row r="29" spans="1:148" s="46" customFormat="1" x14ac:dyDescent="0.25">
      <c r="Q29" s="48">
        <f>Q25*0.75</f>
        <v>0</v>
      </c>
    </row>
    <row r="30" spans="1:148" s="46" customFormat="1" x14ac:dyDescent="0.25"/>
    <row r="31" spans="1:148" s="46" customFormat="1" x14ac:dyDescent="0.25"/>
    <row r="32" spans="1:148" s="46" customFormat="1" x14ac:dyDescent="0.25">
      <c r="C32" s="55">
        <f>C22*10^7</f>
        <v>7159786756.2899942</v>
      </c>
    </row>
    <row r="33" spans="3:3" s="46" customFormat="1" x14ac:dyDescent="0.25">
      <c r="C33" s="55">
        <f>716*10^7</f>
        <v>7160000000</v>
      </c>
    </row>
    <row r="34" spans="3:3" s="46" customFormat="1" x14ac:dyDescent="0.25">
      <c r="C34" s="55">
        <f>C33*0.85</f>
        <v>6086000000</v>
      </c>
    </row>
    <row r="35" spans="3:3" s="46" customFormat="1" x14ac:dyDescent="0.25">
      <c r="C35" s="55">
        <f>C33*0.75</f>
        <v>5370000000</v>
      </c>
    </row>
    <row r="36" spans="3:3" s="46" customFormat="1" x14ac:dyDescent="0.25">
      <c r="C36" s="55"/>
    </row>
    <row r="37" spans="3:3" s="46" customFormat="1" x14ac:dyDescent="0.25"/>
    <row r="38" spans="3:3" s="46" customFormat="1" x14ac:dyDescent="0.25"/>
    <row r="39" spans="3:3" s="46" customFormat="1" x14ac:dyDescent="0.25"/>
    <row r="40" spans="3:3" s="46" customFormat="1" x14ac:dyDescent="0.25"/>
    <row r="41" spans="3:3" s="46" customFormat="1" x14ac:dyDescent="0.25"/>
    <row r="42" spans="3:3" s="46" customFormat="1" x14ac:dyDescent="0.25"/>
    <row r="43" spans="3:3" s="46" customFormat="1" x14ac:dyDescent="0.25"/>
    <row r="44" spans="3:3" s="46" customFormat="1" x14ac:dyDescent="0.25"/>
    <row r="45" spans="3:3" s="46" customFormat="1" x14ac:dyDescent="0.25"/>
    <row r="46" spans="3:3" s="46" customFormat="1" x14ac:dyDescent="0.25"/>
    <row r="47" spans="3:3" s="46" customFormat="1" x14ac:dyDescent="0.25"/>
    <row r="48" spans="3:3" s="46" customFormat="1" x14ac:dyDescent="0.25"/>
    <row r="49" s="46" customFormat="1" x14ac:dyDescent="0.25"/>
    <row r="50" s="46" customFormat="1" x14ac:dyDescent="0.25"/>
    <row r="51" s="46" customFormat="1" x14ac:dyDescent="0.25"/>
    <row r="52" s="46" customFormat="1" x14ac:dyDescent="0.25"/>
    <row r="53" s="46" customFormat="1" x14ac:dyDescent="0.25"/>
    <row r="54" s="46" customFormat="1" x14ac:dyDescent="0.25"/>
    <row r="55" s="46" customFormat="1" x14ac:dyDescent="0.25"/>
    <row r="56" s="46" customFormat="1" x14ac:dyDescent="0.25"/>
    <row r="57" s="46" customFormat="1" x14ac:dyDescent="0.25"/>
    <row r="58" s="46" customFormat="1" x14ac:dyDescent="0.25"/>
    <row r="59" s="46" customFormat="1" x14ac:dyDescent="0.25"/>
    <row r="60" s="46" customFormat="1" x14ac:dyDescent="0.25"/>
    <row r="61" s="46" customFormat="1" x14ac:dyDescent="0.25"/>
    <row r="62" s="46" customFormat="1" x14ac:dyDescent="0.25"/>
    <row r="63" s="46" customFormat="1" x14ac:dyDescent="0.25"/>
    <row r="64" s="46" customFormat="1" x14ac:dyDescent="0.25"/>
    <row r="65" s="46" customFormat="1" x14ac:dyDescent="0.25"/>
    <row r="66" s="46" customFormat="1" x14ac:dyDescent="0.25"/>
    <row r="67" s="46" customFormat="1" x14ac:dyDescent="0.25"/>
    <row r="68" s="46" customFormat="1" x14ac:dyDescent="0.25"/>
    <row r="69" s="46" customFormat="1" x14ac:dyDescent="0.25"/>
    <row r="70" s="46" customFormat="1" x14ac:dyDescent="0.25"/>
    <row r="71" s="46" customFormat="1" x14ac:dyDescent="0.25"/>
    <row r="72" s="46" customFormat="1" x14ac:dyDescent="0.25"/>
    <row r="73" s="46" customFormat="1" x14ac:dyDescent="0.25"/>
    <row r="74" s="46" customFormat="1" x14ac:dyDescent="0.25"/>
    <row r="75" s="46" customFormat="1" x14ac:dyDescent="0.25"/>
    <row r="76" s="46" customFormat="1" x14ac:dyDescent="0.25"/>
    <row r="77" s="46" customFormat="1" x14ac:dyDescent="0.25"/>
    <row r="78" s="46" customFormat="1" x14ac:dyDescent="0.25"/>
    <row r="79" s="46" customFormat="1" x14ac:dyDescent="0.25"/>
    <row r="80" s="46" customFormat="1" x14ac:dyDescent="0.25"/>
    <row r="81" s="46" customFormat="1" x14ac:dyDescent="0.25"/>
    <row r="82" s="46" customFormat="1" x14ac:dyDescent="0.25"/>
    <row r="83" s="46" customFormat="1" x14ac:dyDescent="0.25"/>
    <row r="84" s="46" customFormat="1" x14ac:dyDescent="0.25"/>
    <row r="85" s="46" customFormat="1" x14ac:dyDescent="0.25"/>
    <row r="86" s="46" customFormat="1" x14ac:dyDescent="0.25"/>
    <row r="87" s="46" customFormat="1" x14ac:dyDescent="0.25"/>
    <row r="88" s="46" customFormat="1" x14ac:dyDescent="0.25"/>
    <row r="89" s="46" customFormat="1" x14ac:dyDescent="0.25"/>
    <row r="90" s="46" customFormat="1" x14ac:dyDescent="0.25"/>
    <row r="91" s="46" customFormat="1" x14ac:dyDescent="0.25"/>
    <row r="92" s="46" customFormat="1" x14ac:dyDescent="0.25"/>
    <row r="93" s="46" customFormat="1" x14ac:dyDescent="0.25"/>
    <row r="94" s="46" customFormat="1" x14ac:dyDescent="0.25"/>
    <row r="95" s="46" customFormat="1" x14ac:dyDescent="0.25"/>
    <row r="96" s="46" customFormat="1" x14ac:dyDescent="0.25"/>
    <row r="97" s="46" customFormat="1" x14ac:dyDescent="0.25"/>
    <row r="98" s="46" customFormat="1" x14ac:dyDescent="0.25"/>
    <row r="99" s="46" customFormat="1" x14ac:dyDescent="0.25"/>
    <row r="100" s="46" customFormat="1" x14ac:dyDescent="0.25"/>
    <row r="101" s="46" customFormat="1" x14ac:dyDescent="0.25"/>
    <row r="102" s="46" customFormat="1" x14ac:dyDescent="0.25"/>
    <row r="103" s="46" customFormat="1" x14ac:dyDescent="0.25"/>
    <row r="104" s="46" customFormat="1" x14ac:dyDescent="0.25"/>
    <row r="105" s="46" customFormat="1" x14ac:dyDescent="0.25"/>
    <row r="106" s="46" customFormat="1" x14ac:dyDescent="0.25"/>
    <row r="107" s="46" customFormat="1" x14ac:dyDescent="0.25"/>
    <row r="108" s="46" customFormat="1" x14ac:dyDescent="0.25"/>
    <row r="109" s="46" customFormat="1" x14ac:dyDescent="0.25"/>
    <row r="110" s="46" customFormat="1" x14ac:dyDescent="0.25"/>
    <row r="111" s="46" customFormat="1" x14ac:dyDescent="0.25"/>
    <row r="112" s="46" customFormat="1" x14ac:dyDescent="0.25"/>
    <row r="113" s="46" customFormat="1" x14ac:dyDescent="0.25"/>
    <row r="114" s="46" customFormat="1" x14ac:dyDescent="0.25"/>
    <row r="115" s="46" customFormat="1" x14ac:dyDescent="0.25"/>
    <row r="116" s="46" customFormat="1" x14ac:dyDescent="0.25"/>
    <row r="117" s="46" customFormat="1" x14ac:dyDescent="0.25"/>
    <row r="118" s="46" customFormat="1" x14ac:dyDescent="0.25"/>
    <row r="119" s="46" customFormat="1" x14ac:dyDescent="0.25"/>
    <row r="120" s="46" customFormat="1" x14ac:dyDescent="0.25"/>
    <row r="121" s="46" customFormat="1" x14ac:dyDescent="0.25"/>
    <row r="122" s="46" customFormat="1" x14ac:dyDescent="0.25"/>
    <row r="123" s="46" customFormat="1" x14ac:dyDescent="0.25"/>
    <row r="124" s="46" customFormat="1" x14ac:dyDescent="0.25"/>
    <row r="125" s="46" customFormat="1" x14ac:dyDescent="0.25"/>
    <row r="126" s="46" customFormat="1" x14ac:dyDescent="0.25"/>
    <row r="127" s="46" customFormat="1" x14ac:dyDescent="0.25"/>
    <row r="128" s="46" customFormat="1" x14ac:dyDescent="0.25"/>
    <row r="129" s="46" customFormat="1" x14ac:dyDescent="0.25"/>
    <row r="130" s="46" customFormat="1" x14ac:dyDescent="0.25"/>
    <row r="131" s="46" customFormat="1" x14ac:dyDescent="0.25"/>
    <row r="132" s="46" customFormat="1" x14ac:dyDescent="0.25"/>
    <row r="133" s="46" customFormat="1" x14ac:dyDescent="0.25"/>
    <row r="134" s="46" customFormat="1" x14ac:dyDescent="0.25"/>
    <row r="135" s="46" customFormat="1" x14ac:dyDescent="0.25"/>
    <row r="136" s="46" customFormat="1" x14ac:dyDescent="0.25"/>
    <row r="137" s="46" customFormat="1" x14ac:dyDescent="0.25"/>
    <row r="138" s="46" customFormat="1" x14ac:dyDescent="0.25"/>
    <row r="139" s="46" customFormat="1" x14ac:dyDescent="0.25"/>
    <row r="140" s="46" customFormat="1" x14ac:dyDescent="0.25"/>
    <row r="141" s="46" customFormat="1" x14ac:dyDescent="0.25"/>
    <row r="142" s="46" customFormat="1" x14ac:dyDescent="0.25"/>
    <row r="143" s="46" customFormat="1" x14ac:dyDescent="0.25"/>
    <row r="144" s="46" customFormat="1" x14ac:dyDescent="0.25"/>
    <row r="145" s="46" customFormat="1" x14ac:dyDescent="0.25"/>
    <row r="146" s="46" customFormat="1" x14ac:dyDescent="0.25"/>
    <row r="147" s="46" customFormat="1" x14ac:dyDescent="0.25"/>
    <row r="148" s="46" customFormat="1" x14ac:dyDescent="0.25"/>
    <row r="149" s="46" customFormat="1" x14ac:dyDescent="0.25"/>
    <row r="150" s="46" customFormat="1" x14ac:dyDescent="0.25"/>
    <row r="151" s="46" customFormat="1" x14ac:dyDescent="0.25"/>
    <row r="152" s="46" customFormat="1" x14ac:dyDescent="0.25"/>
    <row r="153" s="46" customFormat="1" x14ac:dyDescent="0.25"/>
    <row r="154" s="46" customFormat="1" x14ac:dyDescent="0.25"/>
    <row r="155" s="46" customFormat="1" x14ac:dyDescent="0.25"/>
    <row r="156" s="46" customFormat="1" x14ac:dyDescent="0.25"/>
    <row r="157" s="46" customFormat="1" x14ac:dyDescent="0.25"/>
    <row r="158" s="46" customFormat="1" x14ac:dyDescent="0.25"/>
    <row r="159" s="46" customFormat="1" x14ac:dyDescent="0.25"/>
    <row r="160" s="46" customFormat="1" x14ac:dyDescent="0.25"/>
    <row r="161" s="46" customFormat="1" x14ac:dyDescent="0.25"/>
    <row r="162" s="46" customFormat="1" x14ac:dyDescent="0.25"/>
    <row r="163" s="46" customFormat="1" x14ac:dyDescent="0.25"/>
    <row r="164" s="46" customFormat="1" x14ac:dyDescent="0.25"/>
    <row r="165" s="46" customFormat="1" x14ac:dyDescent="0.25"/>
    <row r="166" s="46" customFormat="1" x14ac:dyDescent="0.25"/>
    <row r="167" s="46" customFormat="1" x14ac:dyDescent="0.25"/>
    <row r="168" s="46" customFormat="1" x14ac:dyDescent="0.25"/>
    <row r="169" s="46" customFormat="1" x14ac:dyDescent="0.25"/>
    <row r="170" s="46" customFormat="1" x14ac:dyDescent="0.25"/>
    <row r="171" s="46" customFormat="1" x14ac:dyDescent="0.25"/>
    <row r="172" s="46" customFormat="1" x14ac:dyDescent="0.25"/>
    <row r="173" s="46" customFormat="1" x14ac:dyDescent="0.25"/>
    <row r="174" s="46" customFormat="1" x14ac:dyDescent="0.25"/>
    <row r="175" s="46" customFormat="1" x14ac:dyDescent="0.25"/>
    <row r="176" s="46" customFormat="1" x14ac:dyDescent="0.25"/>
    <row r="177" s="46" customFormat="1" x14ac:dyDescent="0.25"/>
    <row r="178" s="46" customFormat="1" x14ac:dyDescent="0.25"/>
    <row r="179" s="46" customFormat="1" x14ac:dyDescent="0.25"/>
    <row r="180" s="46" customFormat="1" x14ac:dyDescent="0.25"/>
    <row r="181" s="46" customFormat="1" x14ac:dyDescent="0.25"/>
    <row r="182" s="46" customFormat="1" x14ac:dyDescent="0.25"/>
    <row r="183" s="46" customFormat="1" x14ac:dyDescent="0.25"/>
    <row r="184" s="46" customFormat="1" x14ac:dyDescent="0.25"/>
    <row r="185" s="46" customFormat="1" x14ac:dyDescent="0.25"/>
    <row r="186" s="46" customFormat="1" x14ac:dyDescent="0.25"/>
    <row r="187" s="46" customFormat="1" x14ac:dyDescent="0.25"/>
    <row r="188" s="46" customFormat="1" x14ac:dyDescent="0.25"/>
    <row r="189" s="46" customFormat="1" x14ac:dyDescent="0.25"/>
    <row r="190" s="46" customFormat="1" x14ac:dyDescent="0.25"/>
    <row r="191" s="46" customFormat="1" x14ac:dyDescent="0.25"/>
    <row r="192" s="46" customFormat="1" x14ac:dyDescent="0.25"/>
    <row r="193" s="46" customFormat="1" x14ac:dyDescent="0.25"/>
    <row r="194" s="46" customFormat="1" x14ac:dyDescent="0.25"/>
    <row r="195" s="46" customFormat="1" x14ac:dyDescent="0.25"/>
    <row r="196" s="46" customFormat="1" x14ac:dyDescent="0.25"/>
    <row r="197" s="46" customFormat="1" x14ac:dyDescent="0.25"/>
    <row r="198" s="46" customFormat="1" x14ac:dyDescent="0.25"/>
    <row r="199" s="46" customFormat="1" x14ac:dyDescent="0.25"/>
    <row r="200" s="46" customFormat="1" x14ac:dyDescent="0.25"/>
    <row r="201" s="46" customFormat="1" x14ac:dyDescent="0.25"/>
    <row r="202" s="46" customFormat="1" x14ac:dyDescent="0.25"/>
    <row r="203" s="46" customFormat="1" x14ac:dyDescent="0.25"/>
    <row r="204" s="46" customFormat="1" x14ac:dyDescent="0.25"/>
    <row r="205" s="46" customFormat="1" x14ac:dyDescent="0.25"/>
    <row r="206" s="46" customFormat="1" x14ac:dyDescent="0.25"/>
    <row r="207" s="46" customFormat="1" x14ac:dyDescent="0.25"/>
    <row r="208" s="46" customFormat="1" x14ac:dyDescent="0.25"/>
    <row r="209" s="46" customFormat="1" x14ac:dyDescent="0.25"/>
    <row r="210" s="46" customFormat="1" x14ac:dyDescent="0.25"/>
    <row r="211" s="46" customFormat="1" x14ac:dyDescent="0.25"/>
    <row r="212" s="46" customFormat="1" x14ac:dyDescent="0.25"/>
    <row r="213" s="46" customFormat="1" x14ac:dyDescent="0.25"/>
    <row r="214" s="46" customFormat="1" x14ac:dyDescent="0.25"/>
    <row r="215" s="46" customFormat="1" x14ac:dyDescent="0.25"/>
    <row r="216" s="46" customFormat="1" x14ac:dyDescent="0.25"/>
    <row r="217" s="46" customFormat="1" x14ac:dyDescent="0.25"/>
    <row r="218" s="46" customFormat="1" x14ac:dyDescent="0.25"/>
    <row r="219" s="46" customFormat="1" x14ac:dyDescent="0.25"/>
    <row r="220" s="46" customFormat="1" x14ac:dyDescent="0.25"/>
    <row r="221" s="46" customFormat="1" x14ac:dyDescent="0.25"/>
    <row r="222" s="46" customFormat="1" x14ac:dyDescent="0.25"/>
    <row r="223" s="46" customFormat="1" x14ac:dyDescent="0.25"/>
  </sheetData>
  <mergeCells count="18">
    <mergeCell ref="D19:M22"/>
    <mergeCell ref="B23:M23"/>
    <mergeCell ref="B15:C15"/>
    <mergeCell ref="B24:M24"/>
    <mergeCell ref="B25:M25"/>
    <mergeCell ref="B17:C17"/>
    <mergeCell ref="B18:M18"/>
    <mergeCell ref="B16:C16"/>
    <mergeCell ref="B9:B10"/>
    <mergeCell ref="B11:B12"/>
    <mergeCell ref="B13:B14"/>
    <mergeCell ref="B2:M2"/>
    <mergeCell ref="B3:B4"/>
    <mergeCell ref="C3:C4"/>
    <mergeCell ref="M3:M4"/>
    <mergeCell ref="B5:C5"/>
    <mergeCell ref="B6:C6"/>
    <mergeCell ref="B7:B8"/>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19"/>
  <sheetViews>
    <sheetView showGridLines="0" zoomScaleNormal="100" workbookViewId="0">
      <selection activeCell="M19" sqref="M19"/>
    </sheetView>
  </sheetViews>
  <sheetFormatPr defaultColWidth="9.140625" defaultRowHeight="15" x14ac:dyDescent="0.25"/>
  <cols>
    <col min="1" max="2" width="9.140625" style="114"/>
    <col min="3" max="3" width="16.85546875" style="114" bestFit="1" customWidth="1"/>
    <col min="4" max="10" width="9.140625" style="114"/>
    <col min="11" max="11" width="12.140625" style="204" bestFit="1" customWidth="1"/>
    <col min="12" max="12" width="9.5703125" style="204" bestFit="1" customWidth="1"/>
    <col min="13" max="13" width="17.5703125" style="114" bestFit="1" customWidth="1"/>
    <col min="14" max="16384" width="9.140625" style="114"/>
  </cols>
  <sheetData>
    <row r="4" spans="1:13" x14ac:dyDescent="0.25">
      <c r="G4" s="122"/>
    </row>
    <row r="5" spans="1:13" x14ac:dyDescent="0.25">
      <c r="A5" s="121"/>
    </row>
    <row r="6" spans="1:13" ht="15" customHeight="1" x14ac:dyDescent="0.25"/>
    <row r="7" spans="1:13" x14ac:dyDescent="0.25">
      <c r="G7" s="121"/>
    </row>
    <row r="8" spans="1:13" x14ac:dyDescent="0.25">
      <c r="G8" s="121"/>
    </row>
    <row r="9" spans="1:13" ht="15" customHeight="1" x14ac:dyDescent="0.25"/>
    <row r="11" spans="1:13" ht="15" customHeight="1" x14ac:dyDescent="0.25"/>
    <row r="12" spans="1:13" ht="15" customHeight="1" x14ac:dyDescent="0.25"/>
    <row r="14" spans="1:13" ht="30" customHeight="1" x14ac:dyDescent="0.25"/>
    <row r="15" spans="1:13" ht="30" customHeight="1" x14ac:dyDescent="0.25">
      <c r="J15" s="114" t="s">
        <v>114</v>
      </c>
      <c r="K15" s="204">
        <v>92220</v>
      </c>
      <c r="L15" s="204">
        <v>5700</v>
      </c>
      <c r="M15" s="204">
        <f>L15*K15</f>
        <v>525654000</v>
      </c>
    </row>
    <row r="16" spans="1:13" ht="28.5" customHeight="1" x14ac:dyDescent="0.25">
      <c r="J16" s="114" t="s">
        <v>114</v>
      </c>
      <c r="K16" s="204">
        <v>95690</v>
      </c>
      <c r="L16" s="204">
        <v>5700</v>
      </c>
      <c r="M16" s="204">
        <f t="shared" ref="M16:M18" si="0">L16*K16</f>
        <v>545433000</v>
      </c>
    </row>
    <row r="17" spans="10:13" x14ac:dyDescent="0.25">
      <c r="J17" s="114" t="s">
        <v>115</v>
      </c>
      <c r="K17" s="204">
        <v>81329</v>
      </c>
      <c r="L17" s="204">
        <v>3000</v>
      </c>
      <c r="M17" s="204">
        <f t="shared" si="0"/>
        <v>243987000</v>
      </c>
    </row>
    <row r="18" spans="10:13" x14ac:dyDescent="0.25">
      <c r="J18" s="114" t="s">
        <v>116</v>
      </c>
      <c r="K18" s="204">
        <v>226809</v>
      </c>
      <c r="L18" s="204">
        <v>5900</v>
      </c>
      <c r="M18" s="204">
        <f t="shared" si="0"/>
        <v>1338173100</v>
      </c>
    </row>
    <row r="19" spans="10:13" x14ac:dyDescent="0.25">
      <c r="M19" s="205">
        <f>SUM(M15:M18)</f>
        <v>2653247100</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6" workbookViewId="0">
      <selection activeCell="I26" sqref="I26"/>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ASSUMPTIONS</vt:lpstr>
      <vt:lpstr>Absorption Rate</vt:lpstr>
      <vt:lpstr>Residential Inflow</vt:lpstr>
      <vt:lpstr>Inflow</vt:lpstr>
      <vt:lpstr>Total Outflow</vt:lpstr>
      <vt:lpstr>DCF</vt:lpstr>
      <vt:lpstr>Consolidated Summary</vt:lpstr>
      <vt:lpstr>Sheet1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Abhishek Garg - Corporate Finance</dc:creator>
  <cp:lastModifiedBy>Abhinav Chaturvedi</cp:lastModifiedBy>
  <dcterms:created xsi:type="dcterms:W3CDTF">2020-02-03T05:38:58Z</dcterms:created>
  <dcterms:modified xsi:type="dcterms:W3CDTF">2023-11-09T06:27:37Z</dcterms:modified>
</cp:coreProperties>
</file>