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414-339-541_Ms Nephron Pharma\"/>
    </mc:Choice>
  </mc:AlternateContent>
  <xr:revisionPtr revIDLastSave="0" documentId="13_ncr:1_{F3890BFA-E56F-4533-B9D2-35507CBD788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Sheet1!$B$4:$H$4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G58" i="1"/>
  <c r="G57" i="1"/>
  <c r="H56" i="1"/>
  <c r="H55" i="1"/>
  <c r="H54" i="1"/>
  <c r="H31" i="1"/>
  <c r="H53" i="1"/>
  <c r="H47" i="1"/>
  <c r="H18" i="1"/>
  <c r="H17" i="1"/>
  <c r="H37" i="1"/>
  <c r="H38" i="1"/>
  <c r="H48" i="1"/>
  <c r="H52" i="1"/>
  <c r="H51" i="1"/>
  <c r="H50" i="1"/>
  <c r="H49" i="1"/>
  <c r="H30" i="1"/>
  <c r="H29" i="1"/>
  <c r="H45" i="1"/>
  <c r="H44" i="1"/>
  <c r="H33" i="1"/>
  <c r="H32" i="1"/>
  <c r="H16" i="1"/>
  <c r="H21" i="1"/>
  <c r="G39" i="1"/>
  <c r="H39" i="1"/>
  <c r="G18" i="1"/>
  <c r="G20" i="1"/>
  <c r="H34" i="1"/>
  <c r="H36" i="1"/>
  <c r="G17" i="1"/>
  <c r="G19" i="1"/>
  <c r="H28" i="1"/>
  <c r="H25" i="1"/>
  <c r="H20" i="1"/>
  <c r="H24" i="1"/>
  <c r="H22" i="1"/>
  <c r="H19" i="1"/>
  <c r="H14" i="1"/>
  <c r="G25" i="1"/>
  <c r="G55" i="1"/>
  <c r="G54" i="1"/>
  <c r="G30" i="1"/>
  <c r="G42" i="1"/>
  <c r="G22" i="1"/>
  <c r="G35" i="1"/>
  <c r="G29" i="1"/>
  <c r="G21" i="1"/>
  <c r="G43" i="1"/>
  <c r="G31" i="1"/>
  <c r="G16" i="1"/>
  <c r="G45" i="1"/>
  <c r="G37" i="1"/>
  <c r="G32" i="1"/>
  <c r="G44" i="1"/>
  <c r="G38" i="1"/>
  <c r="G28" i="1"/>
  <c r="G50" i="1"/>
  <c r="G56" i="1"/>
  <c r="G24" i="1"/>
  <c r="G47" i="1"/>
  <c r="G14" i="1"/>
  <c r="G33" i="1"/>
  <c r="G23" i="1"/>
  <c r="G26" i="1"/>
  <c r="G41" i="1"/>
  <c r="G8" i="1"/>
  <c r="G13" i="1"/>
  <c r="G40" i="1"/>
  <c r="G12" i="1"/>
  <c r="G10" i="1"/>
  <c r="G27" i="1"/>
  <c r="G34" i="1"/>
  <c r="G49" i="1"/>
  <c r="G52" i="1"/>
  <c r="G53" i="1"/>
  <c r="G48" i="1"/>
  <c r="G51" i="1"/>
  <c r="G36" i="1"/>
  <c r="G46" i="1"/>
  <c r="H3" i="1" l="1"/>
  <c r="G3" i="1"/>
</calcChain>
</file>

<file path=xl/sharedStrings.xml><?xml version="1.0" encoding="utf-8"?>
<sst xmlns="http://schemas.openxmlformats.org/spreadsheetml/2006/main" count="205" uniqueCount="136">
  <si>
    <t>Quantity</t>
  </si>
  <si>
    <t>Material Name</t>
  </si>
  <si>
    <t>Vibro Sifter</t>
  </si>
  <si>
    <t>RMG Machine</t>
  </si>
  <si>
    <t>Paste Kettle with Stirrer</t>
  </si>
  <si>
    <t>CT-70 Model Automatic Capsule Filling machine</t>
  </si>
  <si>
    <t>Double Skin AHU</t>
  </si>
  <si>
    <t>8.5 TR</t>
  </si>
  <si>
    <t>11 TR</t>
  </si>
  <si>
    <t>3 TR</t>
  </si>
  <si>
    <t>5.5 TR</t>
  </si>
  <si>
    <t>8.5 TR, 4000 CFM</t>
  </si>
  <si>
    <t>11 TR, 4000 CFM</t>
  </si>
  <si>
    <t>3 TR, 1000 CFM</t>
  </si>
  <si>
    <t>5.5 TR, 2000 CFM</t>
  </si>
  <si>
    <t>15 TR, 6000 CFM</t>
  </si>
  <si>
    <t>AHU</t>
  </si>
  <si>
    <t>8.5 TR, 3000 CFM</t>
  </si>
  <si>
    <t>3 TR, 1200 CFM</t>
  </si>
  <si>
    <t>Presure Monitoring System</t>
  </si>
  <si>
    <t>Floor Mounted Electrical Tray Dryer</t>
  </si>
  <si>
    <t>Split AC Inverter</t>
  </si>
  <si>
    <t>Free Match HI Wall Voltas</t>
  </si>
  <si>
    <t>1 TR</t>
  </si>
  <si>
    <t>1.5 TR</t>
  </si>
  <si>
    <t>2 TR</t>
  </si>
  <si>
    <t>Free Match Multi Split Inverter hot and cold out door Voltas</t>
  </si>
  <si>
    <t>Air cooled ductable unit Voltas</t>
  </si>
  <si>
    <t>120 kg</t>
  </si>
  <si>
    <t>Fluid Bed Dryer cGMP Machine</t>
  </si>
  <si>
    <t>Multi Mill Machine cGMP Machine</t>
  </si>
  <si>
    <t xml:space="preserve">Bin Blender Machine </t>
  </si>
  <si>
    <t>600 ltr</t>
  </si>
  <si>
    <t>Auto Coat 48'' GMP Model</t>
  </si>
  <si>
    <t>Colloid Mill</t>
  </si>
  <si>
    <t>Tablet Inspection Machine Roller Type</t>
  </si>
  <si>
    <t>Bin Type Blender Machine</t>
  </si>
  <si>
    <t>300 ltr</t>
  </si>
  <si>
    <t>Emergency exit Red colour 915 x 2100 mm</t>
  </si>
  <si>
    <t>Clean Room Door (Single Door) (Hatch Door) 1000 x 1000 mm</t>
  </si>
  <si>
    <t>Market Price</t>
  </si>
  <si>
    <t>Purchased Price</t>
  </si>
  <si>
    <t>Specifications</t>
  </si>
  <si>
    <t>Terminal Hepa Filter 610x610x150</t>
  </si>
  <si>
    <t>Terminal Hepa Filter 450x450x150</t>
  </si>
  <si>
    <t>Terminal Hepa Filter 305x305x300</t>
  </si>
  <si>
    <t>0.36 Micron, 99.97% effi.</t>
  </si>
  <si>
    <t>Terminal Hepa Filter 610x610x150 (18G CRC Sheet)</t>
  </si>
  <si>
    <t>Terminal Hepa Filter 450x450x150 (18G CRC Sheet)</t>
  </si>
  <si>
    <t>Terminal Hepa Filter 305x305x300 (18G CRC Sheet)</t>
  </si>
  <si>
    <t xml:space="preserve">SS 304 Suply/Return Air grills with Dampers </t>
  </si>
  <si>
    <t>SS 304 Return Air grills with Damper and Filter</t>
  </si>
  <si>
    <t>SS 304</t>
  </si>
  <si>
    <t>Party Name</t>
  </si>
  <si>
    <t>S.no.</t>
  </si>
  <si>
    <t>THERMAL EXPANSION VALVE 5.5TR (TXV) SUPPLY OF INSTALL PER NOS</t>
  </si>
  <si>
    <t>THERMAL EXPANSION VALVE 8.5 TR (TXV) SUPPLY OF INSTALL</t>
  </si>
  <si>
    <t>WEATHER COMFORT ENGINEERS</t>
  </si>
  <si>
    <t xml:space="preserve">Trio India </t>
  </si>
  <si>
    <t>PROVENTIQ PHARMA MACHINERIES</t>
  </si>
  <si>
    <t>Groyne Tech</t>
  </si>
  <si>
    <t>Accurate Machines</t>
  </si>
  <si>
    <t>Capteach system</t>
  </si>
  <si>
    <t>SAIFIAN AIRCON</t>
  </si>
  <si>
    <t>Fluid Pack</t>
  </si>
  <si>
    <t>https://www.indiamart.com/proddetail/610x610x150-mm-hepa-filter-16179180988.html</t>
  </si>
  <si>
    <t>70 thousand Capsule per hour</t>
  </si>
  <si>
    <t>https://www.indiamart.com/proddetail/fully-automatic-capsule-filling-machine-sfacf-40-gmp-model-6519918712.html?pos=8&amp;pla=n</t>
  </si>
  <si>
    <t>ACCURA High Speed Double rotary press</t>
  </si>
  <si>
    <t>20 ltr hopper capacity</t>
  </si>
  <si>
    <t>https://www.indiamart.com/proddetail/high-speed-double-side-rotary-tablet-machine-2851852891097.html?pos=4</t>
  </si>
  <si>
    <t>https://www.indiamart.com/proddetail/fluid-bed-dryer-4132638555.html?pos=12&amp;pla=n</t>
  </si>
  <si>
    <t>https://www.indiamart.com/proddetail/conta-pillar-blender-pillar-type-blender-bin-blender-2849754504991.html</t>
  </si>
  <si>
    <t>Door 760 x 2100 mm single leaf</t>
  </si>
  <si>
    <t>Door 915 x 2100 mm single leaf</t>
  </si>
  <si>
    <t>Door 1220 x 2100 mm Double leaf</t>
  </si>
  <si>
    <t>Door 1525 x 2100 mm Double leaf</t>
  </si>
  <si>
    <t>https://www.indiamart.com/proddetail/fire-resistant-metal-door-24606379388.html?pos=2&amp;pla=n</t>
  </si>
  <si>
    <t>https://www.indiamart.com/proddetail/voltas-ductable-ac-21595966455.html</t>
  </si>
  <si>
    <t>https://www.aajjo.com/industrial-plants-machinery/auto-coater-machine-in-palghar-npm-pharma-industries-private-limited/product</t>
  </si>
  <si>
    <t>https://www.indiamart.com/proddetail/voltas-ductable-ac-8-5-tr-r22-22466031148.html</t>
  </si>
  <si>
    <t>https://www.indiamart.com/proddetail/double-leaf-swing-door-10192669291.html?pos=5&amp;pla=n</t>
  </si>
  <si>
    <t>https://www.indiamart.com/proddetail/11-0-tr-ductable-ac-make-voltas-single-circuit-22021074155.html</t>
  </si>
  <si>
    <t>https://www.indiamart.com/proddetail/stainless-steel-conta-blender-21099950091.html</t>
  </si>
  <si>
    <t>https://www.indiamart.com/proddetail/pressure-relief-damper-supplier-6236530312.html?pos=3</t>
  </si>
  <si>
    <t>https://www.indiamart.com/proddetail/automatic-capsule-inspection-machine-21529449433.html?pos=3&amp;pla=n</t>
  </si>
  <si>
    <t>https://www.aajjo.com/industrial-plants-machinery/stainless-steel-paste-kettle-mixer-machine-capacity-0-250-l-in-ahmadabad-adinath-international/product</t>
  </si>
  <si>
    <t xml:space="preserve">AHU </t>
  </si>
  <si>
    <t>Condensing Unit Voltas  + Installation charges</t>
  </si>
  <si>
    <t>Condensing Unit Voltas + Installation Charges</t>
  </si>
  <si>
    <t>https://www.indiamart.com/proddetail/voltas-vm2-h18-4dr3-inverter-free-match-outdoor-window-ac-24986026955.html</t>
  </si>
  <si>
    <t>https://www.indiamart.com/proddetail/ss316-304-vibro-sifter-19548516455.html</t>
  </si>
  <si>
    <t>Double Skin AHU + installation charges</t>
  </si>
  <si>
    <t>https://www.indiamart.com/proddetail/voltas-ductable-unit-3-tr-5-5-tr-8-5-tr-11-tr-16-5-tr-22-tr-27628375655.html</t>
  </si>
  <si>
    <t>https://www.indiamart.com/proddetail/double-skin-air-handling-unit-2898896748.html</t>
  </si>
  <si>
    <t>Electrical Panels, AHU panels</t>
  </si>
  <si>
    <t>https://www.indiamart.com/proddetail/fire-resistant-metal-door-24606379388.html?pos=2</t>
  </si>
  <si>
    <t>Remarks</t>
  </si>
  <si>
    <t>Fully Automatic Blister Packing Machine + Extra accessories</t>
  </si>
  <si>
    <t>https://www.indiamart.com/proddetail/edrashti-blister-inspection-system-9931550230.html</t>
  </si>
  <si>
    <t>Link</t>
  </si>
  <si>
    <t>Quotation-4000000</t>
  </si>
  <si>
    <t>ACCURA B4 STN 'D' Tooling High Speed (tablet press)</t>
  </si>
  <si>
    <t>https://www.indiamart.com/proddetail/tablet-making-machine-9344702133.html?pos=9&amp;pla=n</t>
  </si>
  <si>
    <t>https://www.indiamart.com/proddetail/ss-multi-mill-8449721630.html</t>
  </si>
  <si>
    <t>3 HP</t>
  </si>
  <si>
    <t>https://www.indiamart.com/proddetail/ss-colloid-mill-25992821433.html</t>
  </si>
  <si>
    <t>https://www.indiamart.com/proddetail/ahu-air-handling-unit-16365431073.html</t>
  </si>
  <si>
    <t>https://www.indiamart.com/proddetail/double-skin-air-handling-unit-24276892412.html</t>
  </si>
  <si>
    <t>https://www.tradeindia.com/products/hepa-filter-c7748908.html</t>
  </si>
  <si>
    <t>https://www.indiamart.com/proddetail/double-skin-floor-mounted-air-handling-unit-22972775797.html</t>
  </si>
  <si>
    <t>https://www.indiamart.com/proddetail/pressure-relief-damper-26171007455.html?pos=12&amp;kwd=damper%20and%20filter%20ss%20304%20return&amp;tags=||||8293.604|Price|product|||TS</t>
  </si>
  <si>
    <t>Damper-9000, grill-3500, filter-2500</t>
  </si>
  <si>
    <t>https://www.indiamart.com/proddetail/voltas-acads05511-5-5-ton-aircooled-ductable-split-unit-singl-24259229791.html?pos=8&amp;pla=n</t>
  </si>
  <si>
    <t xml:space="preserve"> 1220 x 2100 mm</t>
  </si>
  <si>
    <t>https://www.flipkart.com/godrej-5-in-1-convertible-cooling-2023-model-2-ton-3-star-split-inverter-i-sense-technology-blue-fin-anti-corrosive-coating-ac-white/p/itmde6369dd1aa44?pid=ACNGK96ZGTMTGTGV&amp;lid=LSTACNGK96ZGTMTGTGVHHLCFT&amp;marketplace=FLIPKART&amp;store=j9e%2Fabm%2Fc54&amp;srno=b_2_28&amp;otracker=browse&amp;fm=organic&amp;iid=en_9E_1gC420l7vsyo02njWJ_wPnRambAeM9fwEyYZeloKU65v3BIkAsF2AB6c-I7eN8lejDex8_KgWhuq6WLP7qw%3D%3D&amp;ppt=None&amp;ppn=None&amp;ssid=kuva5twxsw0000001697107123716</t>
  </si>
  <si>
    <t>https://www.indiamart.com/proddetail/stainless-steel-hatch-door-2849541034530.html</t>
  </si>
  <si>
    <t>1000 x 1000 mm</t>
  </si>
  <si>
    <t>https://www.flipkart.com/voltas-2023-model-1-ton-3-star-split-inverter-ac-white/p/itm19052ef671f8a?pid=ACNGMXKV9GDM7EP5&amp;lid=LSTACNGMXKV9GDM7EP51D0OYP&amp;marketplace=FLIPKART&amp;store=j9e%2Fabm%2Fc54&amp;srno=b_1_5&amp;otracker=browse&amp;fm=organic&amp;iid=43857b99-dfc8-4dd8-ae99-92218c3eddb6.ACNGMXKV9GDM7EP5.SEARCH&amp;ppt=None&amp;ppn=None&amp;ssid=gfoznyeti80000001697107561640</t>
  </si>
  <si>
    <t>https://www.reliancedigital.in/hisense-1-5-ton-3-star-convertible-inverter-split-ac-atc503hib-5-in-1-convertible-100-copper-auto-clean-pm-2-5-filter-blue-fins-2023-launch-/p/581110345?gclid=Cj0KCQjwsp6pBhCfARIsAD3GZuZVEUWBfByrpfITkUu0scszHCO6zNfrqJQgjmRKXJ16mieIJJjPXbEaAv4YEALw_wcB</t>
  </si>
  <si>
    <t>https://www.flipkart.com/voltas-1-5-ton-3-star-split-inverter-ac-white/p/itm5d563eba61324?pid=ACNGHUNGGWU4FY45&amp;lid=LSTACNGHUNGGWU4FY45SNJC7P&amp;marketplace=FLIPKART&amp;store=j9e%2Fabm%2Fc54&amp;spotlightTagId=TrendingId_j9e%2Fabm%2Fc54&amp;srno=b_1_1&amp;otracker=browse&amp;fm=organic&amp;iid=9a763630-327d-4284-8a79-38a34118cc1e.ACNGHUNGGWU4FY45.SEARCH&amp;ppt=browse&amp;ppn=browse&amp;ssid=e7chrbyeuo0000001697108290565</t>
  </si>
  <si>
    <t>m/c - 1000000, acc.-300000, insp. Sys.-800000,</t>
  </si>
  <si>
    <t>https://www.indiamart.com/proddetail/hepa-filter-25967260397.html</t>
  </si>
  <si>
    <t>https://www.indiamart.com/proddetail/air-handling-unit-23803524230.html?pos=2&amp;kwd=double%20skin%20air%20handling%20unit%205.5&amp;tags=A||||8227.221|Price|product|||SSnp|type=attr=1|attrS</t>
  </si>
  <si>
    <t>https://www.indiamart.com/proddetail/double-leaf-fire-resistant-door-24002652297.html?pos=5</t>
  </si>
  <si>
    <t>https://gostor.com/category/split-ac/Voltas-2-Ton-3-Star-Split-Inverter-split-ac-243V-Vectra-Elite-(Copper,-New-BEE-Rating)?id=6360eec564cb95ecdd4b7193&amp;utm_campaign=20458122368&amp;utm_content=3&amp;utm_term=&amp;gclid=CjwKCAjwvrOpBhBdEiwAR58-3P7uQ4W787E8Ol8TWF3Hl1xzQ6Hs5UdqzpcNtjaVnlIQUTpQFiZ5CxoCU08QAvD_BwE</t>
  </si>
  <si>
    <t>quotation-2500000</t>
  </si>
  <si>
    <t>https://www.indiamart.com/proddetail/capsule-type-pressure-gauge-12132645612.html</t>
  </si>
  <si>
    <t>https://www.indiamart.com/proddetail/emerson-thermal-expansion-valves-22467892048.html</t>
  </si>
  <si>
    <t>https://www.indiamart.com/proddetail/5-8-x-7-8-odf-thermal-expansion-valve-9-ton-23747729473.html</t>
  </si>
  <si>
    <t>https://www.indiamart.com/proddetail/mild-steel-emergency-exit-door-24248433412.html?pos=4</t>
  </si>
  <si>
    <t xml:space="preserve">Quotation </t>
  </si>
  <si>
    <t>TOTAL</t>
  </si>
  <si>
    <t>MISC. AND INSTALLATION CHARGES</t>
  </si>
  <si>
    <t>`</t>
  </si>
  <si>
    <t>https://www.indiamart.com/proddetail/double-skin-air-handling-unit-2850740535462.html?pos=6&amp;pla=n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</si>
</sst>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horizontal="right" vertical="center"/>
    </xf>
    <xf numFmtId="44" fontId="0" fillId="0" borderId="1" xfId="0" applyNumberFormat="1" applyBorder="1"/>
    <xf numFmtId="44" fontId="0" fillId="3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1" applyAlignment="1"/>
    <xf numFmtId="44" fontId="0" fillId="0" borderId="0" xfId="0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iamart.com/proddetail/pressure-relief-damper-26171007455.html?pos=12&amp;kwd=damper%20and%20filter%20ss%20304%20return&amp;tags=||||8293.604|Price|product|||TS" TargetMode="External"/><Relationship Id="rId3" Type="http://schemas.openxmlformats.org/officeDocument/2006/relationships/hyperlink" Target="https://www.indiamart.com/proddetail/high-speed-double-side-rotary-tablet-machine-2851852891097.html?pos=4" TargetMode="External"/><Relationship Id="rId7" Type="http://schemas.openxmlformats.org/officeDocument/2006/relationships/hyperlink" Target="https://www.indiamart.com/proddetail/11-0-tr-ductable-ac-make-voltas-single-circuit-22021074155.html" TargetMode="External"/><Relationship Id="rId2" Type="http://schemas.openxmlformats.org/officeDocument/2006/relationships/hyperlink" Target="https://www.aajjo.com/industrial-plants-machinery/auto-coater-machine-in-palghar-npm-pharma-industries-private-limited/product" TargetMode="External"/><Relationship Id="rId1" Type="http://schemas.openxmlformats.org/officeDocument/2006/relationships/hyperlink" Target="https://www.indiamart.com/proddetail/fully-automatic-capsule-filling-machine-sfacf-40-gmp-model-6519918712.html?pos=8&amp;pla=n" TargetMode="External"/><Relationship Id="rId6" Type="http://schemas.openxmlformats.org/officeDocument/2006/relationships/hyperlink" Target="https://www.indiamart.com/proddetail/voltas-ductable-ac-8-5-tr-r22-22466031148.html" TargetMode="External"/><Relationship Id="rId5" Type="http://schemas.openxmlformats.org/officeDocument/2006/relationships/hyperlink" Target="https://www.indiamart.com/proddetail/610x610x150-mm-hepa-filter-16179180988.html" TargetMode="External"/><Relationship Id="rId4" Type="http://schemas.openxmlformats.org/officeDocument/2006/relationships/hyperlink" Target="https://www.indiamart.com/proddetail/pressure-relief-damper-supplier-6236530312.html?pos=3" TargetMode="External"/><Relationship Id="rId9" Type="http://schemas.openxmlformats.org/officeDocument/2006/relationships/hyperlink" Target="https://www.indiamart.com/proddetail/voltas-acads05511-5-5-ton-aircooled-ductable-split-unit-singl-24259229791.html?pos=8&amp;pla=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58"/>
  <sheetViews>
    <sheetView tabSelected="1" topLeftCell="A22" zoomScale="70" zoomScaleNormal="70" workbookViewId="0">
      <selection activeCell="B4" sqref="B4:H58"/>
    </sheetView>
  </sheetViews>
  <sheetFormatPr defaultRowHeight="15" x14ac:dyDescent="0.25"/>
  <cols>
    <col min="3" max="3" width="35.140625" customWidth="1"/>
    <col min="4" max="4" width="56.85546875" style="1" customWidth="1"/>
    <col min="5" max="5" width="25.42578125" hidden="1" customWidth="1"/>
    <col min="6" max="6" width="10.85546875" style="1" hidden="1" customWidth="1"/>
    <col min="7" max="7" width="26.28515625" customWidth="1"/>
    <col min="8" max="8" width="22.28515625" style="1" customWidth="1"/>
    <col min="9" max="9" width="78.5703125" style="17" customWidth="1"/>
    <col min="10" max="10" width="21.7109375" customWidth="1"/>
  </cols>
  <sheetData>
    <row r="3" spans="2:10" x14ac:dyDescent="0.25">
      <c r="D3" s="12"/>
      <c r="E3" s="12"/>
      <c r="G3" s="9">
        <f>SUBTOTAL(9,G5:G57)</f>
        <v>34109856.939999998</v>
      </c>
      <c r="H3" s="9">
        <f>SUBTOTAL(9,H5:H57)</f>
        <v>31195770</v>
      </c>
    </row>
    <row r="4" spans="2:10" ht="38.25" customHeight="1" x14ac:dyDescent="0.25">
      <c r="B4" s="16" t="s">
        <v>54</v>
      </c>
      <c r="C4" s="16" t="s">
        <v>53</v>
      </c>
      <c r="D4" s="16" t="s">
        <v>1</v>
      </c>
      <c r="E4" s="16" t="s">
        <v>42</v>
      </c>
      <c r="F4" s="16" t="s">
        <v>0</v>
      </c>
      <c r="G4" s="16" t="s">
        <v>41</v>
      </c>
      <c r="H4" s="16" t="s">
        <v>40</v>
      </c>
      <c r="I4" s="2" t="s">
        <v>100</v>
      </c>
      <c r="J4" s="13" t="s">
        <v>97</v>
      </c>
    </row>
    <row r="5" spans="2:10" x14ac:dyDescent="0.25">
      <c r="B5" s="3">
        <v>1</v>
      </c>
      <c r="C5" s="3" t="s">
        <v>61</v>
      </c>
      <c r="D5" s="5" t="s">
        <v>98</v>
      </c>
      <c r="E5" s="4"/>
      <c r="F5" s="4">
        <v>1</v>
      </c>
      <c r="G5" s="9">
        <v>4143750</v>
      </c>
      <c r="H5" s="9">
        <v>2100000</v>
      </c>
      <c r="I5" s="17" t="s">
        <v>99</v>
      </c>
      <c r="J5" t="s">
        <v>121</v>
      </c>
    </row>
    <row r="6" spans="2:10" ht="19.5" customHeight="1" x14ac:dyDescent="0.25">
      <c r="B6" s="3">
        <v>2</v>
      </c>
      <c r="C6" s="3" t="s">
        <v>62</v>
      </c>
      <c r="D6" s="5" t="s">
        <v>5</v>
      </c>
      <c r="E6" s="7" t="s">
        <v>66</v>
      </c>
      <c r="F6" s="4">
        <v>1</v>
      </c>
      <c r="G6" s="9">
        <v>3651960</v>
      </c>
      <c r="H6" s="9">
        <v>4000000</v>
      </c>
      <c r="I6" s="18" t="s">
        <v>67</v>
      </c>
      <c r="J6" t="s">
        <v>101</v>
      </c>
    </row>
    <row r="7" spans="2:10" ht="19.5" customHeight="1" x14ac:dyDescent="0.25">
      <c r="B7" s="3">
        <v>3</v>
      </c>
      <c r="C7" s="3" t="s">
        <v>62</v>
      </c>
      <c r="D7" s="5" t="s">
        <v>5</v>
      </c>
      <c r="E7" s="7" t="s">
        <v>66</v>
      </c>
      <c r="F7" s="4">
        <v>1</v>
      </c>
      <c r="G7" s="9">
        <v>3649149.24</v>
      </c>
      <c r="H7" s="9">
        <v>4000000</v>
      </c>
      <c r="I7" s="17" t="s">
        <v>67</v>
      </c>
      <c r="J7" t="s">
        <v>101</v>
      </c>
    </row>
    <row r="8" spans="2:10" x14ac:dyDescent="0.25">
      <c r="B8" s="3">
        <v>4</v>
      </c>
      <c r="C8" s="3" t="s">
        <v>59</v>
      </c>
      <c r="D8" s="5" t="s">
        <v>33</v>
      </c>
      <c r="E8" s="4"/>
      <c r="F8" s="4">
        <v>1</v>
      </c>
      <c r="G8" s="9">
        <f>3870000*0.86</f>
        <v>3328200</v>
      </c>
      <c r="H8" s="9">
        <v>3500000</v>
      </c>
      <c r="I8" s="18" t="s">
        <v>79</v>
      </c>
    </row>
    <row r="9" spans="2:10" x14ac:dyDescent="0.25">
      <c r="B9" s="3">
        <v>5</v>
      </c>
      <c r="C9" s="3" t="s">
        <v>64</v>
      </c>
      <c r="D9" s="5" t="s">
        <v>68</v>
      </c>
      <c r="E9" s="4" t="s">
        <v>69</v>
      </c>
      <c r="F9" s="4">
        <v>1</v>
      </c>
      <c r="G9" s="9">
        <v>2572100</v>
      </c>
      <c r="H9" s="9">
        <v>2000000</v>
      </c>
      <c r="I9" s="18" t="s">
        <v>70</v>
      </c>
    </row>
    <row r="10" spans="2:10" x14ac:dyDescent="0.25">
      <c r="B10" s="3">
        <v>6</v>
      </c>
      <c r="C10" s="3" t="s">
        <v>59</v>
      </c>
      <c r="D10" s="5" t="s">
        <v>3</v>
      </c>
      <c r="F10" s="4">
        <v>1</v>
      </c>
      <c r="G10" s="9">
        <f>2395000*0.86</f>
        <v>2059700</v>
      </c>
      <c r="H10" s="9">
        <v>2500000</v>
      </c>
      <c r="I10" s="17" t="s">
        <v>134</v>
      </c>
      <c r="J10" t="s">
        <v>126</v>
      </c>
    </row>
    <row r="11" spans="2:10" x14ac:dyDescent="0.25">
      <c r="B11" s="3">
        <v>7</v>
      </c>
      <c r="C11" s="3" t="s">
        <v>64</v>
      </c>
      <c r="D11" s="5" t="s">
        <v>102</v>
      </c>
      <c r="E11" s="4"/>
      <c r="F11" s="4">
        <v>1</v>
      </c>
      <c r="G11" s="9">
        <v>1408450</v>
      </c>
      <c r="H11" s="9">
        <v>1000000</v>
      </c>
      <c r="I11" s="17" t="s">
        <v>103</v>
      </c>
    </row>
    <row r="12" spans="2:10" x14ac:dyDescent="0.25">
      <c r="B12" s="3">
        <v>8</v>
      </c>
      <c r="C12" s="3" t="s">
        <v>59</v>
      </c>
      <c r="D12" s="5" t="s">
        <v>29</v>
      </c>
      <c r="E12" s="4" t="s">
        <v>28</v>
      </c>
      <c r="F12" s="4">
        <v>1</v>
      </c>
      <c r="G12" s="9">
        <f>1433000*0.86</f>
        <v>1232380</v>
      </c>
      <c r="H12" s="9">
        <v>1150000</v>
      </c>
      <c r="I12" s="17" t="s">
        <v>71</v>
      </c>
    </row>
    <row r="13" spans="2:10" x14ac:dyDescent="0.25">
      <c r="B13" s="3">
        <v>9</v>
      </c>
      <c r="C13" s="3" t="s">
        <v>59</v>
      </c>
      <c r="D13" s="5" t="s">
        <v>31</v>
      </c>
      <c r="E13" s="4" t="s">
        <v>32</v>
      </c>
      <c r="F13" s="4">
        <v>1</v>
      </c>
      <c r="G13" s="9">
        <f>1090000*0.86</f>
        <v>937400</v>
      </c>
      <c r="H13" s="9">
        <v>1000000</v>
      </c>
      <c r="I13" s="17" t="s">
        <v>72</v>
      </c>
    </row>
    <row r="14" spans="2:10" x14ac:dyDescent="0.25">
      <c r="B14" s="3">
        <v>10</v>
      </c>
      <c r="C14" s="3" t="s">
        <v>58</v>
      </c>
      <c r="D14" s="5" t="s">
        <v>74</v>
      </c>
      <c r="E14" s="4"/>
      <c r="F14" s="4">
        <v>55</v>
      </c>
      <c r="G14" s="9">
        <f>898590*0.95</f>
        <v>853660.5</v>
      </c>
      <c r="H14" s="9">
        <f>55*15000</f>
        <v>825000</v>
      </c>
      <c r="I14" s="17" t="s">
        <v>77</v>
      </c>
    </row>
    <row r="15" spans="2:10" x14ac:dyDescent="0.25">
      <c r="B15" s="3">
        <v>11</v>
      </c>
      <c r="C15" s="3" t="s">
        <v>60</v>
      </c>
      <c r="D15" s="5" t="s">
        <v>20</v>
      </c>
      <c r="E15" s="4"/>
      <c r="F15" s="4">
        <v>1</v>
      </c>
      <c r="G15" s="9">
        <v>801550</v>
      </c>
      <c r="H15" s="9">
        <v>300000</v>
      </c>
      <c r="I15" s="19"/>
      <c r="J15" t="s">
        <v>131</v>
      </c>
    </row>
    <row r="16" spans="2:10" x14ac:dyDescent="0.25">
      <c r="B16" s="3">
        <v>12</v>
      </c>
      <c r="C16" s="3" t="s">
        <v>63</v>
      </c>
      <c r="D16" s="5" t="s">
        <v>95</v>
      </c>
      <c r="E16" s="4"/>
      <c r="F16" s="4">
        <v>1</v>
      </c>
      <c r="G16" s="9">
        <f>(650000+75000)*0.9712</f>
        <v>704120</v>
      </c>
      <c r="H16" s="9">
        <f>150000*4</f>
        <v>600000</v>
      </c>
      <c r="I16" s="17" t="s">
        <v>94</v>
      </c>
    </row>
    <row r="17" spans="2:10" x14ac:dyDescent="0.25">
      <c r="B17" s="3">
        <v>13</v>
      </c>
      <c r="C17" s="3" t="s">
        <v>57</v>
      </c>
      <c r="D17" s="5" t="s">
        <v>89</v>
      </c>
      <c r="E17" s="4" t="s">
        <v>10</v>
      </c>
      <c r="F17" s="4">
        <v>9</v>
      </c>
      <c r="G17" s="9">
        <f>671400*0.95+52816</f>
        <v>690646</v>
      </c>
      <c r="H17" s="9">
        <f>70000*9</f>
        <v>630000</v>
      </c>
      <c r="I17" s="19" t="s">
        <v>78</v>
      </c>
    </row>
    <row r="18" spans="2:10" x14ac:dyDescent="0.25">
      <c r="B18" s="3">
        <v>14</v>
      </c>
      <c r="C18" s="3" t="s">
        <v>63</v>
      </c>
      <c r="D18" s="5" t="s">
        <v>92</v>
      </c>
      <c r="E18" s="4" t="s">
        <v>14</v>
      </c>
      <c r="F18" s="4">
        <v>7</v>
      </c>
      <c r="G18" s="11">
        <f>85000*7*0.9712+5868</f>
        <v>583732</v>
      </c>
      <c r="H18" s="9">
        <f>55000*7</f>
        <v>385000</v>
      </c>
      <c r="I18" s="19" t="s">
        <v>123</v>
      </c>
    </row>
    <row r="19" spans="2:10" x14ac:dyDescent="0.25">
      <c r="B19" s="3">
        <v>15</v>
      </c>
      <c r="C19" s="3" t="s">
        <v>57</v>
      </c>
      <c r="D19" s="5" t="s">
        <v>88</v>
      </c>
      <c r="E19" s="4" t="s">
        <v>7</v>
      </c>
      <c r="F19" s="4">
        <v>5</v>
      </c>
      <c r="G19" s="9">
        <f>525000*0.95+45347</f>
        <v>544097</v>
      </c>
      <c r="H19" s="9">
        <f>100000*5</f>
        <v>500000</v>
      </c>
      <c r="I19" s="18" t="s">
        <v>80</v>
      </c>
    </row>
    <row r="20" spans="2:10" x14ac:dyDescent="0.25">
      <c r="B20" s="3">
        <v>16</v>
      </c>
      <c r="C20" s="3" t="s">
        <v>57</v>
      </c>
      <c r="D20" s="5" t="s">
        <v>88</v>
      </c>
      <c r="E20" s="4" t="s">
        <v>8</v>
      </c>
      <c r="F20" s="4">
        <v>3</v>
      </c>
      <c r="G20" s="9">
        <f>374400*0.95+80025</f>
        <v>435705</v>
      </c>
      <c r="H20" s="9">
        <f>145000*3</f>
        <v>435000</v>
      </c>
      <c r="I20" s="18" t="s">
        <v>82</v>
      </c>
    </row>
    <row r="21" spans="2:10" x14ac:dyDescent="0.25">
      <c r="B21" s="3">
        <v>17</v>
      </c>
      <c r="C21" s="3" t="s">
        <v>63</v>
      </c>
      <c r="D21" s="5" t="s">
        <v>6</v>
      </c>
      <c r="E21" s="4" t="s">
        <v>12</v>
      </c>
      <c r="F21" s="4">
        <v>3</v>
      </c>
      <c r="G21" s="11">
        <f>420000*0.9712</f>
        <v>407904</v>
      </c>
      <c r="H21" s="9">
        <f>160000*3</f>
        <v>480000</v>
      </c>
      <c r="I21" s="18" t="s">
        <v>94</v>
      </c>
    </row>
    <row r="22" spans="2:10" x14ac:dyDescent="0.25">
      <c r="B22" s="3">
        <v>18</v>
      </c>
      <c r="C22" s="3" t="s">
        <v>63</v>
      </c>
      <c r="D22" s="5" t="s">
        <v>87</v>
      </c>
      <c r="E22" s="4" t="s">
        <v>17</v>
      </c>
      <c r="F22" s="4">
        <v>3</v>
      </c>
      <c r="G22" s="11">
        <f>125000*3*0.9712</f>
        <v>364200</v>
      </c>
      <c r="H22" s="9">
        <f>140000*3</f>
        <v>420000</v>
      </c>
      <c r="I22" s="17" t="s">
        <v>83</v>
      </c>
    </row>
    <row r="23" spans="2:10" x14ac:dyDescent="0.25">
      <c r="B23" s="3">
        <v>19</v>
      </c>
      <c r="C23" s="3" t="s">
        <v>59</v>
      </c>
      <c r="D23" s="5" t="s">
        <v>36</v>
      </c>
      <c r="E23" s="4" t="s">
        <v>37</v>
      </c>
      <c r="F23" s="4">
        <v>1</v>
      </c>
      <c r="G23" s="9">
        <f>420000*0.86</f>
        <v>361200</v>
      </c>
      <c r="H23" s="9">
        <v>300000</v>
      </c>
      <c r="I23" s="17" t="s">
        <v>82</v>
      </c>
    </row>
    <row r="24" spans="2:10" x14ac:dyDescent="0.25">
      <c r="B24" s="3">
        <v>20</v>
      </c>
      <c r="C24" s="3" t="s">
        <v>58</v>
      </c>
      <c r="D24" s="5" t="s">
        <v>76</v>
      </c>
      <c r="E24" s="4"/>
      <c r="F24" s="4">
        <v>13</v>
      </c>
      <c r="G24" s="9">
        <f>369200*0.95</f>
        <v>350740</v>
      </c>
      <c r="H24" s="9">
        <f>13*30000</f>
        <v>390000</v>
      </c>
      <c r="I24" s="17" t="s">
        <v>81</v>
      </c>
    </row>
    <row r="25" spans="2:10" x14ac:dyDescent="0.25">
      <c r="B25" s="3">
        <v>21</v>
      </c>
      <c r="C25" s="3" t="s">
        <v>63</v>
      </c>
      <c r="D25" s="6" t="s">
        <v>50</v>
      </c>
      <c r="E25" s="4" t="s">
        <v>52</v>
      </c>
      <c r="F25" s="4">
        <v>51</v>
      </c>
      <c r="G25" s="9">
        <f>357000*0.9712</f>
        <v>346718.39999999997</v>
      </c>
      <c r="H25" s="9">
        <f>6500*51</f>
        <v>331500</v>
      </c>
      <c r="I25" s="18" t="s">
        <v>84</v>
      </c>
    </row>
    <row r="26" spans="2:10" x14ac:dyDescent="0.25">
      <c r="B26" s="3">
        <v>22</v>
      </c>
      <c r="C26" s="3" t="s">
        <v>59</v>
      </c>
      <c r="D26" s="5" t="s">
        <v>35</v>
      </c>
      <c r="E26" s="4"/>
      <c r="F26" s="4">
        <v>1</v>
      </c>
      <c r="G26" s="9">
        <f>350000*0.86</f>
        <v>301000</v>
      </c>
      <c r="H26" s="9">
        <v>265000</v>
      </c>
      <c r="I26" s="17" t="s">
        <v>85</v>
      </c>
    </row>
    <row r="27" spans="2:10" x14ac:dyDescent="0.25">
      <c r="B27" s="3">
        <v>23</v>
      </c>
      <c r="C27" s="3" t="s">
        <v>59</v>
      </c>
      <c r="D27" s="5" t="s">
        <v>4</v>
      </c>
      <c r="E27" s="4"/>
      <c r="F27" s="4">
        <v>1</v>
      </c>
      <c r="G27" s="9">
        <f>295000*0.86</f>
        <v>253700</v>
      </c>
      <c r="H27" s="9">
        <v>200000</v>
      </c>
      <c r="I27" s="17" t="s">
        <v>86</v>
      </c>
    </row>
    <row r="28" spans="2:10" x14ac:dyDescent="0.25">
      <c r="B28" s="3">
        <v>24</v>
      </c>
      <c r="C28" s="3" t="s">
        <v>63</v>
      </c>
      <c r="D28" s="6" t="s">
        <v>43</v>
      </c>
      <c r="E28" s="4" t="s">
        <v>46</v>
      </c>
      <c r="F28" s="4">
        <v>58</v>
      </c>
      <c r="G28" s="9">
        <f>261000*0.9712</f>
        <v>253483.19999999998</v>
      </c>
      <c r="H28" s="9">
        <f>4500*58</f>
        <v>261000</v>
      </c>
      <c r="I28" s="18" t="s">
        <v>65</v>
      </c>
    </row>
    <row r="29" spans="2:10" x14ac:dyDescent="0.25">
      <c r="B29" s="3">
        <v>25</v>
      </c>
      <c r="C29" s="3" t="s">
        <v>63</v>
      </c>
      <c r="D29" s="5" t="s">
        <v>6</v>
      </c>
      <c r="E29" s="4" t="s">
        <v>13</v>
      </c>
      <c r="F29" s="4">
        <v>4</v>
      </c>
      <c r="G29" s="11">
        <f>4*65000*0.9712</f>
        <v>252512</v>
      </c>
      <c r="H29" s="9">
        <f>55000*4</f>
        <v>220000</v>
      </c>
      <c r="I29" s="17" t="s">
        <v>110</v>
      </c>
    </row>
    <row r="30" spans="2:10" x14ac:dyDescent="0.25">
      <c r="B30" s="3">
        <v>26</v>
      </c>
      <c r="C30" s="3" t="s">
        <v>63</v>
      </c>
      <c r="D30" s="6" t="s">
        <v>51</v>
      </c>
      <c r="E30" s="4" t="s">
        <v>52</v>
      </c>
      <c r="F30" s="4">
        <v>15</v>
      </c>
      <c r="G30" s="9">
        <f>240000*0.9712</f>
        <v>233088</v>
      </c>
      <c r="H30" s="9">
        <f>15000*15</f>
        <v>225000</v>
      </c>
      <c r="I30" s="18" t="s">
        <v>111</v>
      </c>
      <c r="J30" t="s">
        <v>112</v>
      </c>
    </row>
    <row r="31" spans="2:10" x14ac:dyDescent="0.25">
      <c r="B31" s="3">
        <v>27</v>
      </c>
      <c r="C31" s="3" t="s">
        <v>63</v>
      </c>
      <c r="D31" s="5" t="s">
        <v>19</v>
      </c>
      <c r="E31" s="4"/>
      <c r="F31" s="4">
        <v>60</v>
      </c>
      <c r="G31" s="9">
        <f>240000*0.9712</f>
        <v>233088</v>
      </c>
      <c r="H31" s="9">
        <f>4974*60</f>
        <v>298440</v>
      </c>
      <c r="I31" s="17" t="s">
        <v>127</v>
      </c>
    </row>
    <row r="32" spans="2:10" x14ac:dyDescent="0.25">
      <c r="B32" s="3">
        <v>28</v>
      </c>
      <c r="C32" s="3" t="s">
        <v>63</v>
      </c>
      <c r="D32" s="6" t="s">
        <v>47</v>
      </c>
      <c r="E32" s="4" t="s">
        <v>46</v>
      </c>
      <c r="F32" s="4">
        <v>58</v>
      </c>
      <c r="G32" s="9">
        <f>232000*0.9712</f>
        <v>225318.39999999999</v>
      </c>
      <c r="H32" s="9">
        <f>2500*58</f>
        <v>145000</v>
      </c>
    </row>
    <row r="33" spans="2:9" x14ac:dyDescent="0.25">
      <c r="B33" s="3">
        <v>29</v>
      </c>
      <c r="C33" s="3" t="s">
        <v>58</v>
      </c>
      <c r="D33" s="5" t="s">
        <v>73</v>
      </c>
      <c r="E33" s="4"/>
      <c r="F33" s="4">
        <v>15</v>
      </c>
      <c r="G33" s="9">
        <f>225750*0.95</f>
        <v>214462.5</v>
      </c>
      <c r="H33" s="9">
        <f>15000*15</f>
        <v>225000</v>
      </c>
      <c r="I33" s="17" t="s">
        <v>96</v>
      </c>
    </row>
    <row r="34" spans="2:9" x14ac:dyDescent="0.25">
      <c r="B34" s="3">
        <v>30</v>
      </c>
      <c r="C34" s="3" t="s">
        <v>59</v>
      </c>
      <c r="D34" s="5" t="s">
        <v>2</v>
      </c>
      <c r="E34" s="4"/>
      <c r="F34" s="4">
        <v>2</v>
      </c>
      <c r="G34" s="9">
        <f>237500*0.86</f>
        <v>204250</v>
      </c>
      <c r="H34" s="9">
        <f>105000*2</f>
        <v>210000</v>
      </c>
      <c r="I34" s="17" t="s">
        <v>91</v>
      </c>
    </row>
    <row r="35" spans="2:9" x14ac:dyDescent="0.25">
      <c r="B35" s="3">
        <v>31</v>
      </c>
      <c r="C35" s="3" t="s">
        <v>63</v>
      </c>
      <c r="D35" s="5" t="s">
        <v>6</v>
      </c>
      <c r="E35" s="4" t="s">
        <v>15</v>
      </c>
      <c r="F35" s="4">
        <v>1</v>
      </c>
      <c r="G35" s="11">
        <f>210000*0.9712</f>
        <v>203952</v>
      </c>
      <c r="H35" s="9">
        <v>200000</v>
      </c>
      <c r="I35" s="17" t="s">
        <v>135</v>
      </c>
    </row>
    <row r="36" spans="2:9" x14ac:dyDescent="0.25">
      <c r="B36" s="3">
        <v>32</v>
      </c>
      <c r="C36" s="3" t="s">
        <v>57</v>
      </c>
      <c r="D36" s="5" t="s">
        <v>26</v>
      </c>
      <c r="E36" s="4"/>
      <c r="F36" s="4">
        <v>2</v>
      </c>
      <c r="G36" s="9">
        <f>202700*0.95</f>
        <v>192565</v>
      </c>
      <c r="H36" s="9">
        <f>78000*2</f>
        <v>156000</v>
      </c>
      <c r="I36" s="17" t="s">
        <v>90</v>
      </c>
    </row>
    <row r="37" spans="2:9" x14ac:dyDescent="0.25">
      <c r="B37" s="3">
        <v>33</v>
      </c>
      <c r="C37" s="3" t="s">
        <v>63</v>
      </c>
      <c r="D37" s="6" t="s">
        <v>48</v>
      </c>
      <c r="E37" s="4" t="s">
        <v>46</v>
      </c>
      <c r="F37" s="4">
        <v>52</v>
      </c>
      <c r="G37" s="9">
        <f>187200*0.9712</f>
        <v>181808.63999999998</v>
      </c>
      <c r="H37" s="9">
        <f>3500*52</f>
        <v>182000</v>
      </c>
      <c r="I37" s="17" t="s">
        <v>122</v>
      </c>
    </row>
    <row r="38" spans="2:9" x14ac:dyDescent="0.25">
      <c r="B38" s="3">
        <v>34</v>
      </c>
      <c r="C38" s="3" t="s">
        <v>63</v>
      </c>
      <c r="D38" s="6" t="s">
        <v>44</v>
      </c>
      <c r="E38" s="4" t="s">
        <v>46</v>
      </c>
      <c r="F38" s="4">
        <v>52</v>
      </c>
      <c r="G38" s="9">
        <f>182000*0.9712</f>
        <v>176758.39999999999</v>
      </c>
      <c r="H38" s="9">
        <f>3500*52</f>
        <v>182000</v>
      </c>
      <c r="I38" s="17" t="s">
        <v>122</v>
      </c>
    </row>
    <row r="39" spans="2:9" x14ac:dyDescent="0.25">
      <c r="B39" s="3">
        <v>35</v>
      </c>
      <c r="C39" s="3" t="s">
        <v>57</v>
      </c>
      <c r="D39" s="5" t="s">
        <v>89</v>
      </c>
      <c r="E39" s="4" t="s">
        <v>9</v>
      </c>
      <c r="F39" s="4">
        <v>3</v>
      </c>
      <c r="G39" s="9">
        <f>145500*0.95+9603</f>
        <v>147828</v>
      </c>
      <c r="H39" s="9">
        <f>45000*3</f>
        <v>135000</v>
      </c>
      <c r="I39" s="17" t="s">
        <v>93</v>
      </c>
    </row>
    <row r="40" spans="2:9" x14ac:dyDescent="0.25">
      <c r="B40" s="3">
        <v>36</v>
      </c>
      <c r="C40" s="3" t="s">
        <v>59</v>
      </c>
      <c r="D40" s="5" t="s">
        <v>30</v>
      </c>
      <c r="E40" s="4"/>
      <c r="F40" s="4">
        <v>1</v>
      </c>
      <c r="G40" s="9">
        <f>157500*0.86</f>
        <v>135450</v>
      </c>
      <c r="H40" s="9">
        <v>95000</v>
      </c>
      <c r="I40" s="17" t="s">
        <v>104</v>
      </c>
    </row>
    <row r="41" spans="2:9" x14ac:dyDescent="0.25">
      <c r="B41" s="3">
        <v>37</v>
      </c>
      <c r="C41" s="3" t="s">
        <v>59</v>
      </c>
      <c r="D41" s="5" t="s">
        <v>34</v>
      </c>
      <c r="E41" s="4" t="s">
        <v>105</v>
      </c>
      <c r="F41" s="4">
        <v>1</v>
      </c>
      <c r="G41" s="9">
        <f>155000*0.86</f>
        <v>133300</v>
      </c>
      <c r="H41" s="9">
        <v>135000</v>
      </c>
      <c r="I41" s="17" t="s">
        <v>106</v>
      </c>
    </row>
    <row r="42" spans="2:9" x14ac:dyDescent="0.25">
      <c r="B42" s="3">
        <v>38</v>
      </c>
      <c r="C42" s="3" t="s">
        <v>63</v>
      </c>
      <c r="D42" s="5" t="s">
        <v>16</v>
      </c>
      <c r="E42" s="4" t="s">
        <v>18</v>
      </c>
      <c r="F42" s="4">
        <v>2</v>
      </c>
      <c r="G42" s="11">
        <f>68000*2*0.9712</f>
        <v>132083.19999999998</v>
      </c>
      <c r="H42" s="9">
        <v>95000</v>
      </c>
      <c r="I42" s="17" t="s">
        <v>107</v>
      </c>
    </row>
    <row r="43" spans="2:9" x14ac:dyDescent="0.25">
      <c r="B43" s="3">
        <v>39</v>
      </c>
      <c r="C43" s="3" t="s">
        <v>63</v>
      </c>
      <c r="D43" s="5" t="s">
        <v>6</v>
      </c>
      <c r="E43" s="4" t="s">
        <v>11</v>
      </c>
      <c r="F43" s="4">
        <v>1</v>
      </c>
      <c r="G43" s="11">
        <f>130000*0.9712</f>
        <v>126256</v>
      </c>
      <c r="H43" s="9">
        <v>140000</v>
      </c>
      <c r="I43" s="17" t="s">
        <v>108</v>
      </c>
    </row>
    <row r="44" spans="2:9" x14ac:dyDescent="0.25">
      <c r="B44" s="3">
        <v>40</v>
      </c>
      <c r="C44" s="3" t="s">
        <v>63</v>
      </c>
      <c r="D44" s="6" t="s">
        <v>45</v>
      </c>
      <c r="E44" s="4" t="s">
        <v>46</v>
      </c>
      <c r="F44" s="4">
        <v>46</v>
      </c>
      <c r="G44" s="9">
        <f>128800*0.9712</f>
        <v>125090.56</v>
      </c>
      <c r="H44" s="9">
        <f>3000*46</f>
        <v>138000</v>
      </c>
      <c r="I44" s="17" t="s">
        <v>109</v>
      </c>
    </row>
    <row r="45" spans="2:9" x14ac:dyDescent="0.25">
      <c r="B45" s="3">
        <v>41</v>
      </c>
      <c r="C45" s="3" t="s">
        <v>63</v>
      </c>
      <c r="D45" s="6" t="s">
        <v>49</v>
      </c>
      <c r="E45" s="4" t="s">
        <v>46</v>
      </c>
      <c r="F45" s="4">
        <v>46</v>
      </c>
      <c r="G45" s="9">
        <f>115000*0.9712</f>
        <v>111688</v>
      </c>
      <c r="H45" s="9">
        <f>2200*46</f>
        <v>101200</v>
      </c>
    </row>
    <row r="46" spans="2:9" x14ac:dyDescent="0.25">
      <c r="B46" s="3">
        <v>42</v>
      </c>
      <c r="C46" s="3" t="s">
        <v>57</v>
      </c>
      <c r="D46" s="5" t="s">
        <v>27</v>
      </c>
      <c r="E46" s="4" t="s">
        <v>10</v>
      </c>
      <c r="F46" s="4">
        <v>1</v>
      </c>
      <c r="G46" s="9">
        <f>104980*0.95</f>
        <v>99731</v>
      </c>
      <c r="H46" s="9">
        <v>88150</v>
      </c>
      <c r="I46" s="18" t="s">
        <v>113</v>
      </c>
    </row>
    <row r="47" spans="2:9" x14ac:dyDescent="0.25">
      <c r="B47" s="3">
        <v>43</v>
      </c>
      <c r="C47" s="3" t="s">
        <v>58</v>
      </c>
      <c r="D47" s="5" t="s">
        <v>75</v>
      </c>
      <c r="E47" s="4" t="s">
        <v>114</v>
      </c>
      <c r="F47" s="4">
        <v>4</v>
      </c>
      <c r="G47" s="9">
        <f>103572*0.95</f>
        <v>98393.4</v>
      </c>
      <c r="H47" s="9">
        <f>20000*4</f>
        <v>80000</v>
      </c>
      <c r="I47" s="17" t="s">
        <v>124</v>
      </c>
    </row>
    <row r="48" spans="2:9" x14ac:dyDescent="0.25">
      <c r="B48" s="3">
        <v>44</v>
      </c>
      <c r="C48" s="3" t="s">
        <v>57</v>
      </c>
      <c r="D48" s="5" t="s">
        <v>22</v>
      </c>
      <c r="E48" s="4" t="s">
        <v>24</v>
      </c>
      <c r="F48" s="4">
        <v>4</v>
      </c>
      <c r="G48" s="9">
        <f>95600*0.95</f>
        <v>90820</v>
      </c>
      <c r="H48" s="9">
        <f>31000*4</f>
        <v>124000</v>
      </c>
      <c r="I48" s="17" t="s">
        <v>120</v>
      </c>
    </row>
    <row r="49" spans="2:9" x14ac:dyDescent="0.25">
      <c r="B49" s="3">
        <v>45</v>
      </c>
      <c r="C49" s="3" t="s">
        <v>57</v>
      </c>
      <c r="D49" s="5" t="s">
        <v>21</v>
      </c>
      <c r="E49" s="4" t="s">
        <v>25</v>
      </c>
      <c r="F49" s="4">
        <v>2</v>
      </c>
      <c r="G49" s="9">
        <f>89000*0.95</f>
        <v>84550</v>
      </c>
      <c r="H49" s="9">
        <f>43500*2</f>
        <v>87000</v>
      </c>
      <c r="I49" s="17" t="s">
        <v>115</v>
      </c>
    </row>
    <row r="50" spans="2:9" x14ac:dyDescent="0.25">
      <c r="B50" s="3">
        <v>46</v>
      </c>
      <c r="C50" s="3" t="s">
        <v>58</v>
      </c>
      <c r="D50" s="5" t="s">
        <v>39</v>
      </c>
      <c r="E50" s="4" t="s">
        <v>117</v>
      </c>
      <c r="F50" s="4">
        <v>12</v>
      </c>
      <c r="G50" s="9">
        <f>75600*0.95</f>
        <v>71820</v>
      </c>
      <c r="H50" s="9">
        <f>4010*12</f>
        <v>48120</v>
      </c>
      <c r="I50" s="17" t="s">
        <v>116</v>
      </c>
    </row>
    <row r="51" spans="2:9" x14ac:dyDescent="0.25">
      <c r="B51" s="3">
        <v>47</v>
      </c>
      <c r="C51" s="3" t="s">
        <v>57</v>
      </c>
      <c r="D51" s="5" t="s">
        <v>22</v>
      </c>
      <c r="E51" s="4" t="s">
        <v>23</v>
      </c>
      <c r="F51" s="4">
        <v>3</v>
      </c>
      <c r="G51" s="9">
        <f>67500*0.95</f>
        <v>64125</v>
      </c>
      <c r="H51" s="9">
        <f>28500*3</f>
        <v>85500</v>
      </c>
      <c r="I51" s="17" t="s">
        <v>118</v>
      </c>
    </row>
    <row r="52" spans="2:9" x14ac:dyDescent="0.25">
      <c r="B52" s="3">
        <v>48</v>
      </c>
      <c r="C52" s="3" t="s">
        <v>57</v>
      </c>
      <c r="D52" s="5" t="s">
        <v>21</v>
      </c>
      <c r="E52" s="4" t="s">
        <v>24</v>
      </c>
      <c r="F52" s="4">
        <v>2</v>
      </c>
      <c r="G52" s="9">
        <f>59000*0.95</f>
        <v>56050</v>
      </c>
      <c r="H52" s="9">
        <f>27500*2</f>
        <v>55000</v>
      </c>
      <c r="I52" s="17" t="s">
        <v>119</v>
      </c>
    </row>
    <row r="53" spans="2:9" x14ac:dyDescent="0.25">
      <c r="B53" s="3">
        <v>49</v>
      </c>
      <c r="C53" s="3" t="s">
        <v>57</v>
      </c>
      <c r="D53" s="5" t="s">
        <v>22</v>
      </c>
      <c r="E53" s="4" t="s">
        <v>25</v>
      </c>
      <c r="F53" s="4">
        <v>2</v>
      </c>
      <c r="G53" s="9">
        <f>57400*0.95</f>
        <v>54530</v>
      </c>
      <c r="H53" s="9">
        <f>42500*2</f>
        <v>85000</v>
      </c>
      <c r="I53" s="17" t="s">
        <v>125</v>
      </c>
    </row>
    <row r="54" spans="2:9" ht="18" customHeight="1" x14ac:dyDescent="0.25">
      <c r="B54" s="3">
        <v>50</v>
      </c>
      <c r="C54" s="3" t="s">
        <v>57</v>
      </c>
      <c r="D54" s="8" t="s">
        <v>55</v>
      </c>
      <c r="E54" s="3"/>
      <c r="F54" s="4">
        <v>9</v>
      </c>
      <c r="G54" s="10">
        <f>54450*0.97</f>
        <v>52816.5</v>
      </c>
      <c r="H54" s="9">
        <f>3500*9</f>
        <v>31500</v>
      </c>
      <c r="I54" s="17" t="s">
        <v>128</v>
      </c>
    </row>
    <row r="55" spans="2:9" x14ac:dyDescent="0.25">
      <c r="B55" s="3">
        <v>51</v>
      </c>
      <c r="C55" s="3" t="s">
        <v>57</v>
      </c>
      <c r="D55" s="8" t="s">
        <v>56</v>
      </c>
      <c r="E55" s="3"/>
      <c r="F55" s="4">
        <v>5</v>
      </c>
      <c r="G55" s="10">
        <f>41000*0.97</f>
        <v>39770</v>
      </c>
      <c r="H55" s="9">
        <f>5000*5</f>
        <v>25000</v>
      </c>
      <c r="I55" s="17" t="s">
        <v>129</v>
      </c>
    </row>
    <row r="56" spans="2:9" x14ac:dyDescent="0.25">
      <c r="B56" s="3">
        <v>52</v>
      </c>
      <c r="C56" s="3" t="s">
        <v>58</v>
      </c>
      <c r="D56" s="5" t="s">
        <v>38</v>
      </c>
      <c r="E56" s="4"/>
      <c r="F56" s="4">
        <v>2</v>
      </c>
      <c r="G56" s="9">
        <f>32800*0.95</f>
        <v>31160</v>
      </c>
      <c r="H56" s="9">
        <f>15680*2</f>
        <v>31360</v>
      </c>
      <c r="I56" s="17" t="s">
        <v>130</v>
      </c>
    </row>
    <row r="57" spans="2:9" x14ac:dyDescent="0.25">
      <c r="B57" s="3">
        <v>53</v>
      </c>
      <c r="C57" s="3" t="s">
        <v>57</v>
      </c>
      <c r="D57" s="8" t="s">
        <v>133</v>
      </c>
      <c r="E57" s="3"/>
      <c r="F57" s="4"/>
      <c r="G57" s="10">
        <f>31160+25608+9942+9845+8730+8245+7517</f>
        <v>101047</v>
      </c>
      <c r="H57" s="9"/>
    </row>
    <row r="58" spans="2:9" x14ac:dyDescent="0.25">
      <c r="B58" s="14" t="s">
        <v>132</v>
      </c>
      <c r="C58" s="14"/>
      <c r="D58" s="14"/>
      <c r="E58" s="15"/>
      <c r="F58" s="15"/>
      <c r="G58" s="10">
        <f>SUM(G5:G57)</f>
        <v>34109856.939999998</v>
      </c>
      <c r="H58" s="10">
        <f>SUM(H5:H57)</f>
        <v>31195770</v>
      </c>
    </row>
  </sheetData>
  <autoFilter ref="B4:H4" xr:uid="{00000000-0001-0000-0000-000000000000}">
    <sortState xmlns:xlrd2="http://schemas.microsoft.com/office/spreadsheetml/2017/richdata2" ref="B5:H67">
      <sortCondition descending="1" ref="G4"/>
    </sortState>
  </autoFilter>
  <mergeCells count="1">
    <mergeCell ref="B58:D58"/>
  </mergeCells>
  <hyperlinks>
    <hyperlink ref="I6" r:id="rId1" xr:uid="{2675BB4D-A546-4FCB-8AD9-25D889A0747A}"/>
    <hyperlink ref="I8" r:id="rId2" xr:uid="{03C010FC-4491-4B7F-85CF-C7517BAF582A}"/>
    <hyperlink ref="I9" r:id="rId3" xr:uid="{B03C2FC9-5C19-437D-8549-1A770BA8A6B3}"/>
    <hyperlink ref="I25" r:id="rId4" xr:uid="{9CE35A3A-6682-4F9A-99AC-51F1A849A0F3}"/>
    <hyperlink ref="I28" r:id="rId5" xr:uid="{712D6468-F867-4AA7-B221-8272B7B09432}"/>
    <hyperlink ref="I19" r:id="rId6" xr:uid="{39DEC962-1C57-422F-B6AA-2F75EDE0EE57}"/>
    <hyperlink ref="I20" r:id="rId7" xr:uid="{E0A19C73-4EFE-49C1-87DA-2D067EF2628F}"/>
    <hyperlink ref="I30" r:id="rId8" xr:uid="{46BE5300-1176-4931-9FE6-F3E7DA93E059}"/>
    <hyperlink ref="I46" r:id="rId9" xr:uid="{33532FFC-713A-4942-A39D-222A66A84B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Joshi</dc:creator>
  <cp:lastModifiedBy>Mahesh Joshi</cp:lastModifiedBy>
  <dcterms:created xsi:type="dcterms:W3CDTF">2015-06-05T18:17:20Z</dcterms:created>
  <dcterms:modified xsi:type="dcterms:W3CDTF">2023-10-16T08:00:05Z</dcterms:modified>
</cp:coreProperties>
</file>