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414-339-541_Ms Nephron Pharma\Report\"/>
    </mc:Choice>
  </mc:AlternateContent>
  <xr:revisionPtr revIDLastSave="0" documentId="13_ncr:1_{21643A9C-240A-450B-8CC7-D5F2CEE68C5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quotations" sheetId="3" r:id="rId2"/>
  </sheets>
  <definedNames>
    <definedName name="_xlnm._FilterDatabase" localSheetId="1" hidden="1">quotations!$C$5:$L$59</definedName>
    <definedName name="_xlnm._FilterDatabase" localSheetId="0" hidden="1">Sheet1!$B$3:$N$3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H83" i="1"/>
  <c r="H81" i="1"/>
  <c r="H55" i="1"/>
  <c r="H53" i="1"/>
  <c r="H45" i="1"/>
  <c r="H41" i="1"/>
  <c r="H40" i="1"/>
  <c r="H38" i="1"/>
  <c r="H32" i="1"/>
  <c r="H29" i="1"/>
  <c r="H26" i="1"/>
  <c r="H24" i="1"/>
  <c r="H21" i="1"/>
  <c r="H20" i="1"/>
  <c r="H17" i="1"/>
  <c r="H16" i="1"/>
  <c r="H15" i="1"/>
  <c r="H13" i="1"/>
  <c r="H11" i="1"/>
  <c r="H10" i="1"/>
  <c r="H7" i="1"/>
  <c r="H6" i="1"/>
  <c r="H4" i="1"/>
  <c r="M81" i="1" l="1"/>
  <c r="M29" i="1"/>
  <c r="M21" i="1"/>
  <c r="M16" i="1"/>
  <c r="M13" i="1"/>
  <c r="M7" i="1"/>
  <c r="G95" i="1"/>
  <c r="G94" i="1"/>
  <c r="G106" i="1"/>
  <c r="G105" i="1"/>
  <c r="G104" i="1"/>
  <c r="G103" i="1"/>
  <c r="G101" i="1"/>
  <c r="G100" i="1"/>
  <c r="G99" i="1"/>
  <c r="G98" i="1"/>
  <c r="G97" i="1"/>
  <c r="G96" i="1"/>
  <c r="I45" i="1"/>
  <c r="M45" i="1" s="1"/>
  <c r="L45" i="1"/>
  <c r="F45" i="1"/>
  <c r="I38" i="1"/>
  <c r="M38" i="1" s="1"/>
  <c r="I40" i="1"/>
  <c r="M40" i="1" s="1"/>
  <c r="I55" i="1"/>
  <c r="M55" i="1" s="1"/>
  <c r="I10" i="1"/>
  <c r="M10" i="1" s="1"/>
  <c r="I26" i="1"/>
  <c r="M26" i="1" s="1"/>
  <c r="I53" i="1"/>
  <c r="M53" i="1" s="1"/>
  <c r="I24" i="1"/>
  <c r="M24" i="1" s="1"/>
  <c r="I15" i="1"/>
  <c r="M15" i="1" s="1"/>
  <c r="I41" i="1"/>
  <c r="M41" i="1" s="1"/>
  <c r="F38" i="1"/>
  <c r="F40" i="1"/>
  <c r="F55" i="1"/>
  <c r="F10" i="1"/>
  <c r="F26" i="1"/>
  <c r="F53" i="1"/>
  <c r="F24" i="1"/>
  <c r="F15" i="1"/>
  <c r="F41" i="1"/>
  <c r="L31" i="1"/>
  <c r="L48" i="1"/>
  <c r="L11" i="1"/>
  <c r="M11" i="1" s="1"/>
  <c r="L59" i="1"/>
  <c r="L33" i="1"/>
  <c r="L64" i="1"/>
  <c r="L80" i="1"/>
  <c r="L69" i="1"/>
  <c r="L71" i="1"/>
  <c r="L49" i="1"/>
  <c r="L79" i="1"/>
  <c r="L58" i="1"/>
  <c r="L56" i="1"/>
  <c r="L51" i="1"/>
  <c r="L76" i="1"/>
  <c r="L60" i="1"/>
  <c r="L75" i="1"/>
  <c r="L50" i="1"/>
  <c r="L52" i="1"/>
  <c r="L73" i="1"/>
  <c r="L82" i="1"/>
  <c r="L54" i="1"/>
  <c r="L65" i="1"/>
  <c r="L46" i="1"/>
  <c r="L67" i="1"/>
  <c r="L27" i="1"/>
  <c r="L78" i="1"/>
  <c r="L61" i="1"/>
  <c r="L68" i="1"/>
  <c r="L74" i="1"/>
  <c r="H58" i="3"/>
  <c r="I57" i="3"/>
  <c r="H57" i="3"/>
  <c r="J57" i="3" s="1"/>
  <c r="I56" i="3"/>
  <c r="H56" i="3"/>
  <c r="J56" i="3" s="1"/>
  <c r="J55" i="3"/>
  <c r="I55" i="3"/>
  <c r="H55" i="3"/>
  <c r="I54" i="3"/>
  <c r="J54" i="3" s="1"/>
  <c r="H54" i="3"/>
  <c r="I53" i="3"/>
  <c r="H53" i="3"/>
  <c r="J53" i="3" s="1"/>
  <c r="I52" i="3"/>
  <c r="H52" i="3"/>
  <c r="J52" i="3" s="1"/>
  <c r="J51" i="3"/>
  <c r="I51" i="3"/>
  <c r="H51" i="3"/>
  <c r="I50" i="3"/>
  <c r="J50" i="3" s="1"/>
  <c r="H50" i="3"/>
  <c r="I49" i="3"/>
  <c r="H49" i="3"/>
  <c r="J49" i="3" s="1"/>
  <c r="I48" i="3"/>
  <c r="H48" i="3"/>
  <c r="J48" i="3" s="1"/>
  <c r="J47" i="3"/>
  <c r="H47" i="3"/>
  <c r="I46" i="3"/>
  <c r="H46" i="3"/>
  <c r="J46" i="3" s="1"/>
  <c r="I45" i="3"/>
  <c r="H45" i="3"/>
  <c r="J45" i="3" s="1"/>
  <c r="J44" i="3"/>
  <c r="H44" i="3"/>
  <c r="H43" i="3"/>
  <c r="J43" i="3" s="1"/>
  <c r="J42" i="3"/>
  <c r="H42" i="3"/>
  <c r="H41" i="3"/>
  <c r="J41" i="3" s="1"/>
  <c r="J40" i="3"/>
  <c r="I40" i="3"/>
  <c r="H40" i="3"/>
  <c r="I39" i="3"/>
  <c r="J39" i="3" s="1"/>
  <c r="H39" i="3"/>
  <c r="I38" i="3"/>
  <c r="H38" i="3"/>
  <c r="J38" i="3" s="1"/>
  <c r="I37" i="3"/>
  <c r="H37" i="3"/>
  <c r="J37" i="3" s="1"/>
  <c r="J36" i="3"/>
  <c r="H36" i="3"/>
  <c r="I35" i="3"/>
  <c r="H35" i="3"/>
  <c r="J35" i="3" s="1"/>
  <c r="I34" i="3"/>
  <c r="H34" i="3"/>
  <c r="J34" i="3" s="1"/>
  <c r="J33" i="3"/>
  <c r="I33" i="3"/>
  <c r="H33" i="3"/>
  <c r="I32" i="3"/>
  <c r="J32" i="3" s="1"/>
  <c r="H32" i="3"/>
  <c r="I31" i="3"/>
  <c r="H31" i="3"/>
  <c r="J31" i="3" s="1"/>
  <c r="I30" i="3"/>
  <c r="H30" i="3"/>
  <c r="J30" i="3" s="1"/>
  <c r="J29" i="3"/>
  <c r="I29" i="3"/>
  <c r="H29" i="3"/>
  <c r="H28" i="3"/>
  <c r="J28" i="3" s="1"/>
  <c r="J27" i="3"/>
  <c r="H27" i="3"/>
  <c r="I26" i="3"/>
  <c r="J26" i="3" s="1"/>
  <c r="H26" i="3"/>
  <c r="I25" i="3"/>
  <c r="H25" i="3"/>
  <c r="J25" i="3" s="1"/>
  <c r="J24" i="3"/>
  <c r="H24" i="3"/>
  <c r="I23" i="3"/>
  <c r="J23" i="3" s="1"/>
  <c r="H23" i="3"/>
  <c r="I22" i="3"/>
  <c r="H22" i="3"/>
  <c r="J22" i="3" s="1"/>
  <c r="I21" i="3"/>
  <c r="H21" i="3"/>
  <c r="J21" i="3" s="1"/>
  <c r="J20" i="3"/>
  <c r="I20" i="3"/>
  <c r="H20" i="3"/>
  <c r="I19" i="3"/>
  <c r="J19" i="3" s="1"/>
  <c r="H19" i="3"/>
  <c r="I18" i="3"/>
  <c r="H18" i="3"/>
  <c r="J18" i="3" s="1"/>
  <c r="I17" i="3"/>
  <c r="H17" i="3"/>
  <c r="J17" i="3" s="1"/>
  <c r="J16" i="3"/>
  <c r="I15" i="3"/>
  <c r="I59" i="3" s="1"/>
  <c r="H15" i="3"/>
  <c r="J15" i="3" s="1"/>
  <c r="J14" i="3"/>
  <c r="H14" i="3"/>
  <c r="H13" i="3"/>
  <c r="J13" i="3" s="1"/>
  <c r="J12" i="3"/>
  <c r="J11" i="3"/>
  <c r="H11" i="3"/>
  <c r="J10" i="3"/>
  <c r="H9" i="3"/>
  <c r="H59" i="3" s="1"/>
  <c r="J8" i="3"/>
  <c r="J7" i="3"/>
  <c r="J6" i="3"/>
  <c r="G107" i="1" l="1"/>
  <c r="J9" i="3"/>
  <c r="L22" i="1"/>
  <c r="L36" i="1" l="1"/>
  <c r="L47" i="1"/>
  <c r="L37" i="1"/>
  <c r="L44" i="1"/>
  <c r="L32" i="1"/>
  <c r="L83" i="1"/>
  <c r="M83" i="1" s="1"/>
  <c r="L57" i="1"/>
  <c r="L72" i="1"/>
  <c r="L77" i="1"/>
  <c r="L63" i="1"/>
  <c r="L2" i="1" l="1"/>
  <c r="L84" i="1"/>
  <c r="M32" i="1"/>
  <c r="G9" i="1"/>
  <c r="I9" i="1" s="1"/>
  <c r="I14" i="1"/>
  <c r="X21" i="1"/>
  <c r="Y21" i="1" s="1"/>
  <c r="J4" i="1"/>
  <c r="K4" i="1" s="1"/>
  <c r="J16" i="1"/>
  <c r="K16" i="1" s="1"/>
  <c r="J11" i="1"/>
  <c r="K11" i="1" s="1"/>
  <c r="I8" i="1"/>
  <c r="G19" i="1"/>
  <c r="I19" i="1" s="1"/>
  <c r="F23" i="1"/>
  <c r="I23" i="1" s="1"/>
  <c r="I30" i="1"/>
  <c r="G62" i="1"/>
  <c r="I62" i="1" s="1"/>
  <c r="I70" i="1"/>
  <c r="I66" i="1"/>
  <c r="F36" i="1"/>
  <c r="I36" i="1" s="1"/>
  <c r="F47" i="1"/>
  <c r="G47" i="1" s="1"/>
  <c r="I47" i="1" s="1"/>
  <c r="F44" i="1"/>
  <c r="G44" i="1" s="1"/>
  <c r="I44" i="1" s="1"/>
  <c r="F37" i="1"/>
  <c r="G37" i="1" s="1"/>
  <c r="G31" i="1"/>
  <c r="I31" i="1" s="1"/>
  <c r="G22" i="1"/>
  <c r="I22" i="1" s="1"/>
  <c r="G34" i="1"/>
  <c r="I34" i="1" s="1"/>
  <c r="J6" i="1"/>
  <c r="K6" i="1" s="1"/>
  <c r="J21" i="1"/>
  <c r="K21" i="1" s="1"/>
  <c r="J13" i="1"/>
  <c r="K13" i="1" s="1"/>
  <c r="J20" i="1"/>
  <c r="K20" i="1" s="1"/>
  <c r="J7" i="1"/>
  <c r="K7" i="1" s="1"/>
  <c r="J29" i="1"/>
  <c r="K29" i="1" s="1"/>
  <c r="J45" i="1"/>
  <c r="K45" i="1" s="1"/>
  <c r="J32" i="1"/>
  <c r="K32" i="1" s="1"/>
  <c r="I5" i="1"/>
  <c r="I42" i="1"/>
  <c r="J28" i="1"/>
  <c r="G28" i="1"/>
  <c r="I28" i="1" s="1"/>
  <c r="G39" i="1"/>
  <c r="I39" i="1" s="1"/>
  <c r="G43" i="1"/>
  <c r="I43" i="1" s="1"/>
  <c r="G35" i="1"/>
  <c r="I35" i="1" s="1"/>
  <c r="J81" i="1"/>
  <c r="K81" i="1" s="1"/>
  <c r="J83" i="1"/>
  <c r="K83" i="1" s="1"/>
  <c r="G25" i="1"/>
  <c r="I25" i="1" s="1"/>
  <c r="F57" i="1"/>
  <c r="G57" i="1" s="1"/>
  <c r="F72" i="1"/>
  <c r="G72" i="1" s="1"/>
  <c r="I72" i="1" s="1"/>
  <c r="F77" i="1"/>
  <c r="G77" i="1" s="1"/>
  <c r="F63" i="1"/>
  <c r="G63" i="1" s="1"/>
  <c r="G18" i="1"/>
  <c r="I18" i="1" s="1"/>
  <c r="F59" i="1"/>
  <c r="G59" i="1" s="1"/>
  <c r="F65" i="1"/>
  <c r="G65" i="1" s="1"/>
  <c r="I65" i="1" s="1"/>
  <c r="H65" i="1" s="1"/>
  <c r="G46" i="1"/>
  <c r="I46" i="1" s="1"/>
  <c r="G67" i="1"/>
  <c r="I67" i="1" s="1"/>
  <c r="F33" i="1"/>
  <c r="G33" i="1" s="1"/>
  <c r="F27" i="1"/>
  <c r="G27" i="1" s="1"/>
  <c r="G64" i="1"/>
  <c r="I64" i="1" s="1"/>
  <c r="G80" i="1"/>
  <c r="I80" i="1" s="1"/>
  <c r="G69" i="1"/>
  <c r="I69" i="1" s="1"/>
  <c r="G71" i="1"/>
  <c r="I71" i="1" s="1"/>
  <c r="H71" i="1" s="1"/>
  <c r="G49" i="1"/>
  <c r="I49" i="1" s="1"/>
  <c r="F79" i="1"/>
  <c r="G79" i="1" s="1"/>
  <c r="G58" i="1"/>
  <c r="I58" i="1" s="1"/>
  <c r="G56" i="1"/>
  <c r="I56" i="1" s="1"/>
  <c r="H56" i="1" s="1"/>
  <c r="F51" i="1"/>
  <c r="G51" i="1" s="1"/>
  <c r="I51" i="1" s="1"/>
  <c r="F76" i="1"/>
  <c r="G76" i="1" s="1"/>
  <c r="F60" i="1"/>
  <c r="G60" i="1" s="1"/>
  <c r="G75" i="1"/>
  <c r="I75" i="1" s="1"/>
  <c r="G50" i="1"/>
  <c r="I50" i="1" s="1"/>
  <c r="G52" i="1"/>
  <c r="I52" i="1" s="1"/>
  <c r="G73" i="1"/>
  <c r="I73" i="1" s="1"/>
  <c r="G82" i="1"/>
  <c r="I82" i="1" s="1"/>
  <c r="G78" i="1"/>
  <c r="I78" i="1" s="1"/>
  <c r="H78" i="1" s="1"/>
  <c r="F54" i="1"/>
  <c r="G54" i="1" s="1"/>
  <c r="G61" i="1"/>
  <c r="I61" i="1" s="1"/>
  <c r="F48" i="1"/>
  <c r="G48" i="1" s="1"/>
  <c r="G68" i="1"/>
  <c r="I68" i="1" s="1"/>
  <c r="H68" i="1" s="1"/>
  <c r="G74" i="1"/>
  <c r="I74" i="1" s="1"/>
  <c r="H74" i="1" s="1"/>
  <c r="J12" i="1"/>
  <c r="G12" i="1"/>
  <c r="I12" i="1" s="1"/>
  <c r="M50" i="1" l="1"/>
  <c r="H50" i="1"/>
  <c r="M49" i="1"/>
  <c r="H49" i="1"/>
  <c r="M46" i="1"/>
  <c r="H46" i="1"/>
  <c r="M43" i="1"/>
  <c r="H43" i="1"/>
  <c r="M12" i="1"/>
  <c r="H12" i="1"/>
  <c r="M82" i="1"/>
  <c r="H82" i="1"/>
  <c r="M75" i="1"/>
  <c r="H75" i="1"/>
  <c r="M39" i="1"/>
  <c r="H39" i="1"/>
  <c r="M5" i="1"/>
  <c r="H5" i="1"/>
  <c r="M66" i="1"/>
  <c r="H66" i="1"/>
  <c r="M23" i="1"/>
  <c r="H23" i="1"/>
  <c r="M9" i="1"/>
  <c r="H9" i="1"/>
  <c r="M61" i="1"/>
  <c r="H61" i="1"/>
  <c r="M58" i="1"/>
  <c r="H58" i="1"/>
  <c r="M34" i="1"/>
  <c r="H34" i="1"/>
  <c r="M44" i="1"/>
  <c r="H44" i="1"/>
  <c r="M70" i="1"/>
  <c r="H70" i="1"/>
  <c r="M19" i="1"/>
  <c r="H19" i="1"/>
  <c r="M73" i="1"/>
  <c r="H73" i="1"/>
  <c r="M69" i="1"/>
  <c r="H69" i="1"/>
  <c r="M72" i="1"/>
  <c r="H72" i="1"/>
  <c r="M28" i="1"/>
  <c r="H28" i="1"/>
  <c r="M52" i="1"/>
  <c r="H52" i="1"/>
  <c r="M80" i="1"/>
  <c r="H80" i="1"/>
  <c r="M67" i="1"/>
  <c r="H67" i="1"/>
  <c r="M18" i="1"/>
  <c r="H18" i="1"/>
  <c r="M35" i="1"/>
  <c r="H35" i="1"/>
  <c r="M22" i="1"/>
  <c r="H22" i="1"/>
  <c r="M47" i="1"/>
  <c r="H47" i="1"/>
  <c r="M62" i="1"/>
  <c r="H62" i="1"/>
  <c r="M8" i="1"/>
  <c r="H8" i="1"/>
  <c r="M51" i="1"/>
  <c r="H51" i="1"/>
  <c r="M64" i="1"/>
  <c r="H64" i="1"/>
  <c r="M25" i="1"/>
  <c r="H25" i="1"/>
  <c r="M42" i="1"/>
  <c r="H42" i="1"/>
  <c r="M31" i="1"/>
  <c r="H31" i="1"/>
  <c r="M36" i="1"/>
  <c r="H36" i="1"/>
  <c r="M30" i="1"/>
  <c r="H30" i="1"/>
  <c r="M14" i="1"/>
  <c r="H14" i="1"/>
  <c r="J75" i="1"/>
  <c r="K75" i="1" s="1"/>
  <c r="J71" i="1"/>
  <c r="K71" i="1" s="1"/>
  <c r="J65" i="1"/>
  <c r="K65" i="1" s="1"/>
  <c r="J73" i="1"/>
  <c r="K73" i="1" s="1"/>
  <c r="J58" i="1"/>
  <c r="K58" i="1" s="1"/>
  <c r="J44" i="1"/>
  <c r="K44" i="1" s="1"/>
  <c r="J70" i="1"/>
  <c r="K70" i="1" s="1"/>
  <c r="J19" i="1"/>
  <c r="K19" i="1" s="1"/>
  <c r="J74" i="1"/>
  <c r="K74" i="1" s="1"/>
  <c r="J52" i="1"/>
  <c r="K52" i="1" s="1"/>
  <c r="J80" i="1"/>
  <c r="K80" i="1" s="1"/>
  <c r="J67" i="1"/>
  <c r="K67" i="1" s="1"/>
  <c r="J18" i="1"/>
  <c r="K18" i="1" s="1"/>
  <c r="J35" i="1"/>
  <c r="K35" i="1" s="1"/>
  <c r="J22" i="1"/>
  <c r="K22" i="1" s="1"/>
  <c r="J47" i="1"/>
  <c r="K47" i="1" s="1"/>
  <c r="J62" i="1"/>
  <c r="K62" i="1" s="1"/>
  <c r="J8" i="1"/>
  <c r="K8" i="1" s="1"/>
  <c r="J82" i="1"/>
  <c r="K82" i="1" s="1"/>
  <c r="J56" i="1"/>
  <c r="K56" i="1" s="1"/>
  <c r="J39" i="1"/>
  <c r="K39" i="1" s="1"/>
  <c r="J61" i="1"/>
  <c r="K61" i="1" s="1"/>
  <c r="J69" i="1"/>
  <c r="K69" i="1" s="1"/>
  <c r="J72" i="1"/>
  <c r="K72" i="1" s="1"/>
  <c r="J34" i="1"/>
  <c r="K34" i="1" s="1"/>
  <c r="J78" i="1"/>
  <c r="K78" i="1" s="1"/>
  <c r="J50" i="1"/>
  <c r="J51" i="1"/>
  <c r="K51" i="1" s="1"/>
  <c r="J49" i="1"/>
  <c r="K49" i="1" s="1"/>
  <c r="J64" i="1"/>
  <c r="K64" i="1" s="1"/>
  <c r="J46" i="1"/>
  <c r="K46" i="1" s="1"/>
  <c r="J25" i="1"/>
  <c r="K25" i="1" s="1"/>
  <c r="J43" i="1"/>
  <c r="K43" i="1" s="1"/>
  <c r="J42" i="1"/>
  <c r="K42" i="1" s="1"/>
  <c r="J31" i="1"/>
  <c r="K31" i="1" s="1"/>
  <c r="J36" i="1"/>
  <c r="K36" i="1" s="1"/>
  <c r="J30" i="1"/>
  <c r="K30" i="1" s="1"/>
  <c r="J14" i="1"/>
  <c r="K14" i="1" s="1"/>
  <c r="J66" i="1"/>
  <c r="K66" i="1" s="1"/>
  <c r="J23" i="1"/>
  <c r="K23" i="1" s="1"/>
  <c r="J9" i="1"/>
  <c r="K9" i="1" s="1"/>
  <c r="J5" i="1"/>
  <c r="K5" i="1" s="1"/>
  <c r="K28" i="1"/>
  <c r="I54" i="1"/>
  <c r="I79" i="1"/>
  <c r="I76" i="1"/>
  <c r="K12" i="1"/>
  <c r="I59" i="1"/>
  <c r="I37" i="1"/>
  <c r="I57" i="1"/>
  <c r="K50" i="1"/>
  <c r="I48" i="1"/>
  <c r="I33" i="1"/>
  <c r="I77" i="1"/>
  <c r="J68" i="1"/>
  <c r="K68" i="1" s="1"/>
  <c r="I63" i="1"/>
  <c r="I27" i="1"/>
  <c r="I60" i="1"/>
  <c r="F84" i="1"/>
  <c r="M60" i="1" l="1"/>
  <c r="H60" i="1"/>
  <c r="M77" i="1"/>
  <c r="H77" i="1"/>
  <c r="M57" i="1"/>
  <c r="H57" i="1"/>
  <c r="M76" i="1"/>
  <c r="H76" i="1"/>
  <c r="M79" i="1"/>
  <c r="H79" i="1"/>
  <c r="M27" i="1"/>
  <c r="H27" i="1"/>
  <c r="M33" i="1"/>
  <c r="H33" i="1"/>
  <c r="M37" i="1"/>
  <c r="H37" i="1"/>
  <c r="M63" i="1"/>
  <c r="H63" i="1"/>
  <c r="M48" i="1"/>
  <c r="H48" i="1"/>
  <c r="M59" i="1"/>
  <c r="H59" i="1"/>
  <c r="M54" i="1"/>
  <c r="H54" i="1"/>
  <c r="J27" i="1"/>
  <c r="K27" i="1" s="1"/>
  <c r="J57" i="1"/>
  <c r="K57" i="1" s="1"/>
  <c r="J76" i="1"/>
  <c r="K76" i="1" s="1"/>
  <c r="J63" i="1"/>
  <c r="K63" i="1" s="1"/>
  <c r="J37" i="1"/>
  <c r="K37" i="1" s="1"/>
  <c r="J79" i="1"/>
  <c r="K79" i="1" s="1"/>
  <c r="J77" i="1"/>
  <c r="K77" i="1" s="1"/>
  <c r="J33" i="1"/>
  <c r="K33" i="1" s="1"/>
  <c r="J48" i="1"/>
  <c r="K48" i="1" s="1"/>
  <c r="J59" i="1"/>
  <c r="K59" i="1" s="1"/>
  <c r="J54" i="1"/>
  <c r="K54" i="1" s="1"/>
  <c r="I84" i="1"/>
  <c r="I2" i="1"/>
  <c r="J60" i="1"/>
  <c r="H2" i="1" l="1"/>
  <c r="H84" i="1"/>
  <c r="J84" i="1"/>
  <c r="K60" i="1"/>
  <c r="K84" i="1" s="1"/>
  <c r="K86" i="1" s="1"/>
  <c r="K89" i="1" s="1"/>
</calcChain>
</file>

<file path=xl/sharedStrings.xml><?xml version="1.0" encoding="utf-8"?>
<sst xmlns="http://schemas.openxmlformats.org/spreadsheetml/2006/main" count="460" uniqueCount="322">
  <si>
    <t>Sr. No.</t>
  </si>
  <si>
    <t>Name</t>
  </si>
  <si>
    <t>Vendor</t>
  </si>
  <si>
    <t>QTY</t>
  </si>
  <si>
    <t>Qty rate</t>
  </si>
  <si>
    <t>Discount</t>
  </si>
  <si>
    <t>GST</t>
  </si>
  <si>
    <t>Total Value with GST</t>
  </si>
  <si>
    <t>HPLC</t>
  </si>
  <si>
    <r>
      <t xml:space="preserve"> </t>
    </r>
    <r>
      <rPr>
        <sz val="8"/>
        <color theme="1"/>
        <rFont val="Cambria"/>
        <family val="1"/>
      </rPr>
      <t>Agilent Technologies India Pvt. Ltd.</t>
    </r>
  </si>
  <si>
    <t>Microcontroller Based Melting/Boiling Point Apparatus</t>
  </si>
  <si>
    <t>RUPALI LABORATORIES</t>
  </si>
  <si>
    <t>Tap Density Tester</t>
  </si>
  <si>
    <t>LAF</t>
  </si>
  <si>
    <t xml:space="preserve">Autoclave 110 ltrs verticale </t>
  </si>
  <si>
    <t>Hot Air Oven 90 ltrs</t>
  </si>
  <si>
    <t>pH/mV/oC/ORP Analyzer (Three/Five Point Calibration)</t>
  </si>
  <si>
    <t>Digital Colony Counter</t>
  </si>
  <si>
    <t>Olympus Binocular Research Microscope</t>
  </si>
  <si>
    <t>Electromagnetic Sieve Shaker</t>
  </si>
  <si>
    <t>TABLET DISSOLUTION APPARATUS</t>
  </si>
  <si>
    <t>AUTO RANGING CONDUCTIVITY/TDS/oCANALYZER</t>
  </si>
  <si>
    <t>Portable Tablet Hardness Tester</t>
  </si>
  <si>
    <t>Disintegration Test Apparatus</t>
  </si>
  <si>
    <t>Microcontroller Based Karl Fischer Titrator,</t>
  </si>
  <si>
    <t>DIGITAL SEMI AUTOMATIC POLARIMETER</t>
  </si>
  <si>
    <t>Vacuum-Cum-Pressure Pump</t>
  </si>
  <si>
    <t>FUME HOOD</t>
  </si>
  <si>
    <t>OIML Standard Weights - Class E2 (With NABL Calibration Certificate)</t>
  </si>
  <si>
    <t>Digital Bursting Strength Tester</t>
  </si>
  <si>
    <t>Rectangular Muffle Furnace</t>
  </si>
  <si>
    <t>Vacuum Oven 30 ltrs with vaccume pump</t>
  </si>
  <si>
    <t>STABILITY CHAMBER 1000 ltrs</t>
  </si>
  <si>
    <t>BOD INCUBATOR with PID Controller 600 ltrs</t>
  </si>
  <si>
    <t>ANALYTICAL BALANCE - 0.1mg</t>
  </si>
  <si>
    <t>Shimadzu AP125WD Dual Range Semi-Micro Analytical</t>
  </si>
  <si>
    <t>SHIMADZU BL3200H TOP LOADING BALANCE</t>
  </si>
  <si>
    <t>Moisture Analyzer</t>
  </si>
  <si>
    <t>HPVA Autoclave 430 ltrs</t>
  </si>
  <si>
    <t>Pharma Vaild</t>
  </si>
  <si>
    <t>CG-203L Precision Balance</t>
  </si>
  <si>
    <t>Xeon Technologies</t>
  </si>
  <si>
    <t>CG-602L Precision Balance</t>
  </si>
  <si>
    <t>CG-6 Table Top Balance</t>
  </si>
  <si>
    <t>CG-150 Platform Scale</t>
  </si>
  <si>
    <t>TOC anaylizer</t>
  </si>
  <si>
    <t>LCGC BioAnalytic Solutions LLP</t>
  </si>
  <si>
    <t>Eye shower</t>
  </si>
  <si>
    <t>Tong bio Madical</t>
  </si>
  <si>
    <t>Body shwaer</t>
  </si>
  <si>
    <t>Transformer 500 KVA</t>
  </si>
  <si>
    <t>National Engineering company</t>
  </si>
  <si>
    <t>Servo capacity 400KVA</t>
  </si>
  <si>
    <t>VCB 600 AMP.</t>
  </si>
  <si>
    <t>DG set 250 kVA</t>
  </si>
  <si>
    <t>DG set 30 kVA</t>
  </si>
  <si>
    <t>Purified water plant with return loop 2000 ltrs/ hours</t>
  </si>
  <si>
    <t>Nikhil Enterpries</t>
  </si>
  <si>
    <t>HVAC works</t>
  </si>
  <si>
    <t>SAIFIAN AIRCON</t>
  </si>
  <si>
    <t>Out door &amp; DX cooling unit of HVAC &amp; Istallation</t>
  </si>
  <si>
    <t>WEATHER COMFORT ENGINEERSNEAR</t>
  </si>
  <si>
    <t>ETP &amp; STP 10KL</t>
  </si>
  <si>
    <t>PARAM ENVIRONMENTAL SOLUTIONS</t>
  </si>
  <si>
    <t>Vibro Sifter 30"</t>
  </si>
  <si>
    <t>PROVENTIQ PHARMA MACHINERIES</t>
  </si>
  <si>
    <t>Paste Kettle 100 Liters cGMP Machine with stirrer</t>
  </si>
  <si>
    <t>RMG 400 Liters cGMP Machine With Push button controls</t>
  </si>
  <si>
    <t>Fluid Bed Dryer 120 Kg cGMP Machine with push button controls</t>
  </si>
  <si>
    <t>Multi Mill cGMP Machine</t>
  </si>
  <si>
    <t>PCB-600 Ltr. Bin Blender cGMP Machine</t>
  </si>
  <si>
    <t>Auto Coater 48” GMP Model</t>
  </si>
  <si>
    <t>Colloid Mill M/c. cGMP Horizontal Model Motor 3 HP</t>
  </si>
  <si>
    <t>Tablet Inspection Machine Roller Type– cGMP Model</t>
  </si>
  <si>
    <t>SQ. Bin Type Blender Machine 300 Liters cGMP Machine With PLC</t>
  </si>
  <si>
    <t>GroyneTech</t>
  </si>
  <si>
    <t xml:space="preserve">CT-70 Model Automatic capsules filling machine </t>
  </si>
  <si>
    <t>Capteach system</t>
  </si>
  <si>
    <t>ACCURA B4 27 STN "D" TOOLING HIGH SPEED</t>
  </si>
  <si>
    <t>Fluidpack</t>
  </si>
  <si>
    <t>ACCURA DOUBLE ROTARY PRESS II-37 D TOOLING</t>
  </si>
  <si>
    <t>Fully automatic blister packing machine
GMP Model: 240 PLUS.</t>
  </si>
  <si>
    <t>Accurate Machines</t>
  </si>
  <si>
    <t>Air Compresser</t>
  </si>
  <si>
    <t xml:space="preserve">Lift material </t>
  </si>
  <si>
    <t xml:space="preserve">Aman enterpries </t>
  </si>
  <si>
    <t>Nexus Power system</t>
  </si>
  <si>
    <t>Dispensing Booth (RLAF)</t>
  </si>
  <si>
    <t>Airtech Equipments System</t>
  </si>
  <si>
    <t>Sampling Booth (RLAF)</t>
  </si>
  <si>
    <t>Dynamic Pass Box of Size: 900 x 900 x 900 mm</t>
  </si>
  <si>
    <t>Differnace pressure gauge with SS box and tubing</t>
  </si>
  <si>
    <t>Convery belt 10 feet</t>
  </si>
  <si>
    <t>Covery belt 5 feet</t>
  </si>
  <si>
    <t xml:space="preserve">Electrical Penal </t>
  </si>
  <si>
    <t>Electrical wire &amp; light</t>
  </si>
  <si>
    <t>Shree shyam trading</t>
  </si>
  <si>
    <t>Door</t>
  </si>
  <si>
    <t>Trio India</t>
  </si>
  <si>
    <t>AHU Ducting</t>
  </si>
  <si>
    <t>Fire</t>
  </si>
  <si>
    <t>Naveen</t>
  </si>
  <si>
    <t>Misc items</t>
  </si>
  <si>
    <t>Total</t>
  </si>
  <si>
    <t>Link</t>
  </si>
  <si>
    <t>https://dir.indiamart.com/impcat/high-performance-liquid-chromatographs.html</t>
  </si>
  <si>
    <t>https://www.indiamart.com/proddetail/cg-203l-precision-balance-aczet-24348123048.html</t>
  </si>
  <si>
    <t>https://www.indiamart.com/proddetail/cg-602l-aczet-precision-balance-capacity-600gms-accuracy-0-01gms-27467779497.html</t>
  </si>
  <si>
    <t>https://www.industrybuying.com/bench-and-floor-scales-aczet-TES.BEN.19559960/?utm_source=Google&amp;utm_medium=PLA&amp;utm_campaign=PLAPMAX_Testing_And_Measuring_Location_NCR&amp;gclid=CjwKCAjwvrOpBhBdEiwAR58-3GqcUJSrif16QfdyEdTOcqLoRgUD_x3hrok89deyzx8N1xLqpoVDTxoCsqIQAvD_BwE</t>
  </si>
  <si>
    <t>https://www.toolbuy.com/product/electronic_scales-insize-me.di.el.00022?srsltid=AfmBOopJ4EpYTYV5nKoQBstQYWiu0hN-yTouzj5IGnsq6x-5Z3IQRabEI8U</t>
  </si>
  <si>
    <t>https://www.google.com/url?url=https://www.tradeindia.com/products/total-organic-carbon-analyzer-trl-toc-s-c7745507.html&amp;rct=j&amp;q=&amp;esrc=s&amp;opi=95576897&amp;sa=U&amp;ved=0ahUKEwj-zZehnfyBAxXbbmwGHfvLAb4QgOUECN4G&amp;usg=AOvVaw2RVRvbVKef5WXg14lhNSvW</t>
  </si>
  <si>
    <t>https://www.moglix.com/creative-portable-eye-wash-shower-cepew-12/mp/msn2ve5h4mb1n1?s_kwcid=AL!10177!3!658781790202!!!g!2064110870562!&amp;utm_source=google&amp;utm_medium=cpc&amp;utm_network=shopping&amp;utm_campaign=&amp;adgroup_id=149594033976&amp;keyword=&amp;gclid=CjwKCAjwvrOpBhBdEiwAR58-3Iv5au2Xr5k6ss2XdQxwpOw-uKSFcduh8MfyxsL3afJatNkTxNkM8xoCGHsQAvD_BwE</t>
  </si>
  <si>
    <t>https://www.indiamart.com/proddetail/jaquar-rain-shower-22859185830.html?pos=3&amp;pla=n</t>
  </si>
  <si>
    <t>https://www.indiamart.com/proddetail/500kva-3-phase-onan-distribution-transformer-23213748791.html?pos=2&amp;pla=n</t>
  </si>
  <si>
    <t>https://www.indiamart.com/proddetail/vacuum-circuit-breaker-2849617952230.html</t>
  </si>
  <si>
    <t>https://www.indiamart.com/proddetail/250kva-sudhir-diesel-generator-21686494897.html</t>
  </si>
  <si>
    <t>https://www.indiamart.com/proddetail/30-kva-koel-by-kirloskar-diesel-generator-21882485212.html?pos=1</t>
  </si>
  <si>
    <t>https://www.indiamart.com/proddetail/stp-plant-10-kld-17941350212.html, https://www.indiamart.com/proddetail/etp-plant-9089872091.html</t>
  </si>
  <si>
    <t>https://www.indiamart.com/proddetail/20-hp-high-pressure-air-compressor-21152686055.html</t>
  </si>
  <si>
    <t>https://www.indiamart.com/proddetail/apc-15kva-ups-14783583712.html</t>
  </si>
  <si>
    <t>https://www.tradeindia.com/products/laboratory-1-min-sampling-and-dispensing-booth-c6311113.html</t>
  </si>
  <si>
    <t>https://www.tradeindia.com/products/dispensing-booth-c6944124.html</t>
  </si>
  <si>
    <t>https://www.indiamart.com/proddetail/flp-dynamic-pass-box-23485095573.html</t>
  </si>
  <si>
    <t>https://www.indiamart.com/proddetail/magnehelic-differential-pressure-gauge-ss-box-6497148162.html</t>
  </si>
  <si>
    <t>https://www.indiamart.com/proddetail/control-relay-panel-13219917555.html?pos=2&amp;pla=n</t>
  </si>
  <si>
    <t>https://www.indiamart.com/proddetail/purified-water-generation-and-pw-distribution-loop-system-6911316730.html?pos=9&amp;pla=n</t>
  </si>
  <si>
    <t>https://www.google.com/search?q=passenger+lift&amp;sa=X&amp;sca_esv=573962864&amp;rlz=1C1ONGR_enIN1050IN1050&amp;hl=en-GB&amp;biw=1440&amp;bih=783&amp;tbm=shop&amp;ei=XR8uZbmZEf_34-EP5amG0AI&amp;ved=0ahUKEwj5u9SwsPyBAxX_-zgGHeWUASoQ4dUDCAg&amp;uact=5&amp;oq=passenger+lift&amp;gs_lp=Egtwcm9kdWN0cy1jYyIOcGFzc2VuZ2VyIGxpZnQyBxAAGA0YgAQyBxAAGA0YgAQyCRAAGA0YGBiABDIJEAAYDRgYGIAEMgkQABgNGBgYgAQyCRAAGA0YGBiABDIJEAAYDRgYGIAEMggQABgeGA0YGEjEI1CeEViFInABeACQAQCYAfwBoAHNDKoBBTAuOC4yuAEDyAEA-AEBwgIKEAAYigUYsAMYQ8ICEBAAGIoFGLEDGIMBGLADGEPCAggQABiABBiwA8ICDhAAGIAEGLEDGIMBGLADwgIHEAAYGBiABMICBhAAGAcYHsICCBAAGAgYBxgeiAYBkAYK&amp;sclient=products-cc#spd=18189430929731556360</t>
  </si>
  <si>
    <t>https://www.indiamart.com/proddetail/fully-automatic-horizontal-autoclaves-11538481688.html?pos=10&amp;pla=n</t>
  </si>
  <si>
    <t>https://www.aajjo.com/electrical-equipment/400kva-servo-voltage-stability-oil-cooled-in-ghaziabad-nermal-power-servo-voltage/product</t>
  </si>
  <si>
    <t>S.no.</t>
  </si>
  <si>
    <t>Party Name</t>
  </si>
  <si>
    <t>Material Name</t>
  </si>
  <si>
    <t>Specifications</t>
  </si>
  <si>
    <t>Quantity</t>
  </si>
  <si>
    <t>Purchased Price</t>
  </si>
  <si>
    <t>Market Price</t>
  </si>
  <si>
    <t>Remarks</t>
  </si>
  <si>
    <t>Fully Automatic Blister Packing Machine + Extra accessories</t>
  </si>
  <si>
    <t>https://www.indiamart.com/proddetail/edrashti-blister-inspection-system-9931550230.html</t>
  </si>
  <si>
    <t>m/c - 1000000, acc.-300000, insp. Sys.-800000,</t>
  </si>
  <si>
    <t>CT-70 Model Automatic Capsule Filling machine</t>
  </si>
  <si>
    <t>70 thousand Capsule per hour</t>
  </si>
  <si>
    <t>https://www.indiamart.com/proddetail/fully-automatic-capsule-filling-machine-sfacf-40-gmp-model-6519918712.html?pos=8&amp;pla=n</t>
  </si>
  <si>
    <t>Quotation-captech</t>
  </si>
  <si>
    <t>Auto Coat 48'' GMP Model</t>
  </si>
  <si>
    <t>https://www.aajjo.com/industrial-plants-machinery/auto-coater-machine-in-palghar-npm-pharma-industries-private-limited/product</t>
  </si>
  <si>
    <t>Fluid Pack</t>
  </si>
  <si>
    <t>ACCURA High Speed Double rotary press</t>
  </si>
  <si>
    <t>20 ltr hopper capacity</t>
  </si>
  <si>
    <t>https://www.indiamart.com/proddetail/high-speed-double-side-rotary-tablet-machine-2851852891097.html?pos=4</t>
  </si>
  <si>
    <t>RMG Machine</t>
  </si>
  <si>
    <t>`</t>
  </si>
  <si>
    <t>quotation-2500000</t>
  </si>
  <si>
    <t>ACCURA B4 STN 'D' Tooling High Speed (tablet press)</t>
  </si>
  <si>
    <t>https://www.indiamart.com/proddetail/tablet-making-machine-9344702133.html?pos=9&amp;pla=n</t>
  </si>
  <si>
    <t>Fluid Bed Dryer cGMP Machine</t>
  </si>
  <si>
    <t>120 kg</t>
  </si>
  <si>
    <t>https://www.indiamart.com/proddetail/fluid-bed-dryer-4132638555.html?pos=12&amp;pla=n</t>
  </si>
  <si>
    <t xml:space="preserve">Bin Blender Machine </t>
  </si>
  <si>
    <t>600 ltr</t>
  </si>
  <si>
    <t>https://www.indiamart.com/proddetail/conta-pillar-blender-pillar-type-blender-bin-blender-2849754504991.html</t>
  </si>
  <si>
    <t xml:space="preserve">Trio India </t>
  </si>
  <si>
    <t>Door 915 x 2100 mm single leaf</t>
  </si>
  <si>
    <t>https://www.indiamart.com/proddetail/fire-resistant-metal-door-24606379388.html?pos=2&amp;pla=n</t>
  </si>
  <si>
    <t>Groyne Tech</t>
  </si>
  <si>
    <t>Floor Mounted Electrical Tray Dryer</t>
  </si>
  <si>
    <t xml:space="preserve">Quotation </t>
  </si>
  <si>
    <t>Electrical Panels, AHU panels</t>
  </si>
  <si>
    <t>https://www.indiamart.com/proddetail/double-skin-air-handling-unit-2898896748.html</t>
  </si>
  <si>
    <t>WEATHER COMFORT ENGINEERS</t>
  </si>
  <si>
    <t>Condensing Unit Voltas + Installation Charges</t>
  </si>
  <si>
    <t>5.5 TR</t>
  </si>
  <si>
    <t>https://www.indiamart.com/proddetail/voltas-ductable-ac-21595966455.html</t>
  </si>
  <si>
    <t>Double Skin AHU + installation charges</t>
  </si>
  <si>
    <t>5.5 TR, 2000 CFM</t>
  </si>
  <si>
    <t>https://www.indiamart.com/proddetail/air-handling-unit-23803524230.html?pos=2&amp;kwd=double%20skin%20air%20handling%20unit%205.5&amp;tags=A||||8227.221|Price|product|||SSnp|type=attr=1|attrS</t>
  </si>
  <si>
    <t>Condensing Unit Voltas  + Installation charges</t>
  </si>
  <si>
    <t>8.5 TR</t>
  </si>
  <si>
    <t>https://www.indiamart.com/proddetail/voltas-ductable-ac-8-5-tr-r22-22466031148.html</t>
  </si>
  <si>
    <t>11 TR</t>
  </si>
  <si>
    <t>https://www.indiamart.com/proddetail/11-0-tr-ductable-ac-make-voltas-single-circuit-22021074155.html</t>
  </si>
  <si>
    <t>Double Skin AHU</t>
  </si>
  <si>
    <t>11 TR, 4000 CFM</t>
  </si>
  <si>
    <t xml:space="preserve">AHU </t>
  </si>
  <si>
    <t>8.5 TR, 3000 CFM</t>
  </si>
  <si>
    <t>https://www.indiamart.com/proddetail/stainless-steel-conta-blender-21099950091.html</t>
  </si>
  <si>
    <t>Bin Type Blender Machine</t>
  </si>
  <si>
    <t>300 ltr</t>
  </si>
  <si>
    <t>Door 1525 x 2100 mm Double leaf</t>
  </si>
  <si>
    <t>https://www.indiamart.com/proddetail/double-leaf-swing-door-10192669291.html?pos=5&amp;pla=n</t>
  </si>
  <si>
    <t xml:space="preserve">SS 304 Suply/Return Air grills with Dampers </t>
  </si>
  <si>
    <t>SS 304</t>
  </si>
  <si>
    <t>https://www.indiamart.com/proddetail/pressure-relief-damper-supplier-6236530312.html?pos=3</t>
  </si>
  <si>
    <t>Tablet Inspection Machine Roller Type</t>
  </si>
  <si>
    <t>https://www.indiamart.com/proddetail/automatic-capsule-inspection-machine-21529449433.html?pos=3&amp;pla=n</t>
  </si>
  <si>
    <t>Paste Kettle with Stirrer</t>
  </si>
  <si>
    <t>https://www.aajjo.com/industrial-plants-machinery/stainless-steel-paste-kettle-mixer-machine-capacity-0-250-l-in-ahmadabad-adinath-international/product</t>
  </si>
  <si>
    <t>Terminal Hepa Filter 610x610x150</t>
  </si>
  <si>
    <t>0.36 Micron, 99.97% effi.</t>
  </si>
  <si>
    <t>https://www.indiamart.com/proddetail/610x610x150-mm-hepa-filter-16179180988.html</t>
  </si>
  <si>
    <t>3 TR, 1000 CFM</t>
  </si>
  <si>
    <t>https://www.indiamart.com/proddetail/double-skin-floor-mounted-air-handling-unit-22972775797.html</t>
  </si>
  <si>
    <t>SS 304 Return Air grills with Damper and Filter</t>
  </si>
  <si>
    <t>https://www.indiamart.com/proddetail/pressure-relief-damper-26171007455.html?pos=12&amp;kwd=damper%20and%20filter%20ss%20304%20return&amp;tags=||||8293.604|Price|product|||TS</t>
  </si>
  <si>
    <t>Damper-9000, grill-3500, filter-2500</t>
  </si>
  <si>
    <t>Presure Monitoring System</t>
  </si>
  <si>
    <t>https://www.indiamart.com/proddetail/capsule-type-pressure-gauge-12132645612.html</t>
  </si>
  <si>
    <t>Terminal Hepa Filter 610x610x150 (18G CRC Sheet)</t>
  </si>
  <si>
    <t>Door 760 x 2100 mm single leaf</t>
  </si>
  <si>
    <t>https://www.indiamart.com/proddetail/fire-resistant-metal-door-24606379388.html?pos=2</t>
  </si>
  <si>
    <t>Vibro Sifter</t>
  </si>
  <si>
    <t>https://www.indiamart.com/proddetail/ss316-304-vibro-sifter-19548516455.html</t>
  </si>
  <si>
    <t>15 TR, 6000 CFM</t>
  </si>
  <si>
    <t>https://www.indiamart.com/proddetail/double-skin-air-handling-unit-2850740535462.html?pos=6&amp;pla=n</t>
  </si>
  <si>
    <t>Free Match Multi Split Inverter hot and cold out door Voltas</t>
  </si>
  <si>
    <t>https://www.indiamart.com/proddetail/voltas-vm2-h18-4dr3-inverter-free-match-outdoor-window-ac-24986026955.html</t>
  </si>
  <si>
    <t>Terminal Hepa Filter 450x450x150 (18G CRC Sheet)</t>
  </si>
  <si>
    <t>https://www.indiamart.com/proddetail/hepa-filter-25967260397.html</t>
  </si>
  <si>
    <t>Terminal Hepa Filter 450x450x150</t>
  </si>
  <si>
    <t>3 TR</t>
  </si>
  <si>
    <t>https://www.indiamart.com/proddetail/voltas-ductable-unit-3-tr-5-5-tr-8-5-tr-11-tr-16-5-tr-22-tr-27628375655.html</t>
  </si>
  <si>
    <t>Multi Mill Machine cGMP Machine</t>
  </si>
  <si>
    <t>https://www.indiamart.com/proddetail/ss-multi-mill-8449721630.html</t>
  </si>
  <si>
    <t>Colloid Mill</t>
  </si>
  <si>
    <t>3 HP</t>
  </si>
  <si>
    <t>https://www.indiamart.com/proddetail/ss-colloid-mill-25992821433.html</t>
  </si>
  <si>
    <t>AHU</t>
  </si>
  <si>
    <t>3 TR, 1200 CFM</t>
  </si>
  <si>
    <t>https://www.indiamart.com/proddetail/ahu-air-handling-unit-16365431073.html</t>
  </si>
  <si>
    <t>8.5 TR, 4000 CFM</t>
  </si>
  <si>
    <t>https://www.indiamart.com/proddetail/double-skin-air-handling-unit-24276892412.html</t>
  </si>
  <si>
    <t>Terminal Hepa Filter 305x305x300</t>
  </si>
  <si>
    <t>https://www.tradeindia.com/products/hepa-filter-c7748908.html</t>
  </si>
  <si>
    <t>Terminal Hepa Filter 305x305x300 (18G CRC Sheet)</t>
  </si>
  <si>
    <t>Air cooled ductable unit Voltas</t>
  </si>
  <si>
    <t>https://www.indiamart.com/proddetail/voltas-acads05511-5-5-ton-aircooled-ductable-split-unit-singl-24259229791.html?pos=8&amp;pla=n</t>
  </si>
  <si>
    <t>Door 1220 x 2100 mm Double leaf</t>
  </si>
  <si>
    <t xml:space="preserve"> 1220 x 2100 mm</t>
  </si>
  <si>
    <t>https://www.indiamart.com/proddetail/double-leaf-fire-resistant-door-24002652297.html?pos=5</t>
  </si>
  <si>
    <t>Free Match HI Wall Voltas</t>
  </si>
  <si>
    <t>1.5 TR</t>
  </si>
  <si>
    <t>https://www.flipkart.com/voltas-1-5-ton-3-star-split-inverter-ac-white/p/itm5d563eba61324?pid=ACNGHUNGGWU4FY45&amp;lid=LSTACNGHUNGGWU4FY45SNJC7P&amp;marketplace=FLIPKART&amp;store=j9e%2Fabm%2Fc54&amp;spotlightTagId=TrendingId_j9e%2Fabm%2Fc54&amp;srno=b_1_1&amp;otracker=browse&amp;fm=organic&amp;iid=9a763630-327d-4284-8a79-38a34118cc1e.ACNGHUNGGWU4FY45.SEARCH&amp;ppt=browse&amp;ppn=browse&amp;ssid=e7chrbyeuo0000001697108290565</t>
  </si>
  <si>
    <t>Split AC Inverter</t>
  </si>
  <si>
    <t>2 TR</t>
  </si>
  <si>
    <t>https://www.flipkart.com/godrej-5-in-1-convertible-cooling-2023-model-2-ton-3-star-split-inverter-i-sense-technology-blue-fin-anti-corrosive-coating-ac-white/p/itmde6369dd1aa44?pid=ACNGK96ZGTMTGTGV&amp;lid=LSTACNGK96ZGTMTGTGVHHLCFT&amp;marketplace=FLIPKART&amp;store=j9e%2Fabm%2Fc54&amp;srno=b_2_28&amp;otracker=browse&amp;fm=organic&amp;iid=en_9E_1gC420l7vsyo02njWJ_wPnRambAeM9fwEyYZeloKU65v3BIkAsF2AB6c-I7eN8lejDex8_KgWhuq6WLP7qw%3D%3D&amp;ppt=None&amp;ppn=None&amp;ssid=kuva5twxsw0000001697107123716</t>
  </si>
  <si>
    <t>Clean Room Door (Single Door) (Hatch Door) 1000 x 1000 mm</t>
  </si>
  <si>
    <t>1000 x 1000 mm</t>
  </si>
  <si>
    <t>https://www.indiamart.com/proddetail/stainless-steel-hatch-door-2849541034530.html</t>
  </si>
  <si>
    <t>1 TR</t>
  </si>
  <si>
    <t>https://www.flipkart.com/voltas-2023-model-1-ton-3-star-split-inverter-ac-white/p/itm19052ef671f8a?pid=ACNGMXKV9GDM7EP5&amp;lid=LSTACNGMXKV9GDM7EP51D0OYP&amp;marketplace=FLIPKART&amp;store=j9e%2Fabm%2Fc54&amp;srno=b_1_5&amp;otracker=browse&amp;fm=organic&amp;iid=43857b99-dfc8-4dd8-ae99-92218c3eddb6.ACNGMXKV9GDM7EP5.SEARCH&amp;ppt=None&amp;ppn=None&amp;ssid=gfoznyeti80000001697107561640</t>
  </si>
  <si>
    <t>https://www.reliancedigital.in/hisense-1-5-ton-3-star-convertible-inverter-split-ac-atc503hib-5-in-1-convertible-100-copper-auto-clean-pm-2-5-filter-blue-fins-2023-launch-/p/581110345?gclid=Cj0KCQjwsp6pBhCfARIsAD3GZuZVEUWBfByrpfITkUu0scszHCO6zNfrqJQgjmRKXJ16mieIJJjPXbEaAv4YEALw_wcB</t>
  </si>
  <si>
    <t>https://gostor.com/category/split-ac/Voltas-2-Ton-3-Star-Split-Inverter-split-ac-243V-Vectra-Elite-(Copper,-New-BEE-Rating)?id=6360eec564cb95ecdd4b7193&amp;utm_campaign=20458122368&amp;utm_content=3&amp;utm_term=&amp;gclid=CjwKCAjwvrOpBhBdEiwAR58-3P7uQ4W787E8Ol8TWF3Hl1xzQ6Hs5UdqzpcNtjaVnlIQUTpQFiZ5CxoCU08QAvD_BwE</t>
  </si>
  <si>
    <t>THERMAL EXPANSION VALVE 5.5TR (TXV) SUPPLY OF INSTALL PER NOS</t>
  </si>
  <si>
    <t>https://www.indiamart.com/proddetail/emerson-thermal-expansion-valves-22467892048.html</t>
  </si>
  <si>
    <t>THERMAL EXPANSION VALVE 8.5 TR (TXV) SUPPLY OF INSTALL</t>
  </si>
  <si>
    <t>https://www.indiamart.com/proddetail/5-8-x-7-8-odf-thermal-expansion-valve-9-ton-23747729473.html</t>
  </si>
  <si>
    <t>Emergency exit Red colour 915 x 2100 mm</t>
  </si>
  <si>
    <t>https://www.indiamart.com/proddetail/mild-steel-emergency-exit-door-24248433412.html?pos=4</t>
  </si>
  <si>
    <t>MISC. AND INSTALLATION CHARGES</t>
  </si>
  <si>
    <t>TOTAL</t>
  </si>
  <si>
    <t>SS Furniture</t>
  </si>
  <si>
    <t>SS 304 Aalmirah</t>
  </si>
  <si>
    <t>Table SS304</t>
  </si>
  <si>
    <t>Stool SS304</t>
  </si>
  <si>
    <t>SOP Stand</t>
  </si>
  <si>
    <t>Scoop</t>
  </si>
  <si>
    <t>GMP drain trape SS 304</t>
  </si>
  <si>
    <t>SS 304 Torly</t>
  </si>
  <si>
    <t>SS 304 gard pipe</t>
  </si>
  <si>
    <t>Cross over banch SS 304</t>
  </si>
  <si>
    <t>Compressed Air line</t>
  </si>
  <si>
    <t>Dress cabinet microbial</t>
  </si>
  <si>
    <t>SS 304 containter / bin</t>
  </si>
  <si>
    <t>(7x3x1) feet</t>
  </si>
  <si>
    <t>3.5X3X1) feet</t>
  </si>
  <si>
    <t>3x2x3 feet</t>
  </si>
  <si>
    <t>regular</t>
  </si>
  <si>
    <t>2kg, 1kg, 500gm</t>
  </si>
  <si>
    <t>(6x2x3) feet</t>
  </si>
  <si>
    <t>200 mtr</t>
  </si>
  <si>
    <t>5 x 2 x 1.5 (feet)</t>
  </si>
  <si>
    <t>25 ltrs</t>
  </si>
  <si>
    <t>https://www.indiamart.com/proddetail/mild-steel-rectangular-air-duct-2851790101033.html?pos=1&amp;pla=n</t>
  </si>
  <si>
    <t>https://www.indiamart.com/proddetail/vertical-laminar-air-flow-ss-19879118833.html?pos=3&amp;pla=n</t>
  </si>
  <si>
    <t>UPS 15 KVA, Battery and rack</t>
  </si>
  <si>
    <t>https://www.indiamart.com/proddetail/ss304-teflon-flat-belt-conveyor-with-vfd-23971527012.html</t>
  </si>
  <si>
    <t>https://www.indiamart.com/proddetail/ss-packing-conveyor-table-20279001097.html</t>
  </si>
  <si>
    <t>Clean Room panel and Window</t>
  </si>
  <si>
    <t>Wall partation ACp sheet with section 2.5" x 1.5</t>
  </si>
  <si>
    <t>Fail ACP sheet sealing with section 1"x 1.5"</t>
  </si>
  <si>
    <t>QC Lab Alumnium paration with glass 5 mm</t>
  </si>
  <si>
    <t>Windows 29 x 6 mm flase</t>
  </si>
  <si>
    <t>https://www.indiamart.com/proddetail/table-with-undershelf-25923983012.html?pos=4&amp;pla=n</t>
  </si>
  <si>
    <t>https://www.indiamart.com/proddetail/ss-round-stool-19045341988.html?pos=8&amp;pla=n</t>
  </si>
  <si>
    <t>https://www.indiamart.com/proddetail/sop-stand-21693252330.html</t>
  </si>
  <si>
    <t>https://www.indiamart.com/proddetail/stainless-steel-304-scoops-size-500-gram-to-5-kg-8402731455.html</t>
  </si>
  <si>
    <t>https://www.indiamart.com/proddetail/ss-drain-amul-trap-23887077212.html?pos=9&amp;pla=n</t>
  </si>
  <si>
    <t>https://www.indiamart.com/proddetail/kitchen-trolley-17736007130.html?pos=3</t>
  </si>
  <si>
    <t>https://www.indiamart.com/proddetail/cross-over-benches-11642937162.html</t>
  </si>
  <si>
    <t>https://www.indiamart.com/proddetail/compressed-air-pipeline-2851774562555.html?pos=4</t>
  </si>
  <si>
    <t>https://www.indiamart.com/proddetail/bio-safety-cabinet-class-3-26219723788.html?pos=5&amp;pla=n</t>
  </si>
  <si>
    <t>https://www.indiamart.com/proddetail/stainless-steel-round-container-23035015591.html</t>
  </si>
  <si>
    <t>Fully automatic blister packing machine GMP Model: EXCEL – 44.</t>
  </si>
  <si>
    <t>Floor Mounted Electrical Tray Dryer (12) – TRAYS) with Single Leaf Door Model: GT-EHTD</t>
  </si>
  <si>
    <t>Semi Automatic LEAK TEST APPARATUS with 300mm esiccator</t>
  </si>
  <si>
    <t>Market Rate as per RKA
(INR)</t>
  </si>
  <si>
    <t>Considered same due to unavailability of technical specifications</t>
  </si>
  <si>
    <t>NA</t>
  </si>
  <si>
    <t>Quotations</t>
  </si>
  <si>
    <t>Earthing</t>
  </si>
  <si>
    <t>Clean room Panel &amp; Windows</t>
  </si>
  <si>
    <t xml:space="preserve">Sky line aluminium </t>
  </si>
  <si>
    <t>https://www.google.com/url?url=https://www.aajjo.com/pharmaceutical-machinery-equipment/double-rotary-tablet-machine-capacity-266400-tabhour-model-namenumber-tab-50-37-in-ahmedabad-tabpack-private-limited/product&amp;rct=j&amp;q=&amp;esrc=s&amp;opi=95576897&amp;sa=U&amp;ved=0ahUKEwjgsM3QuYGCAxWiR2wGHaI1B5gQgOUECNAF&amp;usg=AOvVaw1VQzfuDW55RwDVelj87Wk7</t>
  </si>
  <si>
    <t>online referense, some of the accessories are considered as it is provided</t>
  </si>
  <si>
    <t>online</t>
  </si>
  <si>
    <t>Amount shown by company
(Including GST) (INR)</t>
  </si>
  <si>
    <t>Amount shown by company
(Excluding GST) (INR)</t>
  </si>
  <si>
    <t>PU and Epoxy Work</t>
  </si>
  <si>
    <t>Furniture (SS)</t>
  </si>
  <si>
    <t>Arcal</t>
  </si>
  <si>
    <t>pu-120, epoxy-305</t>
  </si>
  <si>
    <t>https://www.indiamart.com/proddetail/polyurethane-flooring-services-10392858962.html?pos=7, https://www.indiamart.com/proddetail/epoxy-coving-work-epoxy-floor-coving-epoxy-pencil-coving-23905466891.html?pos=4&amp;pla=n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</si>
</sst>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mbr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0" applyNumberFormat="1"/>
    <xf numFmtId="0" fontId="0" fillId="0" borderId="1" xfId="0" applyBorder="1"/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Alignment="1"/>
    <xf numFmtId="16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165" fontId="7" fillId="4" borderId="1" xfId="2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5" fontId="8" fillId="5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left" vertical="center" wrapText="1"/>
    </xf>
    <xf numFmtId="165" fontId="0" fillId="0" borderId="0" xfId="2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diamart.com/proddetail/vacuum-circuit-breaker-2849617952230.html" TargetMode="External"/><Relationship Id="rId2" Type="http://schemas.openxmlformats.org/officeDocument/2006/relationships/hyperlink" Target="https://www.indiamart.com/proddetail/purified-water-generation-and-pw-distribution-loop-system-6911316730.html?pos=9&amp;pla=n" TargetMode="External"/><Relationship Id="rId1" Type="http://schemas.openxmlformats.org/officeDocument/2006/relationships/hyperlink" Target="https://dir.indiamart.com/impcat/high-performance-liquid-chromatographs.html" TargetMode="External"/><Relationship Id="rId4" Type="http://schemas.openxmlformats.org/officeDocument/2006/relationships/hyperlink" Target="https://www.indiamart.com/proddetail/polyurethane-flooring-services-10392858962.html?pos=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iamart.com/proddetail/pressure-relief-damper-26171007455.html?pos=12&amp;kwd=damper%20and%20filter%20ss%20304%20return&amp;tags=||||8293.604|Price|product|||TS" TargetMode="External"/><Relationship Id="rId3" Type="http://schemas.openxmlformats.org/officeDocument/2006/relationships/hyperlink" Target="https://www.indiamart.com/proddetail/high-speed-double-side-rotary-tablet-machine-2851852891097.html?pos=4" TargetMode="External"/><Relationship Id="rId7" Type="http://schemas.openxmlformats.org/officeDocument/2006/relationships/hyperlink" Target="https://www.indiamart.com/proddetail/11-0-tr-ductable-ac-make-voltas-single-circuit-22021074155.html" TargetMode="External"/><Relationship Id="rId2" Type="http://schemas.openxmlformats.org/officeDocument/2006/relationships/hyperlink" Target="https://www.aajjo.com/industrial-plants-machinery/auto-coater-machine-in-palghar-npm-pharma-industries-private-limited/product" TargetMode="External"/><Relationship Id="rId1" Type="http://schemas.openxmlformats.org/officeDocument/2006/relationships/hyperlink" Target="https://www.indiamart.com/proddetail/fully-automatic-capsule-filling-machine-sfacf-40-gmp-model-6519918712.html?pos=8&amp;pla=n" TargetMode="External"/><Relationship Id="rId6" Type="http://schemas.openxmlformats.org/officeDocument/2006/relationships/hyperlink" Target="https://www.indiamart.com/proddetail/voltas-ductable-ac-8-5-tr-r22-22466031148.html" TargetMode="External"/><Relationship Id="rId5" Type="http://schemas.openxmlformats.org/officeDocument/2006/relationships/hyperlink" Target="https://www.indiamart.com/proddetail/610x610x150-mm-hepa-filter-16179180988.html" TargetMode="External"/><Relationship Id="rId4" Type="http://schemas.openxmlformats.org/officeDocument/2006/relationships/hyperlink" Target="https://www.indiamart.com/proddetail/pressure-relief-damper-supplier-6236530312.html?pos=3" TargetMode="External"/><Relationship Id="rId9" Type="http://schemas.openxmlformats.org/officeDocument/2006/relationships/hyperlink" Target="https://www.indiamart.com/proddetail/voltas-acads05511-5-5-ton-aircooled-ductable-split-unit-singl-24259229791.html?pos=8&amp;pla=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114"/>
  <sheetViews>
    <sheetView tabSelected="1" zoomScaleNormal="100" workbookViewId="0">
      <selection activeCell="C8" sqref="C8"/>
    </sheetView>
  </sheetViews>
  <sheetFormatPr defaultRowHeight="15" x14ac:dyDescent="0.25"/>
  <cols>
    <col min="1" max="1" width="9.140625" style="28"/>
    <col min="2" max="2" width="9.140625" style="25"/>
    <col min="3" max="3" width="38.28515625" style="26" customWidth="1"/>
    <col min="4" max="4" width="34.140625" style="26" customWidth="1"/>
    <col min="5" max="5" width="6.140625" style="25" hidden="1" customWidth="1"/>
    <col min="6" max="6" width="15.5703125" style="27" hidden="1" customWidth="1"/>
    <col min="7" max="7" width="9.5703125" style="27" hidden="1" customWidth="1"/>
    <col min="8" max="8" width="20.7109375" style="27" customWidth="1"/>
    <col min="9" max="9" width="20.5703125" style="27" customWidth="1"/>
    <col min="10" max="10" width="15" style="27" hidden="1" customWidth="1"/>
    <col min="11" max="11" width="18.7109375" style="27" hidden="1" customWidth="1"/>
    <col min="12" max="12" width="15.140625" style="27" customWidth="1"/>
    <col min="13" max="13" width="36.140625" style="27" hidden="1" customWidth="1"/>
    <col min="14" max="14" width="70.85546875" style="28" hidden="1" customWidth="1"/>
    <col min="15" max="15" width="15.5703125" style="28" customWidth="1"/>
    <col min="16" max="16384" width="9.140625" style="28"/>
  </cols>
  <sheetData>
    <row r="2" spans="2:16" x14ac:dyDescent="0.25">
      <c r="H2" s="27">
        <f>SUBTOTAL(9,H4:H83)</f>
        <v>83366000.359459996</v>
      </c>
      <c r="I2" s="27">
        <f>SUBTOTAL(9,I4:I83)</f>
        <v>70649152.847000003</v>
      </c>
      <c r="L2" s="27">
        <f>SUBTOTAL(9,L4:L83)</f>
        <v>71180612</v>
      </c>
    </row>
    <row r="3" spans="2:16" ht="60" x14ac:dyDescent="0.25">
      <c r="B3" s="20" t="s">
        <v>0</v>
      </c>
      <c r="C3" s="19" t="s">
        <v>1</v>
      </c>
      <c r="D3" s="19" t="s">
        <v>2</v>
      </c>
      <c r="E3" s="23" t="s">
        <v>3</v>
      </c>
      <c r="F3" s="22" t="s">
        <v>4</v>
      </c>
      <c r="G3" s="24" t="s">
        <v>5</v>
      </c>
      <c r="H3" s="22" t="s">
        <v>315</v>
      </c>
      <c r="I3" s="22" t="s">
        <v>316</v>
      </c>
      <c r="J3" s="24" t="s">
        <v>6</v>
      </c>
      <c r="K3" s="24" t="s">
        <v>7</v>
      </c>
      <c r="L3" s="22" t="s">
        <v>305</v>
      </c>
      <c r="M3" s="24" t="s">
        <v>136</v>
      </c>
      <c r="N3" s="24" t="s">
        <v>104</v>
      </c>
    </row>
    <row r="4" spans="2:16" ht="18" customHeight="1" x14ac:dyDescent="0.25">
      <c r="B4" s="10">
        <v>1</v>
      </c>
      <c r="C4" s="18" t="s">
        <v>100</v>
      </c>
      <c r="D4" s="18" t="s">
        <v>101</v>
      </c>
      <c r="E4" s="10">
        <v>1</v>
      </c>
      <c r="F4" s="21">
        <v>6730000</v>
      </c>
      <c r="G4" s="21"/>
      <c r="H4" s="21">
        <f>1.18*I4</f>
        <v>7941400</v>
      </c>
      <c r="I4" s="21">
        <v>6730000</v>
      </c>
      <c r="J4" s="21">
        <f>F4*18/100</f>
        <v>1211400</v>
      </c>
      <c r="K4" s="21">
        <f>J4+F4</f>
        <v>7941400</v>
      </c>
      <c r="L4" s="21">
        <v>6730000</v>
      </c>
      <c r="M4" s="17" t="s">
        <v>306</v>
      </c>
      <c r="N4" s="17"/>
      <c r="P4" s="28" t="s">
        <v>307</v>
      </c>
    </row>
    <row r="5" spans="2:16" ht="16.5" customHeight="1" x14ac:dyDescent="0.25">
      <c r="B5" s="10">
        <v>2</v>
      </c>
      <c r="C5" s="18" t="s">
        <v>58</v>
      </c>
      <c r="D5" s="18" t="s">
        <v>59</v>
      </c>
      <c r="E5" s="10">
        <v>1</v>
      </c>
      <c r="F5" s="21">
        <v>4750000</v>
      </c>
      <c r="G5" s="21">
        <v>397000</v>
      </c>
      <c r="H5" s="21">
        <f>1.18*I5</f>
        <v>4900540</v>
      </c>
      <c r="I5" s="21">
        <f>F5-(G5+200000)</f>
        <v>4153000</v>
      </c>
      <c r="J5" s="21">
        <f>I5*18%</f>
        <v>747540</v>
      </c>
      <c r="K5" s="21">
        <f>J5+I5</f>
        <v>4900540</v>
      </c>
      <c r="L5" s="21">
        <v>4153000</v>
      </c>
      <c r="M5" s="17" t="str">
        <f>IF(I5=L5,$M$4,$P$4)</f>
        <v>Considered same due to unavailability of technical specifications</v>
      </c>
      <c r="N5" s="17"/>
    </row>
    <row r="6" spans="2:16" ht="45" x14ac:dyDescent="0.25">
      <c r="B6" s="10">
        <v>3</v>
      </c>
      <c r="C6" s="18" t="s">
        <v>302</v>
      </c>
      <c r="D6" s="18" t="s">
        <v>82</v>
      </c>
      <c r="E6" s="10">
        <v>1</v>
      </c>
      <c r="F6" s="21">
        <v>4143750</v>
      </c>
      <c r="G6" s="21">
        <v>0</v>
      </c>
      <c r="H6" s="21">
        <f>1.18*I6</f>
        <v>4889625</v>
      </c>
      <c r="I6" s="21">
        <v>4143750</v>
      </c>
      <c r="J6" s="21">
        <f>F6*18%</f>
        <v>745875</v>
      </c>
      <c r="K6" s="21">
        <f>J6+F6</f>
        <v>4889625</v>
      </c>
      <c r="L6" s="21">
        <v>3200000</v>
      </c>
      <c r="M6" s="17" t="s">
        <v>313</v>
      </c>
      <c r="N6" s="17"/>
    </row>
    <row r="7" spans="2:16" ht="30" x14ac:dyDescent="0.25">
      <c r="B7" s="10">
        <v>4</v>
      </c>
      <c r="C7" s="18" t="s">
        <v>76</v>
      </c>
      <c r="D7" s="18" t="s">
        <v>77</v>
      </c>
      <c r="E7" s="10">
        <v>1</v>
      </c>
      <c r="F7" s="21">
        <v>3649149.25</v>
      </c>
      <c r="G7" s="21">
        <v>0</v>
      </c>
      <c r="H7" s="21">
        <f>1.18*I7</f>
        <v>4305996.1150000002</v>
      </c>
      <c r="I7" s="21">
        <v>3649149.25</v>
      </c>
      <c r="J7" s="21">
        <f>F7*18%</f>
        <v>656846.86499999999</v>
      </c>
      <c r="K7" s="21">
        <f>J7+F7</f>
        <v>4305996.1150000002</v>
      </c>
      <c r="L7" s="21">
        <v>5043000</v>
      </c>
      <c r="M7" s="17" t="str">
        <f>IF(I7=L7,$M$4,$P$4)</f>
        <v>NA</v>
      </c>
      <c r="N7" s="17"/>
    </row>
    <row r="8" spans="2:16" ht="16.5" customHeight="1" x14ac:dyDescent="0.25">
      <c r="B8" s="10">
        <v>5</v>
      </c>
      <c r="C8" s="18" t="s">
        <v>310</v>
      </c>
      <c r="D8" s="18" t="s">
        <v>311</v>
      </c>
      <c r="E8" s="10">
        <v>1</v>
      </c>
      <c r="F8" s="21">
        <v>3600000</v>
      </c>
      <c r="G8" s="21">
        <v>0</v>
      </c>
      <c r="H8" s="21">
        <f>1.18*I8</f>
        <v>4248000</v>
      </c>
      <c r="I8" s="21">
        <f>F8-G8</f>
        <v>3600000</v>
      </c>
      <c r="J8" s="21">
        <f>I8*18%</f>
        <v>648000</v>
      </c>
      <c r="K8" s="21">
        <f>J8+I8</f>
        <v>4248000</v>
      </c>
      <c r="L8" s="21">
        <v>3600000</v>
      </c>
      <c r="M8" s="17" t="str">
        <f>IF(I8=L8,$M$4,$P$4)</f>
        <v>Considered same due to unavailability of technical specifications</v>
      </c>
      <c r="N8" s="17"/>
    </row>
    <row r="9" spans="2:16" ht="30" x14ac:dyDescent="0.25">
      <c r="B9" s="10">
        <v>6</v>
      </c>
      <c r="C9" s="18" t="s">
        <v>56</v>
      </c>
      <c r="D9" s="18" t="s">
        <v>57</v>
      </c>
      <c r="E9" s="10">
        <v>1</v>
      </c>
      <c r="F9" s="21">
        <v>3500000</v>
      </c>
      <c r="G9" s="21">
        <f>F9*3%</f>
        <v>105000</v>
      </c>
      <c r="H9" s="21">
        <f>1.18*I9</f>
        <v>4006100</v>
      </c>
      <c r="I9" s="21">
        <f>F9-G9</f>
        <v>3395000</v>
      </c>
      <c r="J9" s="21">
        <f>I9*18%</f>
        <v>611100</v>
      </c>
      <c r="K9" s="21">
        <f>J9+F9</f>
        <v>4111100</v>
      </c>
      <c r="L9" s="21">
        <v>2850000</v>
      </c>
      <c r="M9" s="17" t="str">
        <f>IF(I9=L9,$M$4,$P$4)</f>
        <v>NA</v>
      </c>
      <c r="N9" s="17" t="s">
        <v>125</v>
      </c>
    </row>
    <row r="10" spans="2:16" x14ac:dyDescent="0.25">
      <c r="B10" s="10">
        <v>7</v>
      </c>
      <c r="C10" s="18" t="s">
        <v>71</v>
      </c>
      <c r="D10" s="18" t="s">
        <v>65</v>
      </c>
      <c r="E10" s="10">
        <v>1</v>
      </c>
      <c r="F10" s="21">
        <f>3870000*0.86</f>
        <v>3328200</v>
      </c>
      <c r="G10" s="21"/>
      <c r="H10" s="21">
        <f>1.18*I10</f>
        <v>3927276</v>
      </c>
      <c r="I10" s="21">
        <f>3870000*0.86</f>
        <v>3328200</v>
      </c>
      <c r="J10" s="21"/>
      <c r="K10" s="21"/>
      <c r="L10" s="21">
        <v>3500000</v>
      </c>
      <c r="M10" s="17" t="str">
        <f>IF(I10=L10,$M$4,$P$4)</f>
        <v>NA</v>
      </c>
      <c r="N10" s="17"/>
    </row>
    <row r="11" spans="2:16" ht="18.75" customHeight="1" x14ac:dyDescent="0.25">
      <c r="B11" s="10">
        <v>8</v>
      </c>
      <c r="C11" s="18" t="s">
        <v>99</v>
      </c>
      <c r="D11" s="18" t="s">
        <v>61</v>
      </c>
      <c r="E11" s="10">
        <v>1</v>
      </c>
      <c r="F11" s="21">
        <v>3250000</v>
      </c>
      <c r="G11" s="21"/>
      <c r="H11" s="21">
        <f>1.18*I11</f>
        <v>3835000</v>
      </c>
      <c r="I11" s="21">
        <v>3250000</v>
      </c>
      <c r="J11" s="21">
        <f>F11*18/100</f>
        <v>585000</v>
      </c>
      <c r="K11" s="21">
        <f>J11+F11</f>
        <v>3835000</v>
      </c>
      <c r="L11" s="21">
        <f>25000*120</f>
        <v>3000000</v>
      </c>
      <c r="M11" s="17" t="str">
        <f>IF(I11=L11,$M$4,$P$4)</f>
        <v>NA</v>
      </c>
      <c r="N11" s="17" t="s">
        <v>282</v>
      </c>
    </row>
    <row r="12" spans="2:16" ht="16.5" customHeight="1" x14ac:dyDescent="0.25">
      <c r="B12" s="10">
        <v>9</v>
      </c>
      <c r="C12" s="18" t="s">
        <v>8</v>
      </c>
      <c r="D12" s="18" t="s">
        <v>9</v>
      </c>
      <c r="E12" s="10">
        <v>1</v>
      </c>
      <c r="F12" s="21">
        <v>3574708</v>
      </c>
      <c r="G12" s="21">
        <f>F12*9.1%</f>
        <v>325298.42800000001</v>
      </c>
      <c r="H12" s="21">
        <f>1.18*I12</f>
        <v>3834303.2949600001</v>
      </c>
      <c r="I12" s="21">
        <f>F12-G12</f>
        <v>3249409.5720000002</v>
      </c>
      <c r="J12" s="21">
        <f>F12*18%</f>
        <v>643447.43999999994</v>
      </c>
      <c r="K12" s="21">
        <f>J12+I12</f>
        <v>3892857.0120000001</v>
      </c>
      <c r="L12" s="21">
        <v>3500000</v>
      </c>
      <c r="M12" s="17" t="str">
        <f>IF(I12=L12,$M$4,$P$4)</f>
        <v>NA</v>
      </c>
      <c r="N12" s="17" t="s">
        <v>105</v>
      </c>
    </row>
    <row r="13" spans="2:16" ht="30" x14ac:dyDescent="0.25">
      <c r="B13" s="10">
        <v>10</v>
      </c>
      <c r="C13" s="18" t="s">
        <v>80</v>
      </c>
      <c r="D13" s="18" t="s">
        <v>79</v>
      </c>
      <c r="E13" s="10">
        <v>1</v>
      </c>
      <c r="F13" s="21">
        <v>2572100</v>
      </c>
      <c r="G13" s="21">
        <v>0</v>
      </c>
      <c r="H13" s="21">
        <f>1.18*I13</f>
        <v>3035078</v>
      </c>
      <c r="I13" s="21">
        <v>2572100</v>
      </c>
      <c r="J13" s="21">
        <f>F13*18%</f>
        <v>462978</v>
      </c>
      <c r="K13" s="21">
        <f>J13+F13</f>
        <v>3035078</v>
      </c>
      <c r="L13" s="21">
        <v>3100000</v>
      </c>
      <c r="M13" s="17" t="str">
        <f>IF(I13=L13,$M$4,$P$4)</f>
        <v>NA</v>
      </c>
      <c r="N13" s="17" t="s">
        <v>312</v>
      </c>
    </row>
    <row r="14" spans="2:16" ht="30" x14ac:dyDescent="0.25">
      <c r="B14" s="10">
        <v>11</v>
      </c>
      <c r="C14" s="18" t="s">
        <v>60</v>
      </c>
      <c r="D14" s="18" t="s">
        <v>61</v>
      </c>
      <c r="E14" s="10">
        <v>1</v>
      </c>
      <c r="F14" s="21">
        <v>2693096</v>
      </c>
      <c r="G14" s="21">
        <v>447220</v>
      </c>
      <c r="H14" s="21">
        <f>1.18*I14</f>
        <v>2650133.6799999997</v>
      </c>
      <c r="I14" s="21">
        <f>F14-(G14)</f>
        <v>2245876</v>
      </c>
      <c r="J14" s="21">
        <f>I14*18%</f>
        <v>404257.68</v>
      </c>
      <c r="K14" s="21">
        <f>J14+F14</f>
        <v>3097353.68</v>
      </c>
      <c r="L14" s="21">
        <v>2437150</v>
      </c>
      <c r="M14" s="17" t="str">
        <f>IF(I14=L14,$M$4,$P$4)</f>
        <v>NA</v>
      </c>
      <c r="N14" s="17"/>
    </row>
    <row r="15" spans="2:16" ht="30" x14ac:dyDescent="0.25">
      <c r="B15" s="10">
        <v>12</v>
      </c>
      <c r="C15" s="18" t="s">
        <v>67</v>
      </c>
      <c r="D15" s="18" t="s">
        <v>65</v>
      </c>
      <c r="E15" s="10">
        <v>1</v>
      </c>
      <c r="F15" s="21">
        <f>2395000*0.86</f>
        <v>2059700</v>
      </c>
      <c r="G15" s="21"/>
      <c r="H15" s="21">
        <f>1.18*I15</f>
        <v>2430446</v>
      </c>
      <c r="I15" s="21">
        <f>2395000*0.86</f>
        <v>2059700</v>
      </c>
      <c r="J15" s="21"/>
      <c r="K15" s="21"/>
      <c r="L15" s="21">
        <v>2500000</v>
      </c>
      <c r="M15" s="17" t="str">
        <f>IF(I15=L15,$M$4,$P$4)</f>
        <v>NA</v>
      </c>
      <c r="N15" s="17"/>
    </row>
    <row r="16" spans="2:16" x14ac:dyDescent="0.25">
      <c r="B16" s="10">
        <v>13</v>
      </c>
      <c r="C16" s="18" t="s">
        <v>318</v>
      </c>
      <c r="D16" s="18" t="s">
        <v>57</v>
      </c>
      <c r="E16" s="10">
        <v>1</v>
      </c>
      <c r="F16" s="21">
        <v>2000000</v>
      </c>
      <c r="G16" s="21"/>
      <c r="H16" s="21">
        <f>1.18*I16</f>
        <v>2360000</v>
      </c>
      <c r="I16" s="21">
        <v>2000000</v>
      </c>
      <c r="J16" s="21">
        <f>F16*18/100</f>
        <v>360000</v>
      </c>
      <c r="K16" s="21">
        <f>J16+F16</f>
        <v>2360000</v>
      </c>
      <c r="L16" s="21">
        <v>2080500</v>
      </c>
      <c r="M16" s="17" t="str">
        <f>IF(I16=L16,$M$4,$P$4)</f>
        <v>NA</v>
      </c>
      <c r="N16" s="17"/>
    </row>
    <row r="17" spans="2:26" ht="17.25" customHeight="1" x14ac:dyDescent="0.25">
      <c r="B17" s="10">
        <v>14</v>
      </c>
      <c r="C17" s="18" t="s">
        <v>317</v>
      </c>
      <c r="D17" s="18" t="s">
        <v>319</v>
      </c>
      <c r="E17" s="10"/>
      <c r="F17" s="21"/>
      <c r="G17" s="21"/>
      <c r="H17" s="21">
        <f>1.18*I17</f>
        <v>2192204</v>
      </c>
      <c r="I17" s="21">
        <v>1857800</v>
      </c>
      <c r="J17" s="21"/>
      <c r="K17" s="21"/>
      <c r="L17" s="21">
        <f>120*2*7300+500*305</f>
        <v>1904500</v>
      </c>
      <c r="M17" s="17" t="s">
        <v>320</v>
      </c>
      <c r="N17" s="30" t="s">
        <v>321</v>
      </c>
    </row>
    <row r="18" spans="2:26" ht="30" x14ac:dyDescent="0.25">
      <c r="B18" s="10">
        <v>15</v>
      </c>
      <c r="C18" s="18" t="s">
        <v>38</v>
      </c>
      <c r="D18" s="18" t="s">
        <v>39</v>
      </c>
      <c r="E18" s="10">
        <v>1</v>
      </c>
      <c r="F18" s="21">
        <v>2020000</v>
      </c>
      <c r="G18" s="21">
        <f>F18*12%</f>
        <v>242400</v>
      </c>
      <c r="H18" s="21">
        <f>1.18*I18</f>
        <v>2097568</v>
      </c>
      <c r="I18" s="21">
        <f>F18-G18</f>
        <v>1777600</v>
      </c>
      <c r="J18" s="21">
        <f>I18*18%</f>
        <v>319968</v>
      </c>
      <c r="K18" s="21">
        <f>J18+I18</f>
        <v>2097568</v>
      </c>
      <c r="L18" s="21">
        <v>1500000</v>
      </c>
      <c r="M18" s="17" t="str">
        <f>IF(I18=L18,$M$4,$P$4)</f>
        <v>NA</v>
      </c>
      <c r="N18" s="17" t="s">
        <v>127</v>
      </c>
    </row>
    <row r="19" spans="2:26" ht="18" customHeight="1" x14ac:dyDescent="0.25">
      <c r="B19" s="10">
        <v>16</v>
      </c>
      <c r="C19" s="18" t="s">
        <v>97</v>
      </c>
      <c r="D19" s="18" t="s">
        <v>98</v>
      </c>
      <c r="E19" s="10">
        <v>1</v>
      </c>
      <c r="F19" s="21">
        <v>1705512</v>
      </c>
      <c r="G19" s="21">
        <f>F19*5%</f>
        <v>85275.6</v>
      </c>
      <c r="H19" s="21">
        <f>1.18*I19</f>
        <v>1911878.9519999998</v>
      </c>
      <c r="I19" s="21">
        <f>F19-G19</f>
        <v>1620236.4</v>
      </c>
      <c r="J19" s="21">
        <f>I19*18%</f>
        <v>291642.55199999997</v>
      </c>
      <c r="K19" s="21">
        <f>J19+I19</f>
        <v>1911878.9519999998</v>
      </c>
      <c r="L19" s="21">
        <v>1599480</v>
      </c>
      <c r="M19" s="17" t="str">
        <f>IF(I19=L19,$M$4,$P$4)</f>
        <v>NA</v>
      </c>
      <c r="N19" s="17"/>
    </row>
    <row r="20" spans="2:26" ht="30" x14ac:dyDescent="0.25">
      <c r="B20" s="10">
        <v>17</v>
      </c>
      <c r="C20" s="18" t="s">
        <v>78</v>
      </c>
      <c r="D20" s="18" t="s">
        <v>79</v>
      </c>
      <c r="E20" s="10">
        <v>1</v>
      </c>
      <c r="F20" s="21">
        <v>1408450</v>
      </c>
      <c r="G20" s="21">
        <v>0</v>
      </c>
      <c r="H20" s="21">
        <f>1.18*I20</f>
        <v>1661971</v>
      </c>
      <c r="I20" s="21">
        <v>1408450</v>
      </c>
      <c r="J20" s="21">
        <f>F20*18%</f>
        <v>253521</v>
      </c>
      <c r="K20" s="21">
        <f>J20+F20</f>
        <v>1661971</v>
      </c>
      <c r="L20" s="21">
        <v>1000000</v>
      </c>
      <c r="M20" s="17" t="s">
        <v>314</v>
      </c>
      <c r="N20" s="17"/>
    </row>
    <row r="21" spans="2:26" ht="30" x14ac:dyDescent="0.25">
      <c r="B21" s="10">
        <v>18</v>
      </c>
      <c r="C21" s="18" t="s">
        <v>81</v>
      </c>
      <c r="D21" s="18" t="s">
        <v>82</v>
      </c>
      <c r="E21" s="10">
        <v>1</v>
      </c>
      <c r="F21" s="21">
        <v>1360000</v>
      </c>
      <c r="G21" s="21">
        <v>0</v>
      </c>
      <c r="H21" s="21">
        <f>1.18*I21</f>
        <v>1604800</v>
      </c>
      <c r="I21" s="21">
        <v>1360000</v>
      </c>
      <c r="J21" s="21">
        <f>F21*18%</f>
        <v>244800</v>
      </c>
      <c r="K21" s="21">
        <f>J21+F21</f>
        <v>1604800</v>
      </c>
      <c r="L21" s="21">
        <v>1300000</v>
      </c>
      <c r="M21" s="17" t="str">
        <f>IF(I21=L21,$M$4,$P$4)</f>
        <v>NA</v>
      </c>
      <c r="N21" s="17"/>
      <c r="R21" s="18" t="s">
        <v>102</v>
      </c>
      <c r="S21" s="18"/>
      <c r="T21" s="10">
        <v>1</v>
      </c>
      <c r="U21" s="21">
        <v>1500000</v>
      </c>
      <c r="V21" s="21"/>
      <c r="W21" s="21">
        <v>1500000</v>
      </c>
      <c r="X21" s="21">
        <f>U21*18/100</f>
        <v>270000</v>
      </c>
      <c r="Y21" s="21">
        <f>X21+U21</f>
        <v>1770000</v>
      </c>
      <c r="Z21" s="21">
        <v>1500000</v>
      </c>
    </row>
    <row r="22" spans="2:26" x14ac:dyDescent="0.25">
      <c r="B22" s="10">
        <v>19</v>
      </c>
      <c r="C22" s="18" t="s">
        <v>84</v>
      </c>
      <c r="D22" s="18" t="s">
        <v>85</v>
      </c>
      <c r="E22" s="10">
        <v>2</v>
      </c>
      <c r="F22" s="21">
        <v>1380000</v>
      </c>
      <c r="G22" s="21">
        <f>F22*5%</f>
        <v>69000</v>
      </c>
      <c r="H22" s="21">
        <f>1.18*I22</f>
        <v>1546980</v>
      </c>
      <c r="I22" s="21">
        <f>F22-G22</f>
        <v>1311000</v>
      </c>
      <c r="J22" s="21">
        <f>I22*18%</f>
        <v>235980</v>
      </c>
      <c r="K22" s="21">
        <f>J22+I22</f>
        <v>1546980</v>
      </c>
      <c r="L22" s="21">
        <f>700000*2</f>
        <v>1400000</v>
      </c>
      <c r="M22" s="17" t="str">
        <f>IF(I22=L22,$M$4,$P$4)</f>
        <v>NA</v>
      </c>
      <c r="N22" s="17" t="s">
        <v>126</v>
      </c>
    </row>
    <row r="23" spans="2:26" ht="15.75" customHeight="1" x14ac:dyDescent="0.25">
      <c r="B23" s="10">
        <v>20</v>
      </c>
      <c r="C23" s="18" t="s">
        <v>95</v>
      </c>
      <c r="D23" s="18" t="s">
        <v>96</v>
      </c>
      <c r="E23" s="10">
        <v>1</v>
      </c>
      <c r="F23" s="21">
        <f>2606190/2</f>
        <v>1303095</v>
      </c>
      <c r="G23" s="21">
        <v>0</v>
      </c>
      <c r="H23" s="21">
        <f>1.18*I23</f>
        <v>1537652.0999999999</v>
      </c>
      <c r="I23" s="21">
        <f>F23</f>
        <v>1303095</v>
      </c>
      <c r="J23" s="21">
        <f>I23*18%</f>
        <v>234557.1</v>
      </c>
      <c r="K23" s="21">
        <f>J23+I23</f>
        <v>1537652.1</v>
      </c>
      <c r="L23" s="21">
        <v>1303095</v>
      </c>
      <c r="M23" s="17" t="str">
        <f>IF(I23=L23,$M$4,$P$4)</f>
        <v>Considered same due to unavailability of technical specifications</v>
      </c>
      <c r="N23" s="17"/>
    </row>
    <row r="24" spans="2:26" ht="30" x14ac:dyDescent="0.25">
      <c r="B24" s="10">
        <v>21</v>
      </c>
      <c r="C24" s="18" t="s">
        <v>68</v>
      </c>
      <c r="D24" s="18" t="s">
        <v>65</v>
      </c>
      <c r="E24" s="10">
        <v>1</v>
      </c>
      <c r="F24" s="21">
        <f>1433000*0.86</f>
        <v>1232380</v>
      </c>
      <c r="G24" s="21"/>
      <c r="H24" s="21">
        <f>1.18*I24</f>
        <v>1454208.4</v>
      </c>
      <c r="I24" s="21">
        <f>1433000*0.86</f>
        <v>1232380</v>
      </c>
      <c r="J24" s="21"/>
      <c r="K24" s="21"/>
      <c r="L24" s="21">
        <v>1150000</v>
      </c>
      <c r="M24" s="17" t="str">
        <f>IF(I24=L24,$M$4,$P$4)</f>
        <v>NA</v>
      </c>
      <c r="N24" s="17"/>
    </row>
    <row r="25" spans="2:26" ht="15.75" customHeight="1" x14ac:dyDescent="0.25">
      <c r="B25" s="10">
        <v>22</v>
      </c>
      <c r="C25" s="18" t="s">
        <v>45</v>
      </c>
      <c r="D25" s="18" t="s">
        <v>46</v>
      </c>
      <c r="E25" s="10">
        <v>1</v>
      </c>
      <c r="F25" s="21">
        <v>1342095.5</v>
      </c>
      <c r="G25" s="21">
        <f>F25*25%</f>
        <v>335523.875</v>
      </c>
      <c r="H25" s="21">
        <f>1.18*I25</f>
        <v>1187754.5174999998</v>
      </c>
      <c r="I25" s="21">
        <f>F25-G25</f>
        <v>1006571.625</v>
      </c>
      <c r="J25" s="21">
        <f>I25*18%</f>
        <v>181182.89249999999</v>
      </c>
      <c r="K25" s="21">
        <f>J25+I25</f>
        <v>1187754.5175000001</v>
      </c>
      <c r="L25" s="21">
        <v>1100000</v>
      </c>
      <c r="M25" s="17" t="str">
        <f>IF(I25=L25,$M$4,$P$4)</f>
        <v>NA</v>
      </c>
      <c r="N25" s="17" t="s">
        <v>110</v>
      </c>
    </row>
    <row r="26" spans="2:26" x14ac:dyDescent="0.25">
      <c r="B26" s="10">
        <v>23</v>
      </c>
      <c r="C26" s="18" t="s">
        <v>70</v>
      </c>
      <c r="D26" s="18" t="s">
        <v>65</v>
      </c>
      <c r="E26" s="10">
        <v>1</v>
      </c>
      <c r="F26" s="21">
        <f>1090000*0.86</f>
        <v>937400</v>
      </c>
      <c r="G26" s="21"/>
      <c r="H26" s="21">
        <f>1.18*I26</f>
        <v>1106132</v>
      </c>
      <c r="I26" s="21">
        <f>1090000*0.86</f>
        <v>937400</v>
      </c>
      <c r="J26" s="21"/>
      <c r="K26" s="21"/>
      <c r="L26" s="21">
        <v>1000000</v>
      </c>
      <c r="M26" s="17" t="str">
        <f>IF(I26=L26,$M$4,$P$4)</f>
        <v>NA</v>
      </c>
      <c r="N26" s="17"/>
    </row>
    <row r="27" spans="2:26" x14ac:dyDescent="0.25">
      <c r="B27" s="10">
        <v>24</v>
      </c>
      <c r="C27" s="18" t="s">
        <v>32</v>
      </c>
      <c r="D27" s="18" t="s">
        <v>11</v>
      </c>
      <c r="E27" s="10">
        <v>2</v>
      </c>
      <c r="F27" s="21">
        <f>E27*673800</f>
        <v>1347600</v>
      </c>
      <c r="G27" s="21">
        <f>F27*35%</f>
        <v>471659.99999999994</v>
      </c>
      <c r="H27" s="21">
        <f>1.18*I27</f>
        <v>1033609.2</v>
      </c>
      <c r="I27" s="21">
        <f>F27-G27</f>
        <v>875940</v>
      </c>
      <c r="J27" s="21">
        <f>I27*18%</f>
        <v>157669.19999999998</v>
      </c>
      <c r="K27" s="21">
        <f>J27+I27</f>
        <v>1033609.2</v>
      </c>
      <c r="L27" s="21">
        <f>440000*2*0.8</f>
        <v>704000</v>
      </c>
      <c r="M27" s="17" t="str">
        <f>IF(I27=L27,$M$4,$P$4)</f>
        <v>NA</v>
      </c>
      <c r="N27" s="17"/>
    </row>
    <row r="28" spans="2:26" ht="17.25" customHeight="1" x14ac:dyDescent="0.25">
      <c r="B28" s="10">
        <v>25</v>
      </c>
      <c r="C28" s="18" t="s">
        <v>54</v>
      </c>
      <c r="D28" s="18" t="s">
        <v>51</v>
      </c>
      <c r="E28" s="10">
        <v>1</v>
      </c>
      <c r="F28" s="21">
        <v>900000</v>
      </c>
      <c r="G28" s="21">
        <f>F28*5.5%</f>
        <v>49500</v>
      </c>
      <c r="H28" s="21">
        <f>1.18*I28</f>
        <v>1027190</v>
      </c>
      <c r="I28" s="21">
        <f>F28-(G28-20000)</f>
        <v>870500</v>
      </c>
      <c r="J28" s="21">
        <f>F28*18%</f>
        <v>162000</v>
      </c>
      <c r="K28" s="21">
        <f>J28+I28</f>
        <v>1032500</v>
      </c>
      <c r="L28" s="21">
        <v>1200000</v>
      </c>
      <c r="M28" s="17" t="str">
        <f>IF(I28=L28,$M$4,$P$4)</f>
        <v>NA</v>
      </c>
      <c r="N28" s="17" t="s">
        <v>115</v>
      </c>
    </row>
    <row r="29" spans="2:26" ht="45" x14ac:dyDescent="0.25">
      <c r="B29" s="10">
        <v>26</v>
      </c>
      <c r="C29" s="18" t="s">
        <v>303</v>
      </c>
      <c r="D29" s="18" t="s">
        <v>75</v>
      </c>
      <c r="E29" s="10">
        <v>1</v>
      </c>
      <c r="F29" s="21">
        <v>801550</v>
      </c>
      <c r="G29" s="21">
        <v>0</v>
      </c>
      <c r="H29" s="21">
        <f>1.18*I29</f>
        <v>945829</v>
      </c>
      <c r="I29" s="21">
        <v>801550</v>
      </c>
      <c r="J29" s="21">
        <f>F29*18%</f>
        <v>144279</v>
      </c>
      <c r="K29" s="21">
        <f>J29+F29</f>
        <v>945829</v>
      </c>
      <c r="L29" s="21">
        <v>300000</v>
      </c>
      <c r="M29" s="17" t="str">
        <f>IF(I29=L29,$M$4,$P$4)</f>
        <v>NA</v>
      </c>
      <c r="N29" s="17"/>
    </row>
    <row r="30" spans="2:26" ht="17.25" customHeight="1" x14ac:dyDescent="0.25">
      <c r="B30" s="10">
        <v>27</v>
      </c>
      <c r="C30" s="18" t="s">
        <v>94</v>
      </c>
      <c r="D30" s="18" t="s">
        <v>51</v>
      </c>
      <c r="E30" s="10">
        <v>1</v>
      </c>
      <c r="F30" s="21">
        <v>700000</v>
      </c>
      <c r="G30" s="21">
        <v>0</v>
      </c>
      <c r="H30" s="21">
        <f>1.18*I30</f>
        <v>826000</v>
      </c>
      <c r="I30" s="21">
        <f>F30</f>
        <v>700000</v>
      </c>
      <c r="J30" s="21">
        <f>I30*18%</f>
        <v>126000</v>
      </c>
      <c r="K30" s="21">
        <f>J30+I30</f>
        <v>826000</v>
      </c>
      <c r="L30" s="21">
        <v>550000</v>
      </c>
      <c r="M30" s="17" t="str">
        <f>IF(I30=L30,$M$4,$P$4)</f>
        <v>NA</v>
      </c>
      <c r="N30" s="17" t="s">
        <v>124</v>
      </c>
    </row>
    <row r="31" spans="2:26" x14ac:dyDescent="0.25">
      <c r="B31" s="10">
        <v>28</v>
      </c>
      <c r="C31" s="18" t="s">
        <v>284</v>
      </c>
      <c r="D31" s="18" t="s">
        <v>86</v>
      </c>
      <c r="E31" s="10">
        <v>2</v>
      </c>
      <c r="F31" s="21">
        <v>735600</v>
      </c>
      <c r="G31" s="21">
        <f>F31*5%</f>
        <v>36780</v>
      </c>
      <c r="H31" s="21">
        <f>1.18*I31</f>
        <v>824607.6</v>
      </c>
      <c r="I31" s="21">
        <f>F31-G31</f>
        <v>698820</v>
      </c>
      <c r="J31" s="21">
        <f>I31*18%</f>
        <v>125787.59999999999</v>
      </c>
      <c r="K31" s="21">
        <f>J31+I31</f>
        <v>824607.6</v>
      </c>
      <c r="L31" s="21">
        <f>180000*2+7600*30+20000</f>
        <v>608000</v>
      </c>
      <c r="M31" s="17" t="str">
        <f>IF(I31=L31,$M$4,$P$4)</f>
        <v>NA</v>
      </c>
      <c r="N31" s="17" t="s">
        <v>119</v>
      </c>
    </row>
    <row r="32" spans="2:26" ht="16.5" customHeight="1" x14ac:dyDescent="0.25">
      <c r="B32" s="10">
        <v>29</v>
      </c>
      <c r="C32" s="18" t="s">
        <v>62</v>
      </c>
      <c r="D32" s="18" t="s">
        <v>63</v>
      </c>
      <c r="E32" s="10">
        <v>1</v>
      </c>
      <c r="F32" s="21">
        <v>650000</v>
      </c>
      <c r="G32" s="21"/>
      <c r="H32" s="21">
        <f>1.18*I32</f>
        <v>767000</v>
      </c>
      <c r="I32" s="21">
        <v>650000</v>
      </c>
      <c r="J32" s="21">
        <f>F32*18%</f>
        <v>117000</v>
      </c>
      <c r="K32" s="21">
        <f>J32+F32</f>
        <v>767000</v>
      </c>
      <c r="L32" s="21">
        <f>450000+80000</f>
        <v>530000</v>
      </c>
      <c r="M32" s="17" t="str">
        <f>IF(I32=L32,$M$4,$P$4)</f>
        <v>NA</v>
      </c>
      <c r="N32" s="17" t="s">
        <v>117</v>
      </c>
    </row>
    <row r="33" spans="2:14" ht="30" x14ac:dyDescent="0.25">
      <c r="B33" s="10">
        <v>30</v>
      </c>
      <c r="C33" s="18" t="s">
        <v>33</v>
      </c>
      <c r="D33" s="18" t="s">
        <v>11</v>
      </c>
      <c r="E33" s="10">
        <v>4</v>
      </c>
      <c r="F33" s="21">
        <f>E33*158000</f>
        <v>632000</v>
      </c>
      <c r="G33" s="21">
        <f>F33*10%</f>
        <v>63200</v>
      </c>
      <c r="H33" s="21">
        <f>1.18*I33</f>
        <v>671184</v>
      </c>
      <c r="I33" s="21">
        <f>F33-G33</f>
        <v>568800</v>
      </c>
      <c r="J33" s="21">
        <f>I33*18%</f>
        <v>102384</v>
      </c>
      <c r="K33" s="21">
        <f>J33+I33</f>
        <v>671184</v>
      </c>
      <c r="L33" s="21">
        <f>224500*4*0.8</f>
        <v>718400</v>
      </c>
      <c r="M33" s="17" t="str">
        <f>IF(I33=L33,$M$4,$P$4)</f>
        <v>NA</v>
      </c>
      <c r="N33" s="17"/>
    </row>
    <row r="34" spans="2:14" ht="16.5" customHeight="1" x14ac:dyDescent="0.25">
      <c r="B34" s="10">
        <v>31</v>
      </c>
      <c r="C34" s="18" t="s">
        <v>83</v>
      </c>
      <c r="D34" s="18" t="s">
        <v>51</v>
      </c>
      <c r="E34" s="10">
        <v>1</v>
      </c>
      <c r="F34" s="21">
        <v>491500</v>
      </c>
      <c r="G34" s="21">
        <f>F34*3%</f>
        <v>14745</v>
      </c>
      <c r="H34" s="21">
        <f>1.18*I34</f>
        <v>562570.9</v>
      </c>
      <c r="I34" s="21">
        <f>F34-G34</f>
        <v>476755</v>
      </c>
      <c r="J34" s="21">
        <f>I34*18%</f>
        <v>85815.9</v>
      </c>
      <c r="K34" s="21">
        <f>J34+I34</f>
        <v>562570.9</v>
      </c>
      <c r="L34" s="21">
        <v>400000</v>
      </c>
      <c r="M34" s="17" t="str">
        <f>IF(I34=L34,$M$4,$P$4)</f>
        <v>NA</v>
      </c>
      <c r="N34" s="17" t="s">
        <v>118</v>
      </c>
    </row>
    <row r="35" spans="2:14" ht="18" customHeight="1" x14ac:dyDescent="0.25">
      <c r="B35" s="10">
        <v>32</v>
      </c>
      <c r="C35" s="18" t="s">
        <v>50</v>
      </c>
      <c r="D35" s="18" t="s">
        <v>51</v>
      </c>
      <c r="E35" s="10">
        <v>1</v>
      </c>
      <c r="F35" s="21">
        <v>473000</v>
      </c>
      <c r="G35" s="21">
        <f>F35*2%</f>
        <v>9460</v>
      </c>
      <c r="H35" s="21">
        <f>1.18*I35</f>
        <v>546977.19999999995</v>
      </c>
      <c r="I35" s="21">
        <f>F35-G35</f>
        <v>463540</v>
      </c>
      <c r="J35" s="21">
        <f>I35*18%</f>
        <v>83437.2</v>
      </c>
      <c r="K35" s="21">
        <f>J35+I35</f>
        <v>546977.19999999995</v>
      </c>
      <c r="L35" s="21">
        <v>475000</v>
      </c>
      <c r="M35" s="17" t="str">
        <f>IF(I35=L35,$M$4,$P$4)</f>
        <v>NA</v>
      </c>
      <c r="N35" s="17" t="s">
        <v>113</v>
      </c>
    </row>
    <row r="36" spans="2:14" ht="30" x14ac:dyDescent="0.25">
      <c r="B36" s="10">
        <v>33</v>
      </c>
      <c r="C36" s="18" t="s">
        <v>91</v>
      </c>
      <c r="D36" s="18" t="s">
        <v>88</v>
      </c>
      <c r="E36" s="10">
        <v>150</v>
      </c>
      <c r="F36" s="21">
        <f>E36*3000</f>
        <v>450000</v>
      </c>
      <c r="G36" s="21"/>
      <c r="H36" s="21">
        <f>1.18*I36</f>
        <v>531000</v>
      </c>
      <c r="I36" s="21">
        <f>F36</f>
        <v>450000</v>
      </c>
      <c r="J36" s="21">
        <f>I36*18%</f>
        <v>81000</v>
      </c>
      <c r="K36" s="21">
        <f>J36+I36</f>
        <v>531000</v>
      </c>
      <c r="L36" s="21">
        <f>2500*150</f>
        <v>375000</v>
      </c>
      <c r="M36" s="17" t="str">
        <f>IF(I36=L36,$M$4,$P$4)</f>
        <v>NA</v>
      </c>
      <c r="N36" s="17" t="s">
        <v>123</v>
      </c>
    </row>
    <row r="37" spans="2:14" x14ac:dyDescent="0.25">
      <c r="B37" s="10">
        <v>34</v>
      </c>
      <c r="C37" s="18" t="s">
        <v>87</v>
      </c>
      <c r="D37" s="18" t="s">
        <v>88</v>
      </c>
      <c r="E37" s="10">
        <v>2</v>
      </c>
      <c r="F37" s="21">
        <f>E37*220000</f>
        <v>440000</v>
      </c>
      <c r="G37" s="21">
        <f>F37*10%</f>
        <v>44000</v>
      </c>
      <c r="H37" s="21">
        <f>1.18*I37</f>
        <v>467280</v>
      </c>
      <c r="I37" s="21">
        <f>F37-G37</f>
        <v>396000</v>
      </c>
      <c r="J37" s="21">
        <f>I37*18%</f>
        <v>71280</v>
      </c>
      <c r="K37" s="21">
        <f>J37+I37</f>
        <v>467280</v>
      </c>
      <c r="L37" s="21">
        <f>170000*2</f>
        <v>340000</v>
      </c>
      <c r="M37" s="17" t="str">
        <f>IF(I37=L37,$M$4,$P$4)</f>
        <v>NA</v>
      </c>
      <c r="N37" s="17" t="s">
        <v>121</v>
      </c>
    </row>
    <row r="38" spans="2:14" ht="30" x14ac:dyDescent="0.25">
      <c r="B38" s="10">
        <v>35</v>
      </c>
      <c r="C38" s="18" t="s">
        <v>74</v>
      </c>
      <c r="D38" s="18" t="s">
        <v>65</v>
      </c>
      <c r="E38" s="10">
        <v>1</v>
      </c>
      <c r="F38" s="21">
        <f>420000*0.86</f>
        <v>361200</v>
      </c>
      <c r="G38" s="21"/>
      <c r="H38" s="21">
        <f>1.18*I38</f>
        <v>426216</v>
      </c>
      <c r="I38" s="21">
        <f>420000*0.86</f>
        <v>361200</v>
      </c>
      <c r="J38" s="21"/>
      <c r="K38" s="21"/>
      <c r="L38" s="21">
        <v>300000</v>
      </c>
      <c r="M38" s="17" t="str">
        <f>IF(I38=L38,$M$4,$P$4)</f>
        <v>NA</v>
      </c>
      <c r="N38" s="17"/>
    </row>
    <row r="39" spans="2:14" ht="16.5" customHeight="1" x14ac:dyDescent="0.25">
      <c r="B39" s="10">
        <v>36</v>
      </c>
      <c r="C39" s="18" t="s">
        <v>53</v>
      </c>
      <c r="D39" s="18" t="s">
        <v>51</v>
      </c>
      <c r="E39" s="10">
        <v>1</v>
      </c>
      <c r="F39" s="21">
        <v>330000</v>
      </c>
      <c r="G39" s="21">
        <f>F39*2%</f>
        <v>6600</v>
      </c>
      <c r="H39" s="21">
        <f>1.18*I39</f>
        <v>381612</v>
      </c>
      <c r="I39" s="21">
        <f>F39-G39</f>
        <v>323400</v>
      </c>
      <c r="J39" s="21">
        <f>I39*18%</f>
        <v>58212</v>
      </c>
      <c r="K39" s="21">
        <f>J39+I39</f>
        <v>381612</v>
      </c>
      <c r="L39" s="21">
        <v>365000</v>
      </c>
      <c r="M39" s="17" t="str">
        <f>IF(I39=L39,$M$4,$P$4)</f>
        <v>NA</v>
      </c>
      <c r="N39" s="30" t="s">
        <v>114</v>
      </c>
    </row>
    <row r="40" spans="2:14" ht="30" x14ac:dyDescent="0.25">
      <c r="B40" s="10">
        <v>37</v>
      </c>
      <c r="C40" s="18" t="s">
        <v>73</v>
      </c>
      <c r="D40" s="18" t="s">
        <v>65</v>
      </c>
      <c r="E40" s="10">
        <v>1</v>
      </c>
      <c r="F40" s="21">
        <f>350000*0.86</f>
        <v>301000</v>
      </c>
      <c r="G40" s="21"/>
      <c r="H40" s="21">
        <f>1.18*I40</f>
        <v>355180</v>
      </c>
      <c r="I40" s="21">
        <f>350000*0.86</f>
        <v>301000</v>
      </c>
      <c r="J40" s="21"/>
      <c r="K40" s="21"/>
      <c r="L40" s="21">
        <v>265000</v>
      </c>
      <c r="M40" s="17" t="str">
        <f>IF(I40=L40,$M$4,$P$4)</f>
        <v>NA</v>
      </c>
      <c r="N40" s="17"/>
    </row>
    <row r="41" spans="2:14" ht="30" x14ac:dyDescent="0.25">
      <c r="B41" s="10">
        <v>38</v>
      </c>
      <c r="C41" s="18" t="s">
        <v>66</v>
      </c>
      <c r="D41" s="18" t="s">
        <v>65</v>
      </c>
      <c r="E41" s="10">
        <v>1</v>
      </c>
      <c r="F41" s="21">
        <f>295000*0.86</f>
        <v>253700</v>
      </c>
      <c r="G41" s="21"/>
      <c r="H41" s="21">
        <f>1.18*I41</f>
        <v>299366</v>
      </c>
      <c r="I41" s="21">
        <f>295000*0.86</f>
        <v>253700</v>
      </c>
      <c r="J41" s="21"/>
      <c r="K41" s="21"/>
      <c r="L41" s="21">
        <v>200000</v>
      </c>
      <c r="M41" s="17" t="str">
        <f>IF(I41=L41,$M$4,$P$4)</f>
        <v>NA</v>
      </c>
      <c r="N41" s="17"/>
    </row>
    <row r="42" spans="2:14" ht="16.5" customHeight="1" x14ac:dyDescent="0.25">
      <c r="B42" s="10">
        <v>39</v>
      </c>
      <c r="C42" s="18" t="s">
        <v>55</v>
      </c>
      <c r="D42" s="18" t="s">
        <v>51</v>
      </c>
      <c r="E42" s="10">
        <v>1</v>
      </c>
      <c r="F42" s="21">
        <v>250000</v>
      </c>
      <c r="G42" s="21">
        <v>0</v>
      </c>
      <c r="H42" s="21">
        <f>1.18*I42</f>
        <v>295000</v>
      </c>
      <c r="I42" s="21">
        <f>F42-G42</f>
        <v>250000</v>
      </c>
      <c r="J42" s="21">
        <f>I42*18%</f>
        <v>45000</v>
      </c>
      <c r="K42" s="21">
        <f>I42+J42</f>
        <v>295000</v>
      </c>
      <c r="L42" s="21">
        <v>315000</v>
      </c>
      <c r="M42" s="17" t="str">
        <f>IF(I42=L42,$M$4,$P$4)</f>
        <v>NA</v>
      </c>
      <c r="N42" s="17" t="s">
        <v>116</v>
      </c>
    </row>
    <row r="43" spans="2:14" ht="15.75" customHeight="1" x14ac:dyDescent="0.25">
      <c r="B43" s="10">
        <v>40</v>
      </c>
      <c r="C43" s="18" t="s">
        <v>52</v>
      </c>
      <c r="D43" s="18" t="s">
        <v>51</v>
      </c>
      <c r="E43" s="10">
        <v>1</v>
      </c>
      <c r="F43" s="21">
        <v>242000</v>
      </c>
      <c r="G43" s="21">
        <f>F43*2%</f>
        <v>4840</v>
      </c>
      <c r="H43" s="21">
        <f>1.18*I43</f>
        <v>279848.8</v>
      </c>
      <c r="I43" s="21">
        <f>F43-G43</f>
        <v>237160</v>
      </c>
      <c r="J43" s="21">
        <f>I43*18%</f>
        <v>42688.799999999996</v>
      </c>
      <c r="K43" s="21">
        <f>J43+I43</f>
        <v>279848.8</v>
      </c>
      <c r="L43" s="21">
        <v>290000</v>
      </c>
      <c r="M43" s="17" t="str">
        <f>IF(I43=L43,$M$4,$P$4)</f>
        <v>NA</v>
      </c>
      <c r="N43" s="17" t="s">
        <v>128</v>
      </c>
    </row>
    <row r="44" spans="2:14" ht="18" customHeight="1" x14ac:dyDescent="0.25">
      <c r="B44" s="10">
        <v>41</v>
      </c>
      <c r="C44" s="18" t="s">
        <v>89</v>
      </c>
      <c r="D44" s="18" t="s">
        <v>88</v>
      </c>
      <c r="E44" s="10">
        <v>2</v>
      </c>
      <c r="F44" s="21">
        <f>E44*120000</f>
        <v>240000</v>
      </c>
      <c r="G44" s="21">
        <f>F44*10%</f>
        <v>24000</v>
      </c>
      <c r="H44" s="21">
        <f>1.18*I44</f>
        <v>254880</v>
      </c>
      <c r="I44" s="21">
        <f>F44-G44</f>
        <v>216000</v>
      </c>
      <c r="J44" s="21">
        <f>I44*18%</f>
        <v>38880</v>
      </c>
      <c r="K44" s="21">
        <f>J44+I44</f>
        <v>254880</v>
      </c>
      <c r="L44" s="21">
        <f>150000*2</f>
        <v>300000</v>
      </c>
      <c r="M44" s="17" t="str">
        <f>IF(I44=L44,$M$4,$P$4)</f>
        <v>NA</v>
      </c>
      <c r="N44" s="17" t="s">
        <v>120</v>
      </c>
    </row>
    <row r="45" spans="2:14" x14ac:dyDescent="0.25">
      <c r="B45" s="10">
        <v>42</v>
      </c>
      <c r="C45" s="18" t="s">
        <v>64</v>
      </c>
      <c r="D45" s="18" t="s">
        <v>65</v>
      </c>
      <c r="E45" s="10">
        <v>2</v>
      </c>
      <c r="F45" s="21">
        <f>237500*0.86</f>
        <v>204250</v>
      </c>
      <c r="G45" s="21"/>
      <c r="H45" s="21">
        <f>1.18*I45</f>
        <v>241015</v>
      </c>
      <c r="I45" s="21">
        <f>237500*0.86</f>
        <v>204250</v>
      </c>
      <c r="J45" s="21">
        <f>F45*18%</f>
        <v>36765</v>
      </c>
      <c r="K45" s="21">
        <f>J45+F45</f>
        <v>241015</v>
      </c>
      <c r="L45" s="21">
        <f>105000*2</f>
        <v>210000</v>
      </c>
      <c r="M45" s="17" t="str">
        <f>IF(I45=L45,$M$4,$P$4)</f>
        <v>NA</v>
      </c>
      <c r="N45" s="17"/>
    </row>
    <row r="46" spans="2:14" ht="30" x14ac:dyDescent="0.25">
      <c r="B46" s="10">
        <v>43</v>
      </c>
      <c r="C46" s="18" t="s">
        <v>35</v>
      </c>
      <c r="D46" s="18" t="s">
        <v>11</v>
      </c>
      <c r="E46" s="10">
        <v>1</v>
      </c>
      <c r="F46" s="21">
        <v>250000</v>
      </c>
      <c r="G46" s="21">
        <f>F46*25%</f>
        <v>62500</v>
      </c>
      <c r="H46" s="21">
        <f>1.18*I46</f>
        <v>221250</v>
      </c>
      <c r="I46" s="21">
        <f>F46-G46</f>
        <v>187500</v>
      </c>
      <c r="J46" s="21">
        <f>I46*18%</f>
        <v>33750</v>
      </c>
      <c r="K46" s="21">
        <f>J46+I46</f>
        <v>221250</v>
      </c>
      <c r="L46" s="21">
        <f>0.7*250000</f>
        <v>175000</v>
      </c>
      <c r="M46" s="17" t="str">
        <f>IF(I46=L46,$M$4,$P$4)</f>
        <v>NA</v>
      </c>
      <c r="N46" s="17"/>
    </row>
    <row r="47" spans="2:14" ht="30" x14ac:dyDescent="0.25">
      <c r="B47" s="10">
        <v>44</v>
      </c>
      <c r="C47" s="18" t="s">
        <v>90</v>
      </c>
      <c r="D47" s="18" t="s">
        <v>88</v>
      </c>
      <c r="E47" s="10">
        <v>2</v>
      </c>
      <c r="F47" s="21">
        <f>E47*96500</f>
        <v>193000</v>
      </c>
      <c r="G47" s="21">
        <f>F47*5%</f>
        <v>9650</v>
      </c>
      <c r="H47" s="21">
        <f>1.18*I47</f>
        <v>216353</v>
      </c>
      <c r="I47" s="21">
        <f>F47-G47</f>
        <v>183350</v>
      </c>
      <c r="J47" s="21">
        <f>I47*18%</f>
        <v>33003</v>
      </c>
      <c r="K47" s="21">
        <f>J47+I47</f>
        <v>216353</v>
      </c>
      <c r="L47" s="21">
        <f>107562*2</f>
        <v>215124</v>
      </c>
      <c r="M47" s="17" t="str">
        <f>IF(I47=L47,$M$4,$P$4)</f>
        <v>NA</v>
      </c>
      <c r="N47" s="17" t="s">
        <v>122</v>
      </c>
    </row>
    <row r="48" spans="2:14" ht="17.25" customHeight="1" x14ac:dyDescent="0.25">
      <c r="B48" s="10">
        <v>45</v>
      </c>
      <c r="C48" s="18" t="s">
        <v>13</v>
      </c>
      <c r="D48" s="18" t="s">
        <v>11</v>
      </c>
      <c r="E48" s="10">
        <v>2</v>
      </c>
      <c r="F48" s="21">
        <f>E48*120400</f>
        <v>240800</v>
      </c>
      <c r="G48" s="21">
        <f>F48*25%</f>
        <v>60200</v>
      </c>
      <c r="H48" s="21">
        <f>1.18*I48</f>
        <v>213108</v>
      </c>
      <c r="I48" s="21">
        <f>F48-G48</f>
        <v>180600</v>
      </c>
      <c r="J48" s="21">
        <f>I48*18%</f>
        <v>32508</v>
      </c>
      <c r="K48" s="21">
        <f>I48+J48</f>
        <v>213108</v>
      </c>
      <c r="L48" s="21">
        <f>96000*2</f>
        <v>192000</v>
      </c>
      <c r="M48" s="17" t="str">
        <f>IF(I48=L48,$M$4,$P$4)</f>
        <v>NA</v>
      </c>
      <c r="N48" s="17" t="s">
        <v>283</v>
      </c>
    </row>
    <row r="49" spans="2:14" x14ac:dyDescent="0.25">
      <c r="B49" s="10">
        <v>46</v>
      </c>
      <c r="C49" s="18" t="s">
        <v>27</v>
      </c>
      <c r="D49" s="18" t="s">
        <v>11</v>
      </c>
      <c r="E49" s="10">
        <v>1</v>
      </c>
      <c r="F49" s="21">
        <v>195000</v>
      </c>
      <c r="G49" s="21">
        <f>F49*15%</f>
        <v>29250</v>
      </c>
      <c r="H49" s="21">
        <f>1.18*I49</f>
        <v>195585</v>
      </c>
      <c r="I49" s="21">
        <f>F49-G49</f>
        <v>165750</v>
      </c>
      <c r="J49" s="21">
        <f>I49*18%</f>
        <v>29835</v>
      </c>
      <c r="K49" s="21">
        <f>J49+I49</f>
        <v>195585</v>
      </c>
      <c r="L49" s="21">
        <f>188000*0.8</f>
        <v>150400</v>
      </c>
      <c r="M49" s="17" t="str">
        <f>IF(I49=L49,$M$4,$P$4)</f>
        <v>NA</v>
      </c>
      <c r="N49" s="17"/>
    </row>
    <row r="50" spans="2:14" x14ac:dyDescent="0.25">
      <c r="B50" s="10">
        <v>47</v>
      </c>
      <c r="C50" s="18" t="s">
        <v>20</v>
      </c>
      <c r="D50" s="18" t="s">
        <v>11</v>
      </c>
      <c r="E50" s="10">
        <v>1</v>
      </c>
      <c r="F50" s="21">
        <v>205800</v>
      </c>
      <c r="G50" s="21">
        <f>F50*23%</f>
        <v>47334</v>
      </c>
      <c r="H50" s="21">
        <f>1.18*I50</f>
        <v>186989.88</v>
      </c>
      <c r="I50" s="21">
        <f>F50-G50</f>
        <v>158466</v>
      </c>
      <c r="J50" s="21">
        <f>I50*18%</f>
        <v>28523.879999999997</v>
      </c>
      <c r="K50" s="21">
        <f>I50+J50</f>
        <v>186989.88</v>
      </c>
      <c r="L50" s="21">
        <f>205800*0.8</f>
        <v>164640</v>
      </c>
      <c r="M50" s="17" t="str">
        <f>IF(I50=L50,$M$4,$P$4)</f>
        <v>NA</v>
      </c>
      <c r="N50" s="17"/>
    </row>
    <row r="51" spans="2:14" x14ac:dyDescent="0.25">
      <c r="B51" s="10">
        <v>48</v>
      </c>
      <c r="C51" s="18" t="s">
        <v>23</v>
      </c>
      <c r="D51" s="18" t="s">
        <v>11</v>
      </c>
      <c r="E51" s="10">
        <v>2</v>
      </c>
      <c r="F51" s="21">
        <f>E51*88000</f>
        <v>176000</v>
      </c>
      <c r="G51" s="21">
        <f>F51*20%</f>
        <v>35200</v>
      </c>
      <c r="H51" s="21">
        <f>1.18*I51</f>
        <v>166144</v>
      </c>
      <c r="I51" s="21">
        <f>F51-G51</f>
        <v>140800</v>
      </c>
      <c r="J51" s="21">
        <f>I51*18%</f>
        <v>25344</v>
      </c>
      <c r="K51" s="21">
        <f>J51+I51</f>
        <v>166144</v>
      </c>
      <c r="L51" s="21">
        <f>88800*2*0.8</f>
        <v>142080</v>
      </c>
      <c r="M51" s="17" t="str">
        <f>IF(I51=L51,$M$4,$P$4)</f>
        <v>NA</v>
      </c>
      <c r="N51" s="17"/>
    </row>
    <row r="52" spans="2:14" x14ac:dyDescent="0.25">
      <c r="B52" s="10">
        <v>49</v>
      </c>
      <c r="C52" s="18" t="s">
        <v>19</v>
      </c>
      <c r="D52" s="18" t="s">
        <v>11</v>
      </c>
      <c r="E52" s="10">
        <v>1</v>
      </c>
      <c r="F52" s="21">
        <v>174000</v>
      </c>
      <c r="G52" s="21">
        <f>F52*20%</f>
        <v>34800</v>
      </c>
      <c r="H52" s="21">
        <f>1.18*I52</f>
        <v>164256</v>
      </c>
      <c r="I52" s="21">
        <f>F52-G52</f>
        <v>139200</v>
      </c>
      <c r="J52" s="21">
        <f>I52*18%</f>
        <v>25056</v>
      </c>
      <c r="K52" s="21">
        <f>J52+I52</f>
        <v>164256</v>
      </c>
      <c r="L52" s="21">
        <f>173000*0.8</f>
        <v>138400</v>
      </c>
      <c r="M52" s="17" t="str">
        <f>IF(I52=L52,$M$4,$P$4)</f>
        <v>NA</v>
      </c>
      <c r="N52" s="17"/>
    </row>
    <row r="53" spans="2:14" x14ac:dyDescent="0.25">
      <c r="B53" s="10">
        <v>50</v>
      </c>
      <c r="C53" s="18" t="s">
        <v>69</v>
      </c>
      <c r="D53" s="18" t="s">
        <v>65</v>
      </c>
      <c r="E53" s="10">
        <v>1</v>
      </c>
      <c r="F53" s="21">
        <f>157500*0.86</f>
        <v>135450</v>
      </c>
      <c r="G53" s="21"/>
      <c r="H53" s="21">
        <f>1.18*I53</f>
        <v>159831</v>
      </c>
      <c r="I53" s="21">
        <f>157500*0.86</f>
        <v>135450</v>
      </c>
      <c r="J53" s="21"/>
      <c r="K53" s="21"/>
      <c r="L53" s="21">
        <v>95000</v>
      </c>
      <c r="M53" s="17" t="str">
        <f>IF(I53=L53,$M$4,$P$4)</f>
        <v>NA</v>
      </c>
      <c r="N53" s="17"/>
    </row>
    <row r="54" spans="2:14" x14ac:dyDescent="0.25">
      <c r="B54" s="10">
        <v>51</v>
      </c>
      <c r="C54" s="18" t="s">
        <v>15</v>
      </c>
      <c r="D54" s="18" t="s">
        <v>11</v>
      </c>
      <c r="E54" s="10">
        <v>3</v>
      </c>
      <c r="F54" s="21">
        <f>E54*60000</f>
        <v>180000</v>
      </c>
      <c r="G54" s="21">
        <f>F54*25%</f>
        <v>45000</v>
      </c>
      <c r="H54" s="21">
        <f>1.18*I54</f>
        <v>159300</v>
      </c>
      <c r="I54" s="21">
        <f>F54-G54</f>
        <v>135000</v>
      </c>
      <c r="J54" s="21">
        <f>I54*18%</f>
        <v>24300</v>
      </c>
      <c r="K54" s="21">
        <f>I54+J54</f>
        <v>159300</v>
      </c>
      <c r="L54" s="21">
        <f>65000*3*0.75</f>
        <v>146250</v>
      </c>
      <c r="M54" s="17" t="str">
        <f>IF(I54=L54,$M$4,$P$4)</f>
        <v>NA</v>
      </c>
      <c r="N54" s="17"/>
    </row>
    <row r="55" spans="2:14" ht="30" x14ac:dyDescent="0.25">
      <c r="B55" s="10">
        <v>52</v>
      </c>
      <c r="C55" s="18" t="s">
        <v>72</v>
      </c>
      <c r="D55" s="18" t="s">
        <v>65</v>
      </c>
      <c r="E55" s="10">
        <v>1</v>
      </c>
      <c r="F55" s="21">
        <f>155000*0.86</f>
        <v>133300</v>
      </c>
      <c r="G55" s="21"/>
      <c r="H55" s="21">
        <f>1.18*I55</f>
        <v>157294</v>
      </c>
      <c r="I55" s="21">
        <f>155000*0.86</f>
        <v>133300</v>
      </c>
      <c r="J55" s="21"/>
      <c r="K55" s="21"/>
      <c r="L55" s="21">
        <v>135000</v>
      </c>
      <c r="M55" s="17" t="str">
        <f>IF(I55=L55,$M$4,$P$4)</f>
        <v>NA</v>
      </c>
      <c r="N55" s="17"/>
    </row>
    <row r="56" spans="2:14" ht="30" x14ac:dyDescent="0.25">
      <c r="B56" s="10">
        <v>53</v>
      </c>
      <c r="C56" s="18" t="s">
        <v>24</v>
      </c>
      <c r="D56" s="18" t="s">
        <v>11</v>
      </c>
      <c r="E56" s="10">
        <v>1</v>
      </c>
      <c r="F56" s="21">
        <v>162000</v>
      </c>
      <c r="G56" s="21">
        <f>F56*20%</f>
        <v>32400</v>
      </c>
      <c r="H56" s="21">
        <f>1.18*I56</f>
        <v>152928</v>
      </c>
      <c r="I56" s="21">
        <f>F56-G56</f>
        <v>129600</v>
      </c>
      <c r="J56" s="21">
        <f>I56*18%</f>
        <v>23328</v>
      </c>
      <c r="K56" s="21">
        <f>J56+I56</f>
        <v>152928</v>
      </c>
      <c r="L56" s="21">
        <f>162000*0.8</f>
        <v>129600</v>
      </c>
      <c r="M56" s="17" t="s">
        <v>308</v>
      </c>
      <c r="N56" s="17"/>
    </row>
    <row r="57" spans="2:14" ht="16.5" customHeight="1" x14ac:dyDescent="0.25">
      <c r="B57" s="10">
        <v>54</v>
      </c>
      <c r="C57" s="18" t="s">
        <v>44</v>
      </c>
      <c r="D57" s="18" t="s">
        <v>41</v>
      </c>
      <c r="E57" s="10">
        <v>6</v>
      </c>
      <c r="F57" s="21">
        <f>E57*26000</f>
        <v>156000</v>
      </c>
      <c r="G57" s="21">
        <f>F57*20%</f>
        <v>31200</v>
      </c>
      <c r="H57" s="21">
        <f>1.18*I57</f>
        <v>147264</v>
      </c>
      <c r="I57" s="21">
        <f>F57-G57</f>
        <v>124800</v>
      </c>
      <c r="J57" s="21">
        <f>I57*18%</f>
        <v>22464</v>
      </c>
      <c r="K57" s="21">
        <f>J57+I57</f>
        <v>147264</v>
      </c>
      <c r="L57" s="21">
        <f>29964*6</f>
        <v>179784</v>
      </c>
      <c r="M57" s="17" t="str">
        <f>IF(I57=L57,$M$4,$P$4)</f>
        <v>NA</v>
      </c>
      <c r="N57" s="17" t="s">
        <v>109</v>
      </c>
    </row>
    <row r="58" spans="2:14" x14ac:dyDescent="0.25">
      <c r="B58" s="10">
        <v>55</v>
      </c>
      <c r="C58" s="18" t="s">
        <v>25</v>
      </c>
      <c r="D58" s="18" t="s">
        <v>11</v>
      </c>
      <c r="E58" s="10">
        <v>1</v>
      </c>
      <c r="F58" s="21">
        <v>155000</v>
      </c>
      <c r="G58" s="21">
        <f>F58*20%</f>
        <v>31000</v>
      </c>
      <c r="H58" s="21">
        <f>1.18*I58</f>
        <v>146320</v>
      </c>
      <c r="I58" s="21">
        <f>F58-G58</f>
        <v>124000</v>
      </c>
      <c r="J58" s="21">
        <f>I58*18%</f>
        <v>22320</v>
      </c>
      <c r="K58" s="21">
        <f>J58+I58</f>
        <v>146320</v>
      </c>
      <c r="L58" s="21">
        <f>155000*0.75</f>
        <v>116250</v>
      </c>
      <c r="M58" s="17" t="str">
        <f>IF(I58=L58,$M$4,$P$4)</f>
        <v>NA</v>
      </c>
      <c r="N58" s="17"/>
    </row>
    <row r="59" spans="2:14" x14ac:dyDescent="0.25">
      <c r="B59" s="10">
        <v>56</v>
      </c>
      <c r="C59" s="18" t="s">
        <v>37</v>
      </c>
      <c r="D59" s="18" t="s">
        <v>11</v>
      </c>
      <c r="E59" s="10">
        <v>2</v>
      </c>
      <c r="F59" s="21">
        <f>E59*86000</f>
        <v>172000</v>
      </c>
      <c r="G59" s="21">
        <f>F59*30%</f>
        <v>51600</v>
      </c>
      <c r="H59" s="21">
        <f>1.18*I59</f>
        <v>142072</v>
      </c>
      <c r="I59" s="21">
        <f>F59-G59</f>
        <v>120400</v>
      </c>
      <c r="J59" s="21">
        <f>I59*18%</f>
        <v>21672</v>
      </c>
      <c r="K59" s="21">
        <f>J59+I59</f>
        <v>142072</v>
      </c>
      <c r="L59" s="21">
        <f>170000*0.75</f>
        <v>127500</v>
      </c>
      <c r="M59" s="17" t="str">
        <f>IF(I59=L59,$M$4,$P$4)</f>
        <v>NA</v>
      </c>
      <c r="N59" s="17"/>
    </row>
    <row r="60" spans="2:14" x14ac:dyDescent="0.25">
      <c r="B60" s="10">
        <v>57</v>
      </c>
      <c r="C60" s="18" t="s">
        <v>22</v>
      </c>
      <c r="D60" s="18" t="s">
        <v>11</v>
      </c>
      <c r="E60" s="10">
        <v>2</v>
      </c>
      <c r="F60" s="21">
        <f>E60*75000</f>
        <v>150000</v>
      </c>
      <c r="G60" s="21">
        <f>F60*25%</f>
        <v>37500</v>
      </c>
      <c r="H60" s="21">
        <f>1.18*I60</f>
        <v>132750</v>
      </c>
      <c r="I60" s="21">
        <f>F60-G60</f>
        <v>112500</v>
      </c>
      <c r="J60" s="21">
        <f>I60*18%</f>
        <v>20250</v>
      </c>
      <c r="K60" s="21">
        <f>I60+J60</f>
        <v>132750</v>
      </c>
      <c r="L60" s="21">
        <f>75000*2*0.7</f>
        <v>105000</v>
      </c>
      <c r="M60" s="17" t="str">
        <f>IF(I60=L60,$M$4,$P$4)</f>
        <v>NA</v>
      </c>
      <c r="N60" s="17"/>
    </row>
    <row r="61" spans="2:14" x14ac:dyDescent="0.25">
      <c r="B61" s="10">
        <v>58</v>
      </c>
      <c r="C61" s="18" t="s">
        <v>14</v>
      </c>
      <c r="D61" s="18" t="s">
        <v>11</v>
      </c>
      <c r="E61" s="10">
        <v>1</v>
      </c>
      <c r="F61" s="21">
        <v>135000</v>
      </c>
      <c r="G61" s="21">
        <f>F61*20%</f>
        <v>27000</v>
      </c>
      <c r="H61" s="21">
        <f>1.18*I61</f>
        <v>127440</v>
      </c>
      <c r="I61" s="21">
        <f>F61-G61</f>
        <v>108000</v>
      </c>
      <c r="J61" s="21">
        <f>I61*18%</f>
        <v>19440</v>
      </c>
      <c r="K61" s="21">
        <f>J61+I61</f>
        <v>127440</v>
      </c>
      <c r="L61" s="21">
        <f>0.75*125000</f>
        <v>93750</v>
      </c>
      <c r="M61" s="17" t="str">
        <f>IF(I61=L61,$M$4,$P$4)</f>
        <v>NA</v>
      </c>
      <c r="N61" s="17"/>
    </row>
    <row r="62" spans="2:14" ht="17.25" customHeight="1" x14ac:dyDescent="0.25">
      <c r="B62" s="10">
        <v>59</v>
      </c>
      <c r="C62" s="18" t="s">
        <v>309</v>
      </c>
      <c r="D62" s="18" t="s">
        <v>51</v>
      </c>
      <c r="E62" s="10">
        <v>18</v>
      </c>
      <c r="F62" s="21">
        <v>101200</v>
      </c>
      <c r="G62" s="21">
        <f>F62*3%</f>
        <v>3036</v>
      </c>
      <c r="H62" s="21">
        <f>1.18*I62</f>
        <v>115833.51999999999</v>
      </c>
      <c r="I62" s="21">
        <f>F62-G62</f>
        <v>98164</v>
      </c>
      <c r="J62" s="21">
        <f>I62*18%</f>
        <v>17669.52</v>
      </c>
      <c r="K62" s="21">
        <f>J62+I62</f>
        <v>115833.52</v>
      </c>
      <c r="L62" s="21">
        <v>98164</v>
      </c>
      <c r="M62" s="17" t="str">
        <f>IF(I62=L62,$M$4,$P$4)</f>
        <v>Considered same due to unavailability of technical specifications</v>
      </c>
      <c r="N62" s="17"/>
    </row>
    <row r="63" spans="2:14" ht="16.5" customHeight="1" x14ac:dyDescent="0.25">
      <c r="B63" s="10">
        <v>60</v>
      </c>
      <c r="C63" s="18" t="s">
        <v>40</v>
      </c>
      <c r="D63" s="18" t="s">
        <v>41</v>
      </c>
      <c r="E63" s="10">
        <v>3</v>
      </c>
      <c r="F63" s="21">
        <f>E63*36000</f>
        <v>108000</v>
      </c>
      <c r="G63" s="21">
        <f>F63*20%</f>
        <v>21600</v>
      </c>
      <c r="H63" s="21">
        <f>1.18*I63</f>
        <v>101952</v>
      </c>
      <c r="I63" s="21">
        <f>F63-G63</f>
        <v>86400</v>
      </c>
      <c r="J63" s="21">
        <f>I63*18%</f>
        <v>15552</v>
      </c>
      <c r="K63" s="21">
        <f>J63+I63</f>
        <v>101952</v>
      </c>
      <c r="L63" s="21">
        <f>15600*3</f>
        <v>46800</v>
      </c>
      <c r="M63" s="17" t="str">
        <f>IF(I63=L63,$M$4,$P$4)</f>
        <v>NA</v>
      </c>
      <c r="N63" s="17" t="s">
        <v>106</v>
      </c>
    </row>
    <row r="64" spans="2:14" ht="15.75" customHeight="1" x14ac:dyDescent="0.25">
      <c r="B64" s="10">
        <v>61</v>
      </c>
      <c r="C64" s="18" t="s">
        <v>31</v>
      </c>
      <c r="D64" s="18" t="s">
        <v>11</v>
      </c>
      <c r="E64" s="10">
        <v>1</v>
      </c>
      <c r="F64" s="21">
        <v>119500</v>
      </c>
      <c r="G64" s="21">
        <f>F64*30%</f>
        <v>35850</v>
      </c>
      <c r="H64" s="21">
        <f>1.18*I64</f>
        <v>98707</v>
      </c>
      <c r="I64" s="21">
        <f>F64-G64</f>
        <v>83650</v>
      </c>
      <c r="J64" s="21">
        <f>I64*18%</f>
        <v>15057</v>
      </c>
      <c r="K64" s="21">
        <f>J64+I64</f>
        <v>98707</v>
      </c>
      <c r="L64" s="21">
        <f>112500*0.8</f>
        <v>90000</v>
      </c>
      <c r="M64" s="17" t="str">
        <f>IF(I64=L64,$M$4,$P$4)</f>
        <v>NA</v>
      </c>
      <c r="N64" s="17"/>
    </row>
    <row r="65" spans="2:14" ht="30" x14ac:dyDescent="0.25">
      <c r="B65" s="10">
        <v>62</v>
      </c>
      <c r="C65" s="18" t="s">
        <v>36</v>
      </c>
      <c r="D65" s="18" t="s">
        <v>11</v>
      </c>
      <c r="E65" s="10">
        <v>2</v>
      </c>
      <c r="F65" s="21">
        <f>E65*55000</f>
        <v>110000</v>
      </c>
      <c r="G65" s="21">
        <f>F65*25%</f>
        <v>27500</v>
      </c>
      <c r="H65" s="21">
        <f>1.18*I65</f>
        <v>97350</v>
      </c>
      <c r="I65" s="21">
        <f>F65-G65</f>
        <v>82500</v>
      </c>
      <c r="J65" s="21">
        <f>I65*18%</f>
        <v>14850</v>
      </c>
      <c r="K65" s="21">
        <f>J65+I65</f>
        <v>97350</v>
      </c>
      <c r="L65" s="21">
        <f>55000*2*0.75</f>
        <v>82500</v>
      </c>
      <c r="M65" s="17" t="s">
        <v>308</v>
      </c>
      <c r="N65" s="17"/>
    </row>
    <row r="66" spans="2:14" ht="16.5" customHeight="1" x14ac:dyDescent="0.25">
      <c r="B66" s="10">
        <v>63</v>
      </c>
      <c r="C66" s="18" t="s">
        <v>92</v>
      </c>
      <c r="D66" s="18" t="s">
        <v>88</v>
      </c>
      <c r="E66" s="10">
        <v>2</v>
      </c>
      <c r="F66" s="21">
        <v>80000</v>
      </c>
      <c r="G66" s="21"/>
      <c r="H66" s="21">
        <f>1.18*I66</f>
        <v>94400</v>
      </c>
      <c r="I66" s="21">
        <f>F66</f>
        <v>80000</v>
      </c>
      <c r="J66" s="21">
        <f>I66*18%</f>
        <v>14400</v>
      </c>
      <c r="K66" s="21">
        <f>J66+I66</f>
        <v>94400</v>
      </c>
      <c r="L66" s="21">
        <v>98000</v>
      </c>
      <c r="M66" s="17" t="str">
        <f>IF(I66=L66,$M$4,$P$4)</f>
        <v>NA</v>
      </c>
      <c r="N66" s="17" t="s">
        <v>285</v>
      </c>
    </row>
    <row r="67" spans="2:14" x14ac:dyDescent="0.25">
      <c r="B67" s="10">
        <v>64</v>
      </c>
      <c r="C67" s="18" t="s">
        <v>34</v>
      </c>
      <c r="D67" s="18" t="s">
        <v>11</v>
      </c>
      <c r="E67" s="10">
        <v>1</v>
      </c>
      <c r="F67" s="21">
        <v>105000</v>
      </c>
      <c r="G67" s="21">
        <f>F67*25%</f>
        <v>26250</v>
      </c>
      <c r="H67" s="21">
        <f>1.18*I67</f>
        <v>92925</v>
      </c>
      <c r="I67" s="21">
        <f>F67-G67</f>
        <v>78750</v>
      </c>
      <c r="J67" s="21">
        <f>I67*18%</f>
        <v>14175</v>
      </c>
      <c r="K67" s="21">
        <f>J67+I67</f>
        <v>92925</v>
      </c>
      <c r="L67" s="21">
        <f>120000*0.7</f>
        <v>84000</v>
      </c>
      <c r="M67" s="17" t="str">
        <f>IF(I67=L67,$M$4,$P$4)</f>
        <v>NA</v>
      </c>
      <c r="N67" s="17"/>
    </row>
    <row r="68" spans="2:14" x14ac:dyDescent="0.25">
      <c r="B68" s="10">
        <v>65</v>
      </c>
      <c r="C68" s="18" t="s">
        <v>12</v>
      </c>
      <c r="D68" s="18" t="s">
        <v>11</v>
      </c>
      <c r="E68" s="10">
        <v>1</v>
      </c>
      <c r="F68" s="21">
        <v>90000</v>
      </c>
      <c r="G68" s="21">
        <f>F68*20%</f>
        <v>18000</v>
      </c>
      <c r="H68" s="21">
        <f>1.18*I68</f>
        <v>84960</v>
      </c>
      <c r="I68" s="21">
        <f>F68-G68</f>
        <v>72000</v>
      </c>
      <c r="J68" s="21">
        <f>I68*18%</f>
        <v>12960</v>
      </c>
      <c r="K68" s="21">
        <f>I68+J68</f>
        <v>84960</v>
      </c>
      <c r="L68" s="21">
        <f>90000*0.8</f>
        <v>72000</v>
      </c>
      <c r="M68" s="17" t="s">
        <v>308</v>
      </c>
      <c r="N68" s="17"/>
    </row>
    <row r="69" spans="2:14" x14ac:dyDescent="0.25">
      <c r="B69" s="10">
        <v>66</v>
      </c>
      <c r="C69" s="18" t="s">
        <v>29</v>
      </c>
      <c r="D69" s="18" t="s">
        <v>11</v>
      </c>
      <c r="E69" s="10">
        <v>1</v>
      </c>
      <c r="F69" s="21">
        <v>78000</v>
      </c>
      <c r="G69" s="21">
        <f>F69*30%</f>
        <v>23400</v>
      </c>
      <c r="H69" s="21">
        <f>1.18*I69</f>
        <v>64428</v>
      </c>
      <c r="I69" s="21">
        <f>F69-G69</f>
        <v>54600</v>
      </c>
      <c r="J69" s="21">
        <f>I69*18%</f>
        <v>9828</v>
      </c>
      <c r="K69" s="21">
        <f>J69+I69</f>
        <v>64428</v>
      </c>
      <c r="L69" s="21">
        <f>72000*0.75</f>
        <v>54000</v>
      </c>
      <c r="M69" s="17" t="str">
        <f>IF(I69=L69,$M$4,$P$4)</f>
        <v>NA</v>
      </c>
      <c r="N69" s="17"/>
    </row>
    <row r="70" spans="2:14" ht="17.25" customHeight="1" x14ac:dyDescent="0.25">
      <c r="B70" s="10">
        <v>67</v>
      </c>
      <c r="C70" s="18" t="s">
        <v>93</v>
      </c>
      <c r="D70" s="18" t="s">
        <v>88</v>
      </c>
      <c r="E70" s="10">
        <v>1</v>
      </c>
      <c r="F70" s="21">
        <v>50000</v>
      </c>
      <c r="G70" s="21"/>
      <c r="H70" s="21">
        <f>1.18*I70</f>
        <v>59000</v>
      </c>
      <c r="I70" s="21">
        <f>F70</f>
        <v>50000</v>
      </c>
      <c r="J70" s="21">
        <f>I70*18%</f>
        <v>9000</v>
      </c>
      <c r="K70" s="21">
        <f>J70+I70</f>
        <v>59000</v>
      </c>
      <c r="L70" s="21">
        <v>90000</v>
      </c>
      <c r="M70" s="17" t="str">
        <f>IF(I70=L70,$M$4,$P$4)</f>
        <v>NA</v>
      </c>
      <c r="N70" s="17" t="s">
        <v>286</v>
      </c>
    </row>
    <row r="71" spans="2:14" ht="30" x14ac:dyDescent="0.25">
      <c r="B71" s="10">
        <v>68</v>
      </c>
      <c r="C71" s="18" t="s">
        <v>28</v>
      </c>
      <c r="D71" s="18" t="s">
        <v>11</v>
      </c>
      <c r="E71" s="10">
        <v>1</v>
      </c>
      <c r="F71" s="21">
        <v>65000</v>
      </c>
      <c r="G71" s="21">
        <f>F71*25%</f>
        <v>16250</v>
      </c>
      <c r="H71" s="21">
        <f>1.18*I71</f>
        <v>57525</v>
      </c>
      <c r="I71" s="21">
        <f>F71-G71</f>
        <v>48750</v>
      </c>
      <c r="J71" s="21">
        <f>I71*18%</f>
        <v>8775</v>
      </c>
      <c r="K71" s="21">
        <f>J71+I71</f>
        <v>57525</v>
      </c>
      <c r="L71" s="21">
        <f>65000*0.75</f>
        <v>48750</v>
      </c>
      <c r="M71" s="17" t="s">
        <v>308</v>
      </c>
      <c r="N71" s="17"/>
    </row>
    <row r="72" spans="2:14" x14ac:dyDescent="0.25">
      <c r="B72" s="10">
        <v>69</v>
      </c>
      <c r="C72" s="18" t="s">
        <v>43</v>
      </c>
      <c r="D72" s="18" t="s">
        <v>41</v>
      </c>
      <c r="E72" s="10">
        <v>4</v>
      </c>
      <c r="F72" s="21">
        <f>E72*14000</f>
        <v>56000</v>
      </c>
      <c r="G72" s="21">
        <f>F72*20%</f>
        <v>11200</v>
      </c>
      <c r="H72" s="21">
        <f>1.18*I72</f>
        <v>52864</v>
      </c>
      <c r="I72" s="21">
        <f>F72-G72</f>
        <v>44800</v>
      </c>
      <c r="J72" s="21">
        <f>I72*18%</f>
        <v>8064</v>
      </c>
      <c r="K72" s="21">
        <f>J72+I72</f>
        <v>52864</v>
      </c>
      <c r="L72" s="21">
        <f>12900*4</f>
        <v>51600</v>
      </c>
      <c r="M72" s="17" t="str">
        <f>IF(I72=L72,$M$4,$P$4)</f>
        <v>NA</v>
      </c>
      <c r="N72" s="17" t="s">
        <v>108</v>
      </c>
    </row>
    <row r="73" spans="2:14" x14ac:dyDescent="0.25">
      <c r="B73" s="10">
        <v>70</v>
      </c>
      <c r="C73" s="18" t="s">
        <v>18</v>
      </c>
      <c r="D73" s="18" t="s">
        <v>11</v>
      </c>
      <c r="E73" s="10">
        <v>1</v>
      </c>
      <c r="F73" s="21">
        <v>52800</v>
      </c>
      <c r="G73" s="21">
        <f>F73*20%</f>
        <v>10560</v>
      </c>
      <c r="H73" s="21">
        <f>1.18*I73</f>
        <v>49843.199999999997</v>
      </c>
      <c r="I73" s="21">
        <f>F73-G73</f>
        <v>42240</v>
      </c>
      <c r="J73" s="21">
        <f>I73*18%</f>
        <v>7603.2</v>
      </c>
      <c r="K73" s="21">
        <f>J73+I73</f>
        <v>49843.199999999997</v>
      </c>
      <c r="L73" s="21">
        <f>52000*0.75</f>
        <v>39000</v>
      </c>
      <c r="M73" s="17" t="str">
        <f>IF(I73=L73,$M$4,$P$4)</f>
        <v>NA</v>
      </c>
      <c r="N73" s="17"/>
    </row>
    <row r="74" spans="2:14" ht="30" x14ac:dyDescent="0.25">
      <c r="B74" s="10">
        <v>71</v>
      </c>
      <c r="C74" s="18" t="s">
        <v>10</v>
      </c>
      <c r="D74" s="18" t="s">
        <v>11</v>
      </c>
      <c r="E74" s="10">
        <v>1</v>
      </c>
      <c r="F74" s="21">
        <v>52500</v>
      </c>
      <c r="G74" s="21">
        <f>F74*25%</f>
        <v>13125</v>
      </c>
      <c r="H74" s="21">
        <f>1.18*I74</f>
        <v>46462.5</v>
      </c>
      <c r="I74" s="21">
        <f>F74-G74</f>
        <v>39375</v>
      </c>
      <c r="J74" s="21">
        <f>I74*18%</f>
        <v>7087.5</v>
      </c>
      <c r="K74" s="21">
        <f>J74+I74</f>
        <v>46462.5</v>
      </c>
      <c r="L74" s="21">
        <f>52500*0.75</f>
        <v>39375</v>
      </c>
      <c r="M74" s="17" t="s">
        <v>308</v>
      </c>
      <c r="N74" s="17"/>
    </row>
    <row r="75" spans="2:14" ht="30" x14ac:dyDescent="0.25">
      <c r="B75" s="10">
        <v>72</v>
      </c>
      <c r="C75" s="18" t="s">
        <v>21</v>
      </c>
      <c r="D75" s="18" t="s">
        <v>11</v>
      </c>
      <c r="E75" s="10">
        <v>1</v>
      </c>
      <c r="F75" s="21">
        <v>46500</v>
      </c>
      <c r="G75" s="21">
        <f>F75*20%</f>
        <v>9300</v>
      </c>
      <c r="H75" s="21">
        <f>1.18*I75</f>
        <v>43896</v>
      </c>
      <c r="I75" s="21">
        <f>F75-G75</f>
        <v>37200</v>
      </c>
      <c r="J75" s="21">
        <f>I75*18%</f>
        <v>6696</v>
      </c>
      <c r="K75" s="21">
        <f>J75+I75</f>
        <v>43896</v>
      </c>
      <c r="L75" s="21">
        <f>46500*0.75</f>
        <v>34875</v>
      </c>
      <c r="M75" s="17" t="str">
        <f>IF(I75=L75,$M$4,$P$4)</f>
        <v>NA</v>
      </c>
      <c r="N75" s="17"/>
    </row>
    <row r="76" spans="2:14" ht="30" x14ac:dyDescent="0.25">
      <c r="B76" s="10">
        <v>73</v>
      </c>
      <c r="C76" s="18" t="s">
        <v>304</v>
      </c>
      <c r="D76" s="18" t="s">
        <v>11</v>
      </c>
      <c r="E76" s="10">
        <v>1</v>
      </c>
      <c r="F76" s="21">
        <f>E76*47000</f>
        <v>47000</v>
      </c>
      <c r="G76" s="21">
        <f>F76*25%</f>
        <v>11750</v>
      </c>
      <c r="H76" s="21">
        <f>1.18*I76</f>
        <v>41595</v>
      </c>
      <c r="I76" s="21">
        <f>F76-G76</f>
        <v>35250</v>
      </c>
      <c r="J76" s="21">
        <f>I76*18%</f>
        <v>6345</v>
      </c>
      <c r="K76" s="21">
        <f>J76+I76</f>
        <v>41595</v>
      </c>
      <c r="L76" s="21">
        <f>47000*0.8</f>
        <v>37600</v>
      </c>
      <c r="M76" s="17" t="str">
        <f>IF(I76=L76,$M$4,$P$4)</f>
        <v>NA</v>
      </c>
      <c r="N76" s="17"/>
    </row>
    <row r="77" spans="2:14" ht="15.75" customHeight="1" x14ac:dyDescent="0.25">
      <c r="B77" s="10">
        <v>74</v>
      </c>
      <c r="C77" s="18" t="s">
        <v>42</v>
      </c>
      <c r="D77" s="18" t="s">
        <v>41</v>
      </c>
      <c r="E77" s="10">
        <v>2</v>
      </c>
      <c r="F77" s="21">
        <f>E77*22000</f>
        <v>44000</v>
      </c>
      <c r="G77" s="21">
        <f>F77*20%</f>
        <v>8800</v>
      </c>
      <c r="H77" s="21">
        <f>1.18*I77</f>
        <v>41536</v>
      </c>
      <c r="I77" s="21">
        <f>F77-G77</f>
        <v>35200</v>
      </c>
      <c r="J77" s="21">
        <f>I77*18%</f>
        <v>6336</v>
      </c>
      <c r="K77" s="21">
        <f>J77+I77</f>
        <v>41536</v>
      </c>
      <c r="L77" s="21">
        <f>11600*2</f>
        <v>23200</v>
      </c>
      <c r="M77" s="17" t="str">
        <f>IF(I77=L77,$M$4,$P$4)</f>
        <v>NA</v>
      </c>
      <c r="N77" s="17" t="s">
        <v>107</v>
      </c>
    </row>
    <row r="78" spans="2:14" ht="30" x14ac:dyDescent="0.25">
      <c r="B78" s="10">
        <v>75</v>
      </c>
      <c r="C78" s="18" t="s">
        <v>16</v>
      </c>
      <c r="D78" s="18" t="s">
        <v>11</v>
      </c>
      <c r="E78" s="10">
        <v>1</v>
      </c>
      <c r="F78" s="21">
        <v>38000</v>
      </c>
      <c r="G78" s="21">
        <f>F78*25%</f>
        <v>9500</v>
      </c>
      <c r="H78" s="21">
        <f>1.18*I78</f>
        <v>33630</v>
      </c>
      <c r="I78" s="21">
        <f>F78-G78</f>
        <v>28500</v>
      </c>
      <c r="J78" s="21">
        <f>I78*18%</f>
        <v>5130</v>
      </c>
      <c r="K78" s="21">
        <f>J78+I78</f>
        <v>33630</v>
      </c>
      <c r="L78" s="21">
        <f>38000*0.75</f>
        <v>28500</v>
      </c>
      <c r="M78" s="17" t="s">
        <v>308</v>
      </c>
      <c r="N78" s="17"/>
    </row>
    <row r="79" spans="2:14" x14ac:dyDescent="0.25">
      <c r="B79" s="10">
        <v>76</v>
      </c>
      <c r="C79" s="18" t="s">
        <v>26</v>
      </c>
      <c r="D79" s="18" t="s">
        <v>11</v>
      </c>
      <c r="E79" s="10">
        <v>2</v>
      </c>
      <c r="F79" s="21">
        <f>E79*22000</f>
        <v>44000</v>
      </c>
      <c r="G79" s="21">
        <f>F79*40%</f>
        <v>17600</v>
      </c>
      <c r="H79" s="21">
        <f>1.18*I79</f>
        <v>31152</v>
      </c>
      <c r="I79" s="21">
        <f>F79-G79</f>
        <v>26400</v>
      </c>
      <c r="J79" s="21">
        <f>I79*18%</f>
        <v>4752</v>
      </c>
      <c r="K79" s="21">
        <f>J79+I79</f>
        <v>31152</v>
      </c>
      <c r="L79" s="21">
        <f>19000*20.75</f>
        <v>394250</v>
      </c>
      <c r="M79" s="17" t="str">
        <f>IF(I79=L79,$M$4,$P$4)</f>
        <v>NA</v>
      </c>
      <c r="N79" s="17"/>
    </row>
    <row r="80" spans="2:14" x14ac:dyDescent="0.25">
      <c r="B80" s="10">
        <v>77</v>
      </c>
      <c r="C80" s="18" t="s">
        <v>30</v>
      </c>
      <c r="D80" s="18" t="s">
        <v>11</v>
      </c>
      <c r="E80" s="10">
        <v>1</v>
      </c>
      <c r="F80" s="21">
        <v>29000</v>
      </c>
      <c r="G80" s="21">
        <f>F80*20%</f>
        <v>5800</v>
      </c>
      <c r="H80" s="21">
        <f>1.18*I80</f>
        <v>27376</v>
      </c>
      <c r="I80" s="21">
        <f>F80-G80</f>
        <v>23200</v>
      </c>
      <c r="J80" s="21">
        <f>I80*18%</f>
        <v>4176</v>
      </c>
      <c r="K80" s="21">
        <f>J80+I80</f>
        <v>27376</v>
      </c>
      <c r="L80" s="21">
        <f>50800*0.8</f>
        <v>40640</v>
      </c>
      <c r="M80" s="17" t="str">
        <f>IF(I80=L80,$M$4,$P$4)</f>
        <v>NA</v>
      </c>
      <c r="N80" s="17"/>
    </row>
    <row r="81" spans="2:14" ht="15.75" customHeight="1" x14ac:dyDescent="0.25">
      <c r="B81" s="10">
        <v>78</v>
      </c>
      <c r="C81" s="18" t="s">
        <v>49</v>
      </c>
      <c r="D81" s="18" t="s">
        <v>48</v>
      </c>
      <c r="E81" s="10">
        <v>1</v>
      </c>
      <c r="F81" s="21">
        <v>13900</v>
      </c>
      <c r="G81" s="21">
        <v>0</v>
      </c>
      <c r="H81" s="21">
        <f>1.18*I81</f>
        <v>16402</v>
      </c>
      <c r="I81" s="21">
        <v>13900</v>
      </c>
      <c r="J81" s="21">
        <f>F81*18%</f>
        <v>2502</v>
      </c>
      <c r="K81" s="21">
        <f>J81+F81</f>
        <v>16402</v>
      </c>
      <c r="L81" s="21">
        <v>10000</v>
      </c>
      <c r="M81" s="17" t="str">
        <f>IF(I81=L81,$M$4,$P$4)</f>
        <v>NA</v>
      </c>
      <c r="N81" s="17" t="s">
        <v>112</v>
      </c>
    </row>
    <row r="82" spans="2:14" x14ac:dyDescent="0.25">
      <c r="B82" s="10">
        <v>79</v>
      </c>
      <c r="C82" s="18" t="s">
        <v>17</v>
      </c>
      <c r="D82" s="18" t="s">
        <v>11</v>
      </c>
      <c r="E82" s="10">
        <v>1</v>
      </c>
      <c r="F82" s="21">
        <v>14500</v>
      </c>
      <c r="G82" s="21">
        <f>F82*15%</f>
        <v>2175</v>
      </c>
      <c r="H82" s="21">
        <f>1.18*I82</f>
        <v>14543.5</v>
      </c>
      <c r="I82" s="21">
        <f>F82-G82</f>
        <v>12325</v>
      </c>
      <c r="J82" s="21">
        <f>I82*18%</f>
        <v>2218.5</v>
      </c>
      <c r="K82" s="21">
        <f>J82+I82</f>
        <v>14543.5</v>
      </c>
      <c r="L82" s="21">
        <f>12500*0.85</f>
        <v>10625</v>
      </c>
      <c r="M82" s="17" t="str">
        <f>IF(I82=L82,$M$4,$P$4)</f>
        <v>NA</v>
      </c>
      <c r="N82" s="17"/>
    </row>
    <row r="83" spans="2:14" x14ac:dyDescent="0.25">
      <c r="B83" s="10">
        <v>80</v>
      </c>
      <c r="C83" s="18" t="s">
        <v>47</v>
      </c>
      <c r="D83" s="18" t="s">
        <v>48</v>
      </c>
      <c r="E83" s="10">
        <v>1</v>
      </c>
      <c r="F83" s="21">
        <v>7900</v>
      </c>
      <c r="G83" s="21">
        <v>0</v>
      </c>
      <c r="H83" s="21">
        <f>1.18*I83</f>
        <v>9322</v>
      </c>
      <c r="I83" s="21">
        <v>7900</v>
      </c>
      <c r="J83" s="21">
        <f>F83*18%</f>
        <v>1422</v>
      </c>
      <c r="K83" s="21">
        <f>J83+F83</f>
        <v>9322</v>
      </c>
      <c r="L83" s="21">
        <f>4830</f>
        <v>4830</v>
      </c>
      <c r="M83" s="17" t="str">
        <f>IF(I83=L83,$M$4,$P$4)</f>
        <v>NA</v>
      </c>
      <c r="N83" s="17" t="s">
        <v>111</v>
      </c>
    </row>
    <row r="84" spans="2:14" x14ac:dyDescent="0.25">
      <c r="B84" s="31" t="s">
        <v>103</v>
      </c>
      <c r="C84" s="32"/>
      <c r="D84" s="33"/>
      <c r="E84" s="10"/>
      <c r="F84" s="29">
        <f>SUM(F4:F83)</f>
        <v>72509185.75</v>
      </c>
      <c r="G84" s="29"/>
      <c r="H84" s="29">
        <f>SUBTOTAL(9,H4:H83)</f>
        <v>83366000.359459996</v>
      </c>
      <c r="I84" s="29">
        <f>SUBTOTAL(9,I4:I83)</f>
        <v>70649152.847000003</v>
      </c>
      <c r="J84" s="29">
        <f>SUM(J4:J83)</f>
        <v>10872687.829499999</v>
      </c>
      <c r="K84" s="29">
        <f>SUM(K4:K83)</f>
        <v>71473930.676500008</v>
      </c>
      <c r="L84" s="29">
        <f>SUBTOTAL(9,L4:L83)</f>
        <v>71180612</v>
      </c>
      <c r="M84" s="29"/>
      <c r="N84" s="17"/>
    </row>
    <row r="86" spans="2:14" x14ac:dyDescent="0.25">
      <c r="K86" s="27">
        <f>K84*5%</f>
        <v>3573696.5338250007</v>
      </c>
    </row>
    <row r="89" spans="2:14" x14ac:dyDescent="0.25">
      <c r="K89" s="27">
        <f>K86+K84</f>
        <v>75047627.210325003</v>
      </c>
    </row>
    <row r="93" spans="2:14" x14ac:dyDescent="0.25">
      <c r="C93" s="26" t="s">
        <v>260</v>
      </c>
    </row>
    <row r="94" spans="2:14" x14ac:dyDescent="0.25">
      <c r="C94" s="26" t="s">
        <v>261</v>
      </c>
      <c r="D94" s="26" t="s">
        <v>273</v>
      </c>
      <c r="E94" s="25">
        <v>5</v>
      </c>
      <c r="F94" s="27">
        <v>242500</v>
      </c>
      <c r="G94" s="27">
        <f>60000*5</f>
        <v>300000</v>
      </c>
    </row>
    <row r="95" spans="2:14" x14ac:dyDescent="0.25">
      <c r="C95" s="26" t="s">
        <v>261</v>
      </c>
      <c r="D95" s="26" t="s">
        <v>274</v>
      </c>
      <c r="E95" s="25">
        <v>5</v>
      </c>
      <c r="F95" s="27">
        <v>192500</v>
      </c>
      <c r="G95" s="27">
        <f>40000*5</f>
        <v>200000</v>
      </c>
    </row>
    <row r="96" spans="2:14" ht="90" x14ac:dyDescent="0.25">
      <c r="C96" s="26" t="s">
        <v>262</v>
      </c>
      <c r="D96" s="26" t="s">
        <v>275</v>
      </c>
      <c r="E96" s="25">
        <v>5</v>
      </c>
      <c r="F96" s="27">
        <v>67500</v>
      </c>
      <c r="G96" s="27">
        <f>16500*5</f>
        <v>82500</v>
      </c>
      <c r="I96" s="27" t="s">
        <v>292</v>
      </c>
    </row>
    <row r="97" spans="3:9" ht="90" x14ac:dyDescent="0.25">
      <c r="C97" s="26" t="s">
        <v>263</v>
      </c>
      <c r="D97" s="26" t="s">
        <v>276</v>
      </c>
      <c r="E97" s="25">
        <v>10</v>
      </c>
      <c r="F97" s="27">
        <v>49000</v>
      </c>
      <c r="G97" s="27">
        <f>3500*10</f>
        <v>35000</v>
      </c>
      <c r="I97" s="27" t="s">
        <v>293</v>
      </c>
    </row>
    <row r="98" spans="3:9" ht="75" x14ac:dyDescent="0.25">
      <c r="C98" s="26" t="s">
        <v>264</v>
      </c>
      <c r="D98" s="26" t="s">
        <v>276</v>
      </c>
      <c r="E98" s="25">
        <v>20</v>
      </c>
      <c r="F98" s="27">
        <v>13000</v>
      </c>
      <c r="G98" s="27">
        <f>950*20</f>
        <v>19000</v>
      </c>
      <c r="I98" s="27" t="s">
        <v>294</v>
      </c>
    </row>
    <row r="99" spans="3:9" ht="105" x14ac:dyDescent="0.25">
      <c r="C99" s="26" t="s">
        <v>265</v>
      </c>
      <c r="D99" s="26" t="s">
        <v>277</v>
      </c>
      <c r="E99" s="25">
        <v>15</v>
      </c>
      <c r="F99" s="27">
        <v>12750</v>
      </c>
      <c r="G99" s="27">
        <f>1000*15</f>
        <v>15000</v>
      </c>
      <c r="I99" s="27" t="s">
        <v>295</v>
      </c>
    </row>
    <row r="100" spans="3:9" ht="90" x14ac:dyDescent="0.25">
      <c r="C100" s="26" t="s">
        <v>266</v>
      </c>
      <c r="E100" s="25">
        <v>20</v>
      </c>
      <c r="F100" s="27">
        <v>100000</v>
      </c>
      <c r="G100" s="27">
        <f>5200*20</f>
        <v>104000</v>
      </c>
      <c r="I100" s="27" t="s">
        <v>296</v>
      </c>
    </row>
    <row r="101" spans="3:9" ht="90" x14ac:dyDescent="0.25">
      <c r="C101" s="26" t="s">
        <v>267</v>
      </c>
      <c r="E101" s="25">
        <v>5</v>
      </c>
      <c r="F101" s="27">
        <v>75000</v>
      </c>
      <c r="G101" s="27">
        <f>15000*5</f>
        <v>75000</v>
      </c>
      <c r="I101" s="27" t="s">
        <v>297</v>
      </c>
    </row>
    <row r="102" spans="3:9" x14ac:dyDescent="0.25">
      <c r="C102" s="26" t="s">
        <v>268</v>
      </c>
      <c r="E102" s="25">
        <v>1</v>
      </c>
      <c r="F102" s="27">
        <v>200000</v>
      </c>
      <c r="G102" s="27">
        <v>200000</v>
      </c>
    </row>
    <row r="103" spans="3:9" ht="75" x14ac:dyDescent="0.25">
      <c r="C103" s="26" t="s">
        <v>269</v>
      </c>
      <c r="D103" s="26" t="s">
        <v>278</v>
      </c>
      <c r="E103" s="25">
        <v>15</v>
      </c>
      <c r="F103" s="27">
        <v>255000</v>
      </c>
      <c r="G103" s="27">
        <f>16000*15</f>
        <v>240000</v>
      </c>
      <c r="I103" s="27" t="s">
        <v>298</v>
      </c>
    </row>
    <row r="104" spans="3:9" ht="105" x14ac:dyDescent="0.25">
      <c r="C104" s="26" t="s">
        <v>270</v>
      </c>
      <c r="D104" s="26" t="s">
        <v>279</v>
      </c>
      <c r="E104" s="25">
        <v>1</v>
      </c>
      <c r="F104" s="27">
        <v>250000</v>
      </c>
      <c r="G104" s="27">
        <f>1250*200</f>
        <v>250000</v>
      </c>
      <c r="I104" s="27" t="s">
        <v>299</v>
      </c>
    </row>
    <row r="105" spans="3:9" ht="105" x14ac:dyDescent="0.25">
      <c r="C105" s="26" t="s">
        <v>271</v>
      </c>
      <c r="D105" s="26" t="s">
        <v>280</v>
      </c>
      <c r="E105" s="25">
        <v>3</v>
      </c>
      <c r="F105" s="27">
        <v>450000</v>
      </c>
      <c r="G105" s="27">
        <f>160000*3</f>
        <v>480000</v>
      </c>
      <c r="I105" s="27" t="s">
        <v>300</v>
      </c>
    </row>
    <row r="106" spans="3:9" ht="90" x14ac:dyDescent="0.25">
      <c r="C106" s="26" t="s">
        <v>272</v>
      </c>
      <c r="D106" s="26" t="s">
        <v>281</v>
      </c>
      <c r="E106" s="25">
        <v>8</v>
      </c>
      <c r="F106" s="27">
        <v>96000</v>
      </c>
      <c r="G106" s="27">
        <f>10000*8</f>
        <v>80000</v>
      </c>
      <c r="I106" s="27" t="s">
        <v>301</v>
      </c>
    </row>
    <row r="107" spans="3:9" x14ac:dyDescent="0.25">
      <c r="G107" s="27">
        <f>SUM(G94:G106)</f>
        <v>2080500</v>
      </c>
    </row>
    <row r="110" spans="3:9" x14ac:dyDescent="0.25">
      <c r="C110" s="26" t="s">
        <v>287</v>
      </c>
    </row>
    <row r="111" spans="3:9" ht="30" x14ac:dyDescent="0.25">
      <c r="C111" s="26" t="s">
        <v>288</v>
      </c>
    </row>
    <row r="112" spans="3:9" ht="30" x14ac:dyDescent="0.25">
      <c r="C112" s="26" t="s">
        <v>289</v>
      </c>
    </row>
    <row r="113" spans="3:3" x14ac:dyDescent="0.25">
      <c r="C113" s="26" t="s">
        <v>291</v>
      </c>
    </row>
    <row r="114" spans="3:3" ht="30" x14ac:dyDescent="0.25">
      <c r="C114" s="26" t="s">
        <v>290</v>
      </c>
    </row>
  </sheetData>
  <autoFilter ref="B3:N3" xr:uid="{00000000-0001-0000-0000-000000000000}">
    <sortState xmlns:xlrd2="http://schemas.microsoft.com/office/spreadsheetml/2017/richdata2" ref="B4:N83">
      <sortCondition descending="1" ref="I3"/>
    </sortState>
  </autoFilter>
  <mergeCells count="1">
    <mergeCell ref="B84:D84"/>
  </mergeCells>
  <hyperlinks>
    <hyperlink ref="N12" r:id="rId1" xr:uid="{F19EF86C-9241-497D-9110-EEEDE8AEB58D}"/>
    <hyperlink ref="N9" r:id="rId2" xr:uid="{2B500882-835A-490C-9331-0463E7AE7CB1}"/>
    <hyperlink ref="N39" r:id="rId3" xr:uid="{96D37ACF-A93C-40E1-BD14-B39470752399}"/>
    <hyperlink ref="N17" r:id="rId4" display="https://www.indiamart.com/proddetail/polyurethane-flooring-services-10392858962.html?pos=7" xr:uid="{06E83CD2-A389-4C80-9427-F2AABE57CE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E6E6-D3ED-46C8-8648-C24239655C91}">
  <dimension ref="C5:L59"/>
  <sheetViews>
    <sheetView topLeftCell="C1" zoomScale="70" zoomScaleNormal="70" workbookViewId="0">
      <selection activeCell="K1" sqref="K1"/>
    </sheetView>
  </sheetViews>
  <sheetFormatPr defaultRowHeight="15" x14ac:dyDescent="0.25"/>
  <cols>
    <col min="3" max="3" width="12.28515625" customWidth="1"/>
    <col min="4" max="4" width="21.28515625" customWidth="1"/>
    <col min="5" max="5" width="56.7109375" customWidth="1"/>
    <col min="6" max="6" width="23.85546875" customWidth="1"/>
    <col min="7" max="7" width="16.85546875" customWidth="1"/>
    <col min="8" max="8" width="27.140625" customWidth="1"/>
    <col min="9" max="9" width="23.5703125" customWidth="1"/>
    <col min="10" max="10" width="22.28515625" customWidth="1"/>
    <col min="11" max="11" width="50.28515625" customWidth="1"/>
    <col min="12" max="12" width="23.28515625" customWidth="1"/>
  </cols>
  <sheetData>
    <row r="5" spans="3:12" ht="21" x14ac:dyDescent="0.25">
      <c r="C5" s="3" t="s">
        <v>129</v>
      </c>
      <c r="D5" s="3" t="s">
        <v>130</v>
      </c>
      <c r="E5" s="3" t="s">
        <v>131</v>
      </c>
      <c r="F5" s="3" t="s">
        <v>132</v>
      </c>
      <c r="G5" s="3" t="s">
        <v>133</v>
      </c>
      <c r="H5" s="3" t="s">
        <v>134</v>
      </c>
      <c r="I5" s="3" t="s">
        <v>135</v>
      </c>
      <c r="J5" s="3"/>
      <c r="K5" s="4" t="s">
        <v>104</v>
      </c>
      <c r="L5" s="5" t="s">
        <v>136</v>
      </c>
    </row>
    <row r="6" spans="3:12" x14ac:dyDescent="0.25">
      <c r="C6" s="2">
        <v>1</v>
      </c>
      <c r="D6" s="2" t="s">
        <v>82</v>
      </c>
      <c r="E6" s="6" t="s">
        <v>137</v>
      </c>
      <c r="F6" s="7"/>
      <c r="G6" s="7">
        <v>1</v>
      </c>
      <c r="H6" s="8">
        <v>4143750</v>
      </c>
      <c r="I6" s="8">
        <v>3200000</v>
      </c>
      <c r="J6" s="9">
        <f>H6-I6</f>
        <v>943750</v>
      </c>
      <c r="K6" t="s">
        <v>138</v>
      </c>
      <c r="L6" t="s">
        <v>139</v>
      </c>
    </row>
    <row r="7" spans="3:12" ht="16.5" customHeight="1" x14ac:dyDescent="0.25">
      <c r="C7" s="2">
        <v>2</v>
      </c>
      <c r="D7" s="2" t="s">
        <v>77</v>
      </c>
      <c r="E7" s="6" t="s">
        <v>140</v>
      </c>
      <c r="F7" s="10" t="s">
        <v>141</v>
      </c>
      <c r="G7" s="7">
        <v>1</v>
      </c>
      <c r="H7" s="8">
        <v>3651960</v>
      </c>
      <c r="I7" s="8">
        <v>5043000</v>
      </c>
      <c r="J7" s="9">
        <f t="shared" ref="J7:J57" si="0">H7-I7</f>
        <v>-1391040</v>
      </c>
      <c r="K7" s="11" t="s">
        <v>142</v>
      </c>
      <c r="L7" t="s">
        <v>143</v>
      </c>
    </row>
    <row r="8" spans="3:12" ht="22.5" customHeight="1" x14ac:dyDescent="0.25">
      <c r="C8" s="2">
        <v>3</v>
      </c>
      <c r="D8" s="2" t="s">
        <v>77</v>
      </c>
      <c r="E8" s="6" t="s">
        <v>140</v>
      </c>
      <c r="F8" s="10" t="s">
        <v>141</v>
      </c>
      <c r="G8" s="7">
        <v>1</v>
      </c>
      <c r="H8" s="8">
        <v>3649149.24</v>
      </c>
      <c r="I8" s="8">
        <v>5043000</v>
      </c>
      <c r="J8" s="9">
        <f t="shared" si="0"/>
        <v>-1393850.7599999998</v>
      </c>
      <c r="K8" t="s">
        <v>142</v>
      </c>
      <c r="L8" t="s">
        <v>143</v>
      </c>
    </row>
    <row r="9" spans="3:12" x14ac:dyDescent="0.25">
      <c r="C9" s="2">
        <v>4</v>
      </c>
      <c r="D9" s="2" t="s">
        <v>65</v>
      </c>
      <c r="E9" s="6" t="s">
        <v>144</v>
      </c>
      <c r="F9" s="7"/>
      <c r="G9" s="7">
        <v>1</v>
      </c>
      <c r="H9" s="8">
        <f>3870000*0.86</f>
        <v>3328200</v>
      </c>
      <c r="I9" s="8">
        <v>3500000</v>
      </c>
      <c r="J9" s="9">
        <f t="shared" si="0"/>
        <v>-171800</v>
      </c>
      <c r="K9" s="11" t="s">
        <v>145</v>
      </c>
    </row>
    <row r="10" spans="3:12" x14ac:dyDescent="0.25">
      <c r="C10" s="2">
        <v>5</v>
      </c>
      <c r="D10" s="2" t="s">
        <v>146</v>
      </c>
      <c r="E10" s="6" t="s">
        <v>147</v>
      </c>
      <c r="F10" s="7" t="s">
        <v>148</v>
      </c>
      <c r="G10" s="7">
        <v>1</v>
      </c>
      <c r="H10" s="8">
        <v>2572100</v>
      </c>
      <c r="I10" s="8">
        <v>2000000</v>
      </c>
      <c r="J10" s="9">
        <f t="shared" si="0"/>
        <v>572100</v>
      </c>
      <c r="K10" s="11" t="s">
        <v>149</v>
      </c>
    </row>
    <row r="11" spans="3:12" x14ac:dyDescent="0.25">
      <c r="C11" s="2">
        <v>6</v>
      </c>
      <c r="D11" s="2" t="s">
        <v>65</v>
      </c>
      <c r="E11" s="6" t="s">
        <v>150</v>
      </c>
      <c r="G11" s="7">
        <v>1</v>
      </c>
      <c r="H11" s="8">
        <f>2395000*0.86</f>
        <v>2059700</v>
      </c>
      <c r="I11" s="8">
        <v>2500000</v>
      </c>
      <c r="J11" s="9">
        <f t="shared" si="0"/>
        <v>-440300</v>
      </c>
      <c r="K11" t="s">
        <v>151</v>
      </c>
      <c r="L11" t="s">
        <v>152</v>
      </c>
    </row>
    <row r="12" spans="3:12" x14ac:dyDescent="0.25">
      <c r="C12" s="2">
        <v>7</v>
      </c>
      <c r="D12" s="2" t="s">
        <v>146</v>
      </c>
      <c r="E12" s="6" t="s">
        <v>153</v>
      </c>
      <c r="F12" s="7"/>
      <c r="G12" s="7">
        <v>1</v>
      </c>
      <c r="H12" s="8">
        <v>1408450</v>
      </c>
      <c r="I12" s="8">
        <v>1000000</v>
      </c>
      <c r="J12" s="9">
        <f t="shared" si="0"/>
        <v>408450</v>
      </c>
      <c r="K12" t="s">
        <v>154</v>
      </c>
    </row>
    <row r="13" spans="3:12" x14ac:dyDescent="0.25">
      <c r="C13" s="2">
        <v>8</v>
      </c>
      <c r="D13" s="2" t="s">
        <v>65</v>
      </c>
      <c r="E13" s="6" t="s">
        <v>155</v>
      </c>
      <c r="F13" s="7" t="s">
        <v>156</v>
      </c>
      <c r="G13" s="7">
        <v>1</v>
      </c>
      <c r="H13" s="8">
        <f>1433000*0.86</f>
        <v>1232380</v>
      </c>
      <c r="I13" s="8">
        <v>1150000</v>
      </c>
      <c r="J13" s="9">
        <f t="shared" si="0"/>
        <v>82380</v>
      </c>
      <c r="K13" t="s">
        <v>157</v>
      </c>
    </row>
    <row r="14" spans="3:12" x14ac:dyDescent="0.25">
      <c r="C14" s="2">
        <v>9</v>
      </c>
      <c r="D14" s="2" t="s">
        <v>65</v>
      </c>
      <c r="E14" s="6" t="s">
        <v>158</v>
      </c>
      <c r="F14" s="7" t="s">
        <v>159</v>
      </c>
      <c r="G14" s="7">
        <v>1</v>
      </c>
      <c r="H14" s="8">
        <f>1090000*0.86</f>
        <v>937400</v>
      </c>
      <c r="I14" s="8">
        <v>1000000</v>
      </c>
      <c r="J14" s="9">
        <f t="shared" si="0"/>
        <v>-62600</v>
      </c>
      <c r="K14" t="s">
        <v>160</v>
      </c>
    </row>
    <row r="15" spans="3:12" x14ac:dyDescent="0.25">
      <c r="C15" s="2">
        <v>10</v>
      </c>
      <c r="D15" s="2" t="s">
        <v>161</v>
      </c>
      <c r="E15" s="6" t="s">
        <v>162</v>
      </c>
      <c r="F15" s="7"/>
      <c r="G15" s="7">
        <v>55</v>
      </c>
      <c r="H15" s="8">
        <f>898590*0.95</f>
        <v>853660.5</v>
      </c>
      <c r="I15" s="8">
        <f>55*15000</f>
        <v>825000</v>
      </c>
      <c r="J15" s="9">
        <f t="shared" si="0"/>
        <v>28660.5</v>
      </c>
      <c r="K15" t="s">
        <v>163</v>
      </c>
    </row>
    <row r="16" spans="3:12" x14ac:dyDescent="0.25">
      <c r="C16" s="2">
        <v>11</v>
      </c>
      <c r="D16" s="2" t="s">
        <v>164</v>
      </c>
      <c r="E16" s="6" t="s">
        <v>165</v>
      </c>
      <c r="F16" s="7"/>
      <c r="G16" s="7">
        <v>1</v>
      </c>
      <c r="H16" s="8">
        <v>801550</v>
      </c>
      <c r="I16" s="8">
        <v>300000</v>
      </c>
      <c r="J16" s="9">
        <f t="shared" si="0"/>
        <v>501550</v>
      </c>
      <c r="K16" s="1"/>
      <c r="L16" t="s">
        <v>166</v>
      </c>
    </row>
    <row r="17" spans="3:12" x14ac:dyDescent="0.25">
      <c r="C17" s="2">
        <v>12</v>
      </c>
      <c r="D17" s="2" t="s">
        <v>59</v>
      </c>
      <c r="E17" s="6" t="s">
        <v>167</v>
      </c>
      <c r="F17" s="7"/>
      <c r="G17" s="7">
        <v>1</v>
      </c>
      <c r="H17" s="8">
        <f>(650000+75000)*0.9712</f>
        <v>704120</v>
      </c>
      <c r="I17" s="8">
        <f>150000*4</f>
        <v>600000</v>
      </c>
      <c r="J17" s="9">
        <f t="shared" si="0"/>
        <v>104120</v>
      </c>
      <c r="K17" t="s">
        <v>168</v>
      </c>
    </row>
    <row r="18" spans="3:12" x14ac:dyDescent="0.25">
      <c r="C18" s="2">
        <v>13</v>
      </c>
      <c r="D18" s="2" t="s">
        <v>169</v>
      </c>
      <c r="E18" s="6" t="s">
        <v>170</v>
      </c>
      <c r="F18" s="7" t="s">
        <v>171</v>
      </c>
      <c r="G18" s="7">
        <v>9</v>
      </c>
      <c r="H18" s="8">
        <f>671400*0.95+52816</f>
        <v>690646</v>
      </c>
      <c r="I18" s="8">
        <f>70000*9</f>
        <v>630000</v>
      </c>
      <c r="J18" s="9">
        <f t="shared" si="0"/>
        <v>60646</v>
      </c>
      <c r="K18" s="1" t="s">
        <v>172</v>
      </c>
    </row>
    <row r="19" spans="3:12" x14ac:dyDescent="0.25">
      <c r="C19" s="2">
        <v>14</v>
      </c>
      <c r="D19" s="2" t="s">
        <v>59</v>
      </c>
      <c r="E19" s="6" t="s">
        <v>173</v>
      </c>
      <c r="F19" s="7" t="s">
        <v>174</v>
      </c>
      <c r="G19" s="7">
        <v>7</v>
      </c>
      <c r="H19" s="12">
        <f>85000*7*0.9712+5868</f>
        <v>583732</v>
      </c>
      <c r="I19" s="8">
        <f>55000*7</f>
        <v>385000</v>
      </c>
      <c r="J19" s="9">
        <f t="shared" si="0"/>
        <v>198732</v>
      </c>
      <c r="K19" s="1" t="s">
        <v>175</v>
      </c>
    </row>
    <row r="20" spans="3:12" x14ac:dyDescent="0.25">
      <c r="C20" s="2">
        <v>15</v>
      </c>
      <c r="D20" s="2" t="s">
        <v>169</v>
      </c>
      <c r="E20" s="6" t="s">
        <v>176</v>
      </c>
      <c r="F20" s="7" t="s">
        <v>177</v>
      </c>
      <c r="G20" s="7">
        <v>5</v>
      </c>
      <c r="H20" s="8">
        <f>525000*0.95+45347</f>
        <v>544097</v>
      </c>
      <c r="I20" s="8">
        <f>100000*5</f>
        <v>500000</v>
      </c>
      <c r="J20" s="9">
        <f t="shared" si="0"/>
        <v>44097</v>
      </c>
      <c r="K20" s="11" t="s">
        <v>178</v>
      </c>
    </row>
    <row r="21" spans="3:12" x14ac:dyDescent="0.25">
      <c r="C21" s="2">
        <v>16</v>
      </c>
      <c r="D21" s="2" t="s">
        <v>169</v>
      </c>
      <c r="E21" s="6" t="s">
        <v>176</v>
      </c>
      <c r="F21" s="7" t="s">
        <v>179</v>
      </c>
      <c r="G21" s="7">
        <v>3</v>
      </c>
      <c r="H21" s="8">
        <f>374400*0.95+80025</f>
        <v>435705</v>
      </c>
      <c r="I21" s="8">
        <f>145000*3</f>
        <v>435000</v>
      </c>
      <c r="J21" s="9">
        <f t="shared" si="0"/>
        <v>705</v>
      </c>
      <c r="K21" s="11" t="s">
        <v>180</v>
      </c>
    </row>
    <row r="22" spans="3:12" x14ac:dyDescent="0.25">
      <c r="C22" s="2">
        <v>17</v>
      </c>
      <c r="D22" s="2" t="s">
        <v>59</v>
      </c>
      <c r="E22" s="6" t="s">
        <v>181</v>
      </c>
      <c r="F22" s="7" t="s">
        <v>182</v>
      </c>
      <c r="G22" s="7">
        <v>3</v>
      </c>
      <c r="H22" s="12">
        <f>420000*0.9712</f>
        <v>407904</v>
      </c>
      <c r="I22" s="8">
        <f>160000*3</f>
        <v>480000</v>
      </c>
      <c r="J22" s="9">
        <f t="shared" si="0"/>
        <v>-72096</v>
      </c>
      <c r="K22" s="11" t="s">
        <v>168</v>
      </c>
    </row>
    <row r="23" spans="3:12" x14ac:dyDescent="0.25">
      <c r="C23" s="2">
        <v>18</v>
      </c>
      <c r="D23" s="2" t="s">
        <v>59</v>
      </c>
      <c r="E23" s="6" t="s">
        <v>183</v>
      </c>
      <c r="F23" s="7" t="s">
        <v>184</v>
      </c>
      <c r="G23" s="7">
        <v>3</v>
      </c>
      <c r="H23" s="12">
        <f>125000*3*0.9712</f>
        <v>364200</v>
      </c>
      <c r="I23" s="8">
        <f>140000*3</f>
        <v>420000</v>
      </c>
      <c r="J23" s="9">
        <f t="shared" si="0"/>
        <v>-55800</v>
      </c>
      <c r="K23" t="s">
        <v>185</v>
      </c>
    </row>
    <row r="24" spans="3:12" x14ac:dyDescent="0.25">
      <c r="C24" s="2">
        <v>19</v>
      </c>
      <c r="D24" s="2" t="s">
        <v>65</v>
      </c>
      <c r="E24" s="6" t="s">
        <v>186</v>
      </c>
      <c r="F24" s="7" t="s">
        <v>187</v>
      </c>
      <c r="G24" s="7">
        <v>1</v>
      </c>
      <c r="H24" s="8">
        <f>420000*0.86</f>
        <v>361200</v>
      </c>
      <c r="I24" s="8">
        <v>300000</v>
      </c>
      <c r="J24" s="9">
        <f t="shared" si="0"/>
        <v>61200</v>
      </c>
      <c r="K24" t="s">
        <v>180</v>
      </c>
    </row>
    <row r="25" spans="3:12" x14ac:dyDescent="0.25">
      <c r="C25" s="2">
        <v>20</v>
      </c>
      <c r="D25" s="2" t="s">
        <v>161</v>
      </c>
      <c r="E25" s="6" t="s">
        <v>188</v>
      </c>
      <c r="F25" s="7"/>
      <c r="G25" s="7">
        <v>13</v>
      </c>
      <c r="H25" s="8">
        <f>369200*0.95</f>
        <v>350740</v>
      </c>
      <c r="I25" s="8">
        <f>13*30000</f>
        <v>390000</v>
      </c>
      <c r="J25" s="9">
        <f t="shared" si="0"/>
        <v>-39260</v>
      </c>
      <c r="K25" t="s">
        <v>189</v>
      </c>
    </row>
    <row r="26" spans="3:12" x14ac:dyDescent="0.25">
      <c r="C26" s="2">
        <v>21</v>
      </c>
      <c r="D26" s="2" t="s">
        <v>59</v>
      </c>
      <c r="E26" s="13" t="s">
        <v>190</v>
      </c>
      <c r="F26" s="7" t="s">
        <v>191</v>
      </c>
      <c r="G26" s="7">
        <v>51</v>
      </c>
      <c r="H26" s="8">
        <f>357000*0.9712</f>
        <v>346718.39999999997</v>
      </c>
      <c r="I26" s="8">
        <f>6500*51</f>
        <v>331500</v>
      </c>
      <c r="J26" s="9">
        <f t="shared" si="0"/>
        <v>15218.399999999965</v>
      </c>
      <c r="K26" s="11" t="s">
        <v>192</v>
      </c>
    </row>
    <row r="27" spans="3:12" x14ac:dyDescent="0.25">
      <c r="C27" s="2">
        <v>22</v>
      </c>
      <c r="D27" s="2" t="s">
        <v>65</v>
      </c>
      <c r="E27" s="6" t="s">
        <v>193</v>
      </c>
      <c r="F27" s="7"/>
      <c r="G27" s="7">
        <v>1</v>
      </c>
      <c r="H27" s="8">
        <f>350000*0.86</f>
        <v>301000</v>
      </c>
      <c r="I27" s="8">
        <v>265000</v>
      </c>
      <c r="J27" s="9">
        <f t="shared" si="0"/>
        <v>36000</v>
      </c>
      <c r="K27" t="s">
        <v>194</v>
      </c>
    </row>
    <row r="28" spans="3:12" x14ac:dyDescent="0.25">
      <c r="C28" s="2">
        <v>23</v>
      </c>
      <c r="D28" s="2" t="s">
        <v>65</v>
      </c>
      <c r="E28" s="6" t="s">
        <v>195</v>
      </c>
      <c r="F28" s="7"/>
      <c r="G28" s="7">
        <v>1</v>
      </c>
      <c r="H28" s="8">
        <f>295000*0.86</f>
        <v>253700</v>
      </c>
      <c r="I28" s="8">
        <v>200000</v>
      </c>
      <c r="J28" s="9">
        <f t="shared" si="0"/>
        <v>53700</v>
      </c>
      <c r="K28" t="s">
        <v>196</v>
      </c>
    </row>
    <row r="29" spans="3:12" x14ac:dyDescent="0.25">
      <c r="C29" s="2">
        <v>24</v>
      </c>
      <c r="D29" s="2" t="s">
        <v>59</v>
      </c>
      <c r="E29" s="13" t="s">
        <v>197</v>
      </c>
      <c r="F29" s="7" t="s">
        <v>198</v>
      </c>
      <c r="G29" s="7">
        <v>58</v>
      </c>
      <c r="H29" s="8">
        <f>261000*0.9712</f>
        <v>253483.19999999998</v>
      </c>
      <c r="I29" s="8">
        <f>4500*58</f>
        <v>261000</v>
      </c>
      <c r="J29" s="9">
        <f t="shared" si="0"/>
        <v>-7516.8000000000175</v>
      </c>
      <c r="K29" s="11" t="s">
        <v>199</v>
      </c>
    </row>
    <row r="30" spans="3:12" x14ac:dyDescent="0.25">
      <c r="C30" s="2">
        <v>25</v>
      </c>
      <c r="D30" s="2" t="s">
        <v>59</v>
      </c>
      <c r="E30" s="6" t="s">
        <v>181</v>
      </c>
      <c r="F30" s="7" t="s">
        <v>200</v>
      </c>
      <c r="G30" s="7">
        <v>4</v>
      </c>
      <c r="H30" s="12">
        <f>4*65000*0.9712</f>
        <v>252512</v>
      </c>
      <c r="I30" s="8">
        <f>55000*4</f>
        <v>220000</v>
      </c>
      <c r="J30" s="9">
        <f t="shared" si="0"/>
        <v>32512</v>
      </c>
      <c r="K30" t="s">
        <v>201</v>
      </c>
    </row>
    <row r="31" spans="3:12" x14ac:dyDescent="0.25">
      <c r="C31" s="2">
        <v>26</v>
      </c>
      <c r="D31" s="2" t="s">
        <v>59</v>
      </c>
      <c r="E31" s="13" t="s">
        <v>202</v>
      </c>
      <c r="F31" s="7" t="s">
        <v>191</v>
      </c>
      <c r="G31" s="7">
        <v>15</v>
      </c>
      <c r="H31" s="8">
        <f>240000*0.9712</f>
        <v>233088</v>
      </c>
      <c r="I31" s="8">
        <f>15000*15</f>
        <v>225000</v>
      </c>
      <c r="J31" s="9">
        <f t="shared" si="0"/>
        <v>8088</v>
      </c>
      <c r="K31" s="11" t="s">
        <v>203</v>
      </c>
      <c r="L31" t="s">
        <v>204</v>
      </c>
    </row>
    <row r="32" spans="3:12" x14ac:dyDescent="0.25">
      <c r="C32" s="2">
        <v>27</v>
      </c>
      <c r="D32" s="2" t="s">
        <v>59</v>
      </c>
      <c r="E32" s="6" t="s">
        <v>205</v>
      </c>
      <c r="F32" s="7"/>
      <c r="G32" s="7">
        <v>60</v>
      </c>
      <c r="H32" s="8">
        <f>240000*0.9712</f>
        <v>233088</v>
      </c>
      <c r="I32" s="8">
        <f>4974*60</f>
        <v>298440</v>
      </c>
      <c r="J32" s="9">
        <f t="shared" si="0"/>
        <v>-65352</v>
      </c>
      <c r="K32" t="s">
        <v>206</v>
      </c>
    </row>
    <row r="33" spans="3:11" x14ac:dyDescent="0.25">
      <c r="C33" s="2">
        <v>28</v>
      </c>
      <c r="D33" s="2" t="s">
        <v>59</v>
      </c>
      <c r="E33" s="13" t="s">
        <v>207</v>
      </c>
      <c r="F33" s="7" t="s">
        <v>198</v>
      </c>
      <c r="G33" s="7">
        <v>58</v>
      </c>
      <c r="H33" s="8">
        <f>232000*0.9712</f>
        <v>225318.39999999999</v>
      </c>
      <c r="I33" s="8">
        <f>2500*58</f>
        <v>145000</v>
      </c>
      <c r="J33" s="9">
        <f t="shared" si="0"/>
        <v>80318.399999999994</v>
      </c>
    </row>
    <row r="34" spans="3:11" x14ac:dyDescent="0.25">
      <c r="C34" s="2">
        <v>29</v>
      </c>
      <c r="D34" s="2" t="s">
        <v>161</v>
      </c>
      <c r="E34" s="6" t="s">
        <v>208</v>
      </c>
      <c r="F34" s="7"/>
      <c r="G34" s="7">
        <v>15</v>
      </c>
      <c r="H34" s="8">
        <f>225750*0.95</f>
        <v>214462.5</v>
      </c>
      <c r="I34" s="8">
        <f>15000*15</f>
        <v>225000</v>
      </c>
      <c r="J34" s="9">
        <f t="shared" si="0"/>
        <v>-10537.5</v>
      </c>
      <c r="K34" t="s">
        <v>209</v>
      </c>
    </row>
    <row r="35" spans="3:11" x14ac:dyDescent="0.25">
      <c r="C35" s="2">
        <v>30</v>
      </c>
      <c r="D35" s="2" t="s">
        <v>65</v>
      </c>
      <c r="E35" s="6" t="s">
        <v>210</v>
      </c>
      <c r="F35" s="7"/>
      <c r="G35" s="7">
        <v>2</v>
      </c>
      <c r="H35" s="8">
        <f>237500*0.86</f>
        <v>204250</v>
      </c>
      <c r="I35" s="8">
        <f>105000*2</f>
        <v>210000</v>
      </c>
      <c r="J35" s="9">
        <f t="shared" si="0"/>
        <v>-5750</v>
      </c>
      <c r="K35" t="s">
        <v>211</v>
      </c>
    </row>
    <row r="36" spans="3:11" x14ac:dyDescent="0.25">
      <c r="C36" s="2">
        <v>31</v>
      </c>
      <c r="D36" s="2" t="s">
        <v>59</v>
      </c>
      <c r="E36" s="6" t="s">
        <v>181</v>
      </c>
      <c r="F36" s="7" t="s">
        <v>212</v>
      </c>
      <c r="G36" s="7">
        <v>1</v>
      </c>
      <c r="H36" s="12">
        <f>210000*0.9712</f>
        <v>203952</v>
      </c>
      <c r="I36" s="8">
        <v>200000</v>
      </c>
      <c r="J36" s="9">
        <f t="shared" si="0"/>
        <v>3952</v>
      </c>
      <c r="K36" t="s">
        <v>213</v>
      </c>
    </row>
    <row r="37" spans="3:11" x14ac:dyDescent="0.25">
      <c r="C37" s="2">
        <v>32</v>
      </c>
      <c r="D37" s="2" t="s">
        <v>169</v>
      </c>
      <c r="E37" s="6" t="s">
        <v>214</v>
      </c>
      <c r="F37" s="7"/>
      <c r="G37" s="7">
        <v>2</v>
      </c>
      <c r="H37" s="8">
        <f>202700*0.95</f>
        <v>192565</v>
      </c>
      <c r="I37" s="8">
        <f>78000*2</f>
        <v>156000</v>
      </c>
      <c r="J37" s="9">
        <f t="shared" si="0"/>
        <v>36565</v>
      </c>
      <c r="K37" t="s">
        <v>215</v>
      </c>
    </row>
    <row r="38" spans="3:11" x14ac:dyDescent="0.25">
      <c r="C38" s="2">
        <v>33</v>
      </c>
      <c r="D38" s="2" t="s">
        <v>59</v>
      </c>
      <c r="E38" s="13" t="s">
        <v>216</v>
      </c>
      <c r="F38" s="7" t="s">
        <v>198</v>
      </c>
      <c r="G38" s="7">
        <v>52</v>
      </c>
      <c r="H38" s="8">
        <f>187200*0.9712</f>
        <v>181808.63999999998</v>
      </c>
      <c r="I38" s="8">
        <f>3500*52</f>
        <v>182000</v>
      </c>
      <c r="J38" s="9">
        <f t="shared" si="0"/>
        <v>-191.36000000001513</v>
      </c>
      <c r="K38" t="s">
        <v>217</v>
      </c>
    </row>
    <row r="39" spans="3:11" x14ac:dyDescent="0.25">
      <c r="C39" s="2">
        <v>34</v>
      </c>
      <c r="D39" s="2" t="s">
        <v>59</v>
      </c>
      <c r="E39" s="13" t="s">
        <v>218</v>
      </c>
      <c r="F39" s="7" t="s">
        <v>198</v>
      </c>
      <c r="G39" s="7">
        <v>52</v>
      </c>
      <c r="H39" s="8">
        <f>182000*0.9712</f>
        <v>176758.39999999999</v>
      </c>
      <c r="I39" s="8">
        <f>3500*52</f>
        <v>182000</v>
      </c>
      <c r="J39" s="9">
        <f t="shared" si="0"/>
        <v>-5241.6000000000058</v>
      </c>
      <c r="K39" t="s">
        <v>217</v>
      </c>
    </row>
    <row r="40" spans="3:11" x14ac:dyDescent="0.25">
      <c r="C40" s="2">
        <v>35</v>
      </c>
      <c r="D40" s="2" t="s">
        <v>169</v>
      </c>
      <c r="E40" s="6" t="s">
        <v>170</v>
      </c>
      <c r="F40" s="7" t="s">
        <v>219</v>
      </c>
      <c r="G40" s="7">
        <v>3</v>
      </c>
      <c r="H40" s="8">
        <f>145500*0.95+9603</f>
        <v>147828</v>
      </c>
      <c r="I40" s="8">
        <f>45000*3</f>
        <v>135000</v>
      </c>
      <c r="J40" s="9">
        <f t="shared" si="0"/>
        <v>12828</v>
      </c>
      <c r="K40" t="s">
        <v>220</v>
      </c>
    </row>
    <row r="41" spans="3:11" x14ac:dyDescent="0.25">
      <c r="C41" s="2">
        <v>36</v>
      </c>
      <c r="D41" s="2" t="s">
        <v>65</v>
      </c>
      <c r="E41" s="6" t="s">
        <v>221</v>
      </c>
      <c r="F41" s="7"/>
      <c r="G41" s="7">
        <v>1</v>
      </c>
      <c r="H41" s="8">
        <f>157500*0.86</f>
        <v>135450</v>
      </c>
      <c r="I41" s="8">
        <v>95000</v>
      </c>
      <c r="J41" s="9">
        <f t="shared" si="0"/>
        <v>40450</v>
      </c>
      <c r="K41" t="s">
        <v>222</v>
      </c>
    </row>
    <row r="42" spans="3:11" x14ac:dyDescent="0.25">
      <c r="C42" s="2">
        <v>37</v>
      </c>
      <c r="D42" s="2" t="s">
        <v>65</v>
      </c>
      <c r="E42" s="6" t="s">
        <v>223</v>
      </c>
      <c r="F42" s="7" t="s">
        <v>224</v>
      </c>
      <c r="G42" s="7">
        <v>1</v>
      </c>
      <c r="H42" s="8">
        <f>155000*0.86</f>
        <v>133300</v>
      </c>
      <c r="I42" s="8">
        <v>135000</v>
      </c>
      <c r="J42" s="9">
        <f t="shared" si="0"/>
        <v>-1700</v>
      </c>
      <c r="K42" t="s">
        <v>225</v>
      </c>
    </row>
    <row r="43" spans="3:11" x14ac:dyDescent="0.25">
      <c r="C43" s="2">
        <v>38</v>
      </c>
      <c r="D43" s="2" t="s">
        <v>59</v>
      </c>
      <c r="E43" s="6" t="s">
        <v>226</v>
      </c>
      <c r="F43" s="7" t="s">
        <v>227</v>
      </c>
      <c r="G43" s="7">
        <v>2</v>
      </c>
      <c r="H43" s="12">
        <f>68000*2*0.9712</f>
        <v>132083.19999999998</v>
      </c>
      <c r="I43" s="8">
        <v>95000</v>
      </c>
      <c r="J43" s="9">
        <f t="shared" si="0"/>
        <v>37083.199999999983</v>
      </c>
      <c r="K43" t="s">
        <v>228</v>
      </c>
    </row>
    <row r="44" spans="3:11" x14ac:dyDescent="0.25">
      <c r="C44" s="2">
        <v>39</v>
      </c>
      <c r="D44" s="2" t="s">
        <v>59</v>
      </c>
      <c r="E44" s="6" t="s">
        <v>181</v>
      </c>
      <c r="F44" s="7" t="s">
        <v>229</v>
      </c>
      <c r="G44" s="7">
        <v>1</v>
      </c>
      <c r="H44" s="12">
        <f>130000*0.9712</f>
        <v>126256</v>
      </c>
      <c r="I44" s="8">
        <v>140000</v>
      </c>
      <c r="J44" s="9">
        <f t="shared" si="0"/>
        <v>-13744</v>
      </c>
      <c r="K44" t="s">
        <v>230</v>
      </c>
    </row>
    <row r="45" spans="3:11" x14ac:dyDescent="0.25">
      <c r="C45" s="2">
        <v>40</v>
      </c>
      <c r="D45" s="2" t="s">
        <v>59</v>
      </c>
      <c r="E45" s="13" t="s">
        <v>231</v>
      </c>
      <c r="F45" s="7" t="s">
        <v>198</v>
      </c>
      <c r="G45" s="7">
        <v>46</v>
      </c>
      <c r="H45" s="8">
        <f>128800*0.9712</f>
        <v>125090.56</v>
      </c>
      <c r="I45" s="8">
        <f>3000*46</f>
        <v>138000</v>
      </c>
      <c r="J45" s="9">
        <f t="shared" si="0"/>
        <v>-12909.440000000002</v>
      </c>
      <c r="K45" t="s">
        <v>232</v>
      </c>
    </row>
    <row r="46" spans="3:11" x14ac:dyDescent="0.25">
      <c r="C46" s="2">
        <v>41</v>
      </c>
      <c r="D46" s="2" t="s">
        <v>59</v>
      </c>
      <c r="E46" s="13" t="s">
        <v>233</v>
      </c>
      <c r="F46" s="7" t="s">
        <v>198</v>
      </c>
      <c r="G46" s="7">
        <v>46</v>
      </c>
      <c r="H46" s="8">
        <f>115000*0.9712</f>
        <v>111688</v>
      </c>
      <c r="I46" s="8">
        <f>2200*46</f>
        <v>101200</v>
      </c>
      <c r="J46" s="9">
        <f t="shared" si="0"/>
        <v>10488</v>
      </c>
    </row>
    <row r="47" spans="3:11" x14ac:dyDescent="0.25">
      <c r="C47" s="2">
        <v>42</v>
      </c>
      <c r="D47" s="2" t="s">
        <v>169</v>
      </c>
      <c r="E47" s="6" t="s">
        <v>234</v>
      </c>
      <c r="F47" s="7" t="s">
        <v>171</v>
      </c>
      <c r="G47" s="7">
        <v>1</v>
      </c>
      <c r="H47" s="8">
        <f>104980*0.95</f>
        <v>99731</v>
      </c>
      <c r="I47" s="8">
        <v>88150</v>
      </c>
      <c r="J47" s="9">
        <f t="shared" si="0"/>
        <v>11581</v>
      </c>
      <c r="K47" s="11" t="s">
        <v>235</v>
      </c>
    </row>
    <row r="48" spans="3:11" x14ac:dyDescent="0.25">
      <c r="C48" s="2">
        <v>43</v>
      </c>
      <c r="D48" s="2" t="s">
        <v>161</v>
      </c>
      <c r="E48" s="6" t="s">
        <v>236</v>
      </c>
      <c r="F48" s="7" t="s">
        <v>237</v>
      </c>
      <c r="G48" s="7">
        <v>4</v>
      </c>
      <c r="H48" s="8">
        <f>103572*0.95</f>
        <v>98393.4</v>
      </c>
      <c r="I48" s="8">
        <f>20000*4</f>
        <v>80000</v>
      </c>
      <c r="J48" s="9">
        <f t="shared" si="0"/>
        <v>18393.399999999994</v>
      </c>
      <c r="K48" t="s">
        <v>238</v>
      </c>
    </row>
    <row r="49" spans="3:11" x14ac:dyDescent="0.25">
      <c r="C49" s="2">
        <v>44</v>
      </c>
      <c r="D49" s="2" t="s">
        <v>169</v>
      </c>
      <c r="E49" s="6" t="s">
        <v>239</v>
      </c>
      <c r="F49" s="7" t="s">
        <v>240</v>
      </c>
      <c r="G49" s="7">
        <v>4</v>
      </c>
      <c r="H49" s="8">
        <f>95600*0.95</f>
        <v>90820</v>
      </c>
      <c r="I49" s="8">
        <f>31000*4</f>
        <v>124000</v>
      </c>
      <c r="J49" s="9">
        <f t="shared" si="0"/>
        <v>-33180</v>
      </c>
      <c r="K49" t="s">
        <v>241</v>
      </c>
    </row>
    <row r="50" spans="3:11" x14ac:dyDescent="0.25">
      <c r="C50" s="2">
        <v>45</v>
      </c>
      <c r="D50" s="2" t="s">
        <v>169</v>
      </c>
      <c r="E50" s="6" t="s">
        <v>242</v>
      </c>
      <c r="F50" s="7" t="s">
        <v>243</v>
      </c>
      <c r="G50" s="7">
        <v>2</v>
      </c>
      <c r="H50" s="8">
        <f>89000*0.95</f>
        <v>84550</v>
      </c>
      <c r="I50" s="8">
        <f>43500*2</f>
        <v>87000</v>
      </c>
      <c r="J50" s="9">
        <f t="shared" si="0"/>
        <v>-2450</v>
      </c>
      <c r="K50" t="s">
        <v>244</v>
      </c>
    </row>
    <row r="51" spans="3:11" x14ac:dyDescent="0.25">
      <c r="C51" s="2">
        <v>46</v>
      </c>
      <c r="D51" s="2" t="s">
        <v>161</v>
      </c>
      <c r="E51" s="6" t="s">
        <v>245</v>
      </c>
      <c r="F51" s="7" t="s">
        <v>246</v>
      </c>
      <c r="G51" s="7">
        <v>12</v>
      </c>
      <c r="H51" s="8">
        <f>75600*0.95</f>
        <v>71820</v>
      </c>
      <c r="I51" s="8">
        <f>4010*12</f>
        <v>48120</v>
      </c>
      <c r="J51" s="9">
        <f t="shared" si="0"/>
        <v>23700</v>
      </c>
      <c r="K51" t="s">
        <v>247</v>
      </c>
    </row>
    <row r="52" spans="3:11" x14ac:dyDescent="0.25">
      <c r="C52" s="2">
        <v>47</v>
      </c>
      <c r="D52" s="2" t="s">
        <v>169</v>
      </c>
      <c r="E52" s="6" t="s">
        <v>239</v>
      </c>
      <c r="F52" s="7" t="s">
        <v>248</v>
      </c>
      <c r="G52" s="7">
        <v>3</v>
      </c>
      <c r="H52" s="8">
        <f>67500*0.95</f>
        <v>64125</v>
      </c>
      <c r="I52" s="8">
        <f>28500*3</f>
        <v>85500</v>
      </c>
      <c r="J52" s="9">
        <f t="shared" si="0"/>
        <v>-21375</v>
      </c>
      <c r="K52" t="s">
        <v>249</v>
      </c>
    </row>
    <row r="53" spans="3:11" x14ac:dyDescent="0.25">
      <c r="C53" s="2">
        <v>48</v>
      </c>
      <c r="D53" s="2" t="s">
        <v>169</v>
      </c>
      <c r="E53" s="6" t="s">
        <v>242</v>
      </c>
      <c r="F53" s="7" t="s">
        <v>240</v>
      </c>
      <c r="G53" s="7">
        <v>2</v>
      </c>
      <c r="H53" s="8">
        <f>59000*0.95</f>
        <v>56050</v>
      </c>
      <c r="I53" s="8">
        <f>27500*2</f>
        <v>55000</v>
      </c>
      <c r="J53" s="9">
        <f t="shared" si="0"/>
        <v>1050</v>
      </c>
      <c r="K53" t="s">
        <v>250</v>
      </c>
    </row>
    <row r="54" spans="3:11" x14ac:dyDescent="0.25">
      <c r="C54" s="2">
        <v>49</v>
      </c>
      <c r="D54" s="2" t="s">
        <v>169</v>
      </c>
      <c r="E54" s="6" t="s">
        <v>239</v>
      </c>
      <c r="F54" s="7" t="s">
        <v>243</v>
      </c>
      <c r="G54" s="7">
        <v>2</v>
      </c>
      <c r="H54" s="8">
        <f>57400*0.95</f>
        <v>54530</v>
      </c>
      <c r="I54" s="8">
        <f>42500*2</f>
        <v>85000</v>
      </c>
      <c r="J54" s="9">
        <f t="shared" si="0"/>
        <v>-30470</v>
      </c>
      <c r="K54" t="s">
        <v>251</v>
      </c>
    </row>
    <row r="55" spans="3:11" ht="21.75" customHeight="1" x14ac:dyDescent="0.25">
      <c r="C55" s="2">
        <v>50</v>
      </c>
      <c r="D55" s="2" t="s">
        <v>169</v>
      </c>
      <c r="E55" s="14" t="s">
        <v>252</v>
      </c>
      <c r="F55" s="2"/>
      <c r="G55" s="7">
        <v>9</v>
      </c>
      <c r="H55" s="15">
        <f>54450*0.97</f>
        <v>52816.5</v>
      </c>
      <c r="I55" s="8">
        <f>3500*9</f>
        <v>31500</v>
      </c>
      <c r="J55" s="9">
        <f t="shared" si="0"/>
        <v>21316.5</v>
      </c>
      <c r="K55" t="s">
        <v>253</v>
      </c>
    </row>
    <row r="56" spans="3:11" ht="18" customHeight="1" x14ac:dyDescent="0.25">
      <c r="C56" s="2">
        <v>51</v>
      </c>
      <c r="D56" s="2" t="s">
        <v>169</v>
      </c>
      <c r="E56" s="14" t="s">
        <v>254</v>
      </c>
      <c r="F56" s="2"/>
      <c r="G56" s="7">
        <v>5</v>
      </c>
      <c r="H56" s="15">
        <f>41000*0.97</f>
        <v>39770</v>
      </c>
      <c r="I56" s="8">
        <f>5000*5</f>
        <v>25000</v>
      </c>
      <c r="J56" s="9">
        <f t="shared" si="0"/>
        <v>14770</v>
      </c>
      <c r="K56" t="s">
        <v>255</v>
      </c>
    </row>
    <row r="57" spans="3:11" x14ac:dyDescent="0.25">
      <c r="C57" s="2">
        <v>52</v>
      </c>
      <c r="D57" s="2" t="s">
        <v>161</v>
      </c>
      <c r="E57" s="6" t="s">
        <v>256</v>
      </c>
      <c r="F57" s="7"/>
      <c r="G57" s="7">
        <v>2</v>
      </c>
      <c r="H57" s="8">
        <f>32800*0.95</f>
        <v>31160</v>
      </c>
      <c r="I57" s="8">
        <f>15680*2</f>
        <v>31360</v>
      </c>
      <c r="J57" s="9">
        <f t="shared" si="0"/>
        <v>-200</v>
      </c>
      <c r="K57" t="s">
        <v>257</v>
      </c>
    </row>
    <row r="58" spans="3:11" ht="21.75" customHeight="1" x14ac:dyDescent="0.25">
      <c r="C58" s="2">
        <v>53</v>
      </c>
      <c r="D58" s="2" t="s">
        <v>169</v>
      </c>
      <c r="E58" s="14" t="s">
        <v>258</v>
      </c>
      <c r="F58" s="2"/>
      <c r="G58" s="7"/>
      <c r="H58" s="15">
        <f>31160+25608+9942+9845+8730+8245+7517</f>
        <v>101047</v>
      </c>
      <c r="I58" s="8"/>
      <c r="J58" s="9"/>
    </row>
    <row r="59" spans="3:11" x14ac:dyDescent="0.25">
      <c r="C59" s="34" t="s">
        <v>259</v>
      </c>
      <c r="D59" s="34"/>
      <c r="E59" s="34"/>
      <c r="F59" s="16"/>
      <c r="G59" s="16"/>
      <c r="H59" s="15">
        <f>SUM(H6:H58)</f>
        <v>34109856.939999998</v>
      </c>
      <c r="I59" s="15">
        <f>SUM(I6:I58)</f>
        <v>34381770</v>
      </c>
      <c r="J59" s="1"/>
    </row>
  </sheetData>
  <autoFilter ref="C5:L59" xr:uid="{0542E6E6-D3ED-46C8-8648-C24239655C91}"/>
  <mergeCells count="1">
    <mergeCell ref="C59:E59"/>
  </mergeCells>
  <hyperlinks>
    <hyperlink ref="K7" r:id="rId1" xr:uid="{024BCFD1-9DE6-4726-BD4A-9447C29812A8}"/>
    <hyperlink ref="K9" r:id="rId2" xr:uid="{86E800FB-D24F-42B0-9AD1-804F02478D94}"/>
    <hyperlink ref="K10" r:id="rId3" xr:uid="{56710AD3-64B5-4741-A5C7-AE2FEAE82839}"/>
    <hyperlink ref="K26" r:id="rId4" xr:uid="{D859EE1D-0A31-4ECB-856C-956BE58FA1F8}"/>
    <hyperlink ref="K29" r:id="rId5" xr:uid="{E70C9626-2DB2-4994-B046-3675FE0FC844}"/>
    <hyperlink ref="K20" r:id="rId6" xr:uid="{B48A152E-1121-4532-8DE2-78718FE86BB8}"/>
    <hyperlink ref="K21" r:id="rId7" xr:uid="{D9707252-2924-4623-AEC3-D97E830AEE89}"/>
    <hyperlink ref="K31" r:id="rId8" xr:uid="{F1BEF33D-E4A8-4D45-B162-BBAF78AF28AB}"/>
    <hyperlink ref="K47" r:id="rId9" xr:uid="{96083AAB-E1B0-46B4-B413-FEF6B5619D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quotations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Grewal</dc:creator>
  <cp:lastModifiedBy>Mahesh Joshi</cp:lastModifiedBy>
  <dcterms:created xsi:type="dcterms:W3CDTF">2015-06-05T18:17:20Z</dcterms:created>
  <dcterms:modified xsi:type="dcterms:W3CDTF">2023-10-23T05:54:06Z</dcterms:modified>
</cp:coreProperties>
</file>