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defaultThemeVersion="124226"/>
  <xr:revisionPtr revIDLastSave="0" documentId="13_ncr:1_{ADE2E7B1-5E22-450C-870D-382B7E1540BB}" xr6:coauthVersionLast="47" xr6:coauthVersionMax="47" xr10:uidLastSave="{00000000-0000-0000-0000-000000000000}"/>
  <bookViews>
    <workbookView xWindow="165" yWindow="0" windowWidth="14415" windowHeight="15315" activeTab="1" xr2:uid="{00000000-000D-0000-FFFF-FFFF00000000}"/>
  </bookViews>
  <sheets>
    <sheet name="Recovery Sheet" sheetId="9" r:id="rId1"/>
    <sheet name="Proforma A" sheetId="13" r:id="rId2"/>
    <sheet name="Deficiency Calculation" sheetId="10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E37" i="13" l="1"/>
  <c r="H12" i="10" l="1"/>
  <c r="H11" i="10"/>
  <c r="J18" i="13"/>
  <c r="E16" i="13" l="1"/>
  <c r="E13" i="13"/>
  <c r="E14" i="13" s="1"/>
  <c r="E20" i="13" s="1"/>
  <c r="J17" i="13" s="1"/>
  <c r="E21" i="13" l="1"/>
  <c r="J19" i="13" s="1"/>
  <c r="J20" i="13" s="1"/>
  <c r="E19" i="13"/>
  <c r="E25" i="13" s="1"/>
  <c r="E22" i="10"/>
  <c r="J22" i="10" s="1"/>
  <c r="O22" i="10" s="1"/>
  <c r="H68" i="9" l="1"/>
  <c r="P59" i="9"/>
  <c r="U59" i="9" s="1"/>
  <c r="U23" i="9"/>
  <c r="Q13" i="9"/>
  <c r="U78" i="9" l="1"/>
  <c r="U74" i="9"/>
  <c r="U75" i="9" s="1"/>
  <c r="H70" i="9" l="1"/>
  <c r="P77" i="9" s="1"/>
  <c r="E69" i="9" l="1"/>
  <c r="K69" i="9" s="1"/>
  <c r="O69" i="9" s="1"/>
  <c r="D70" i="9" s="1"/>
  <c r="U70" i="9" s="1"/>
  <c r="E67" i="9"/>
  <c r="K67" i="9" s="1"/>
  <c r="O67" i="9" s="1"/>
  <c r="D68" i="9" s="1"/>
  <c r="U68" i="9" s="1"/>
  <c r="U71" i="9" l="1"/>
  <c r="U72" i="9" s="1"/>
  <c r="P26" i="9"/>
  <c r="P27" i="9" s="1"/>
  <c r="P28" i="9" s="1"/>
  <c r="P29" i="9" s="1"/>
  <c r="P63" i="9" l="1"/>
  <c r="P33" i="9" l="1"/>
  <c r="N49" i="9" s="1"/>
  <c r="K26" i="9" l="1"/>
  <c r="H9" i="10" l="1"/>
  <c r="K63" i="9" l="1"/>
  <c r="U63" i="9" s="1"/>
  <c r="U64" i="9" s="1"/>
  <c r="K81" i="9"/>
  <c r="K82" i="9" s="1"/>
  <c r="H13" i="10"/>
  <c r="K86" i="9"/>
  <c r="U86" i="9" s="1"/>
  <c r="K33" i="9"/>
  <c r="U33" i="9" s="1"/>
  <c r="U34" i="9" s="1"/>
  <c r="E27" i="13"/>
  <c r="E29" i="13" s="1"/>
  <c r="E31" i="13" s="1"/>
  <c r="E32" i="13" s="1"/>
  <c r="E34" i="13" l="1"/>
  <c r="U37" i="9"/>
  <c r="U38" i="9"/>
  <c r="U35" i="9"/>
  <c r="M18" i="10"/>
  <c r="M82" i="9"/>
  <c r="U82" i="9" s="1"/>
  <c r="U36" i="9"/>
  <c r="M81" i="9"/>
  <c r="U81" i="9" s="1"/>
  <c r="U29" i="9"/>
  <c r="U27" i="9"/>
  <c r="U26" i="9"/>
  <c r="E36" i="13" l="1"/>
  <c r="P55" i="9"/>
  <c r="P58" i="9" s="1"/>
  <c r="E38" i="13"/>
  <c r="U83" i="9"/>
  <c r="C18" i="10"/>
  <c r="I11" i="10"/>
  <c r="U13" i="9"/>
  <c r="U60" i="9"/>
  <c r="C5" i="9" l="1"/>
  <c r="E40" i="13"/>
  <c r="H15" i="10"/>
  <c r="U49" i="9"/>
  <c r="U50" i="9" s="1"/>
  <c r="H18" i="10" l="1"/>
  <c r="M21" i="10" l="1"/>
  <c r="H21" i="10"/>
  <c r="C21" i="10"/>
  <c r="E42" i="13" l="1"/>
  <c r="E43" i="13" s="1"/>
  <c r="H10" i="10"/>
  <c r="H14" i="10" s="1"/>
  <c r="C7" i="9"/>
  <c r="D7" i="9" l="1"/>
  <c r="C8" i="9"/>
  <c r="P46" i="9"/>
  <c r="D5" i="9"/>
  <c r="K28" i="9" l="1"/>
  <c r="U28" i="9" s="1"/>
  <c r="U30" i="9" s="1"/>
  <c r="D8" i="9"/>
  <c r="D9" i="9" s="1"/>
  <c r="D10" i="9" s="1"/>
  <c r="K40" i="9"/>
  <c r="U40" i="9" s="1"/>
  <c r="U43" i="9" l="1"/>
  <c r="U42" i="9"/>
  <c r="U41" i="9"/>
  <c r="L12" i="9"/>
  <c r="U12" i="9" s="1"/>
  <c r="U15" i="9" s="1"/>
  <c r="K21" i="9"/>
  <c r="U21" i="9" s="1"/>
  <c r="K18" i="9"/>
  <c r="U18" i="9" s="1"/>
  <c r="U19" i="9" s="1"/>
  <c r="U87" i="9" s="1"/>
  <c r="J18" i="10"/>
  <c r="L18" i="10" s="1"/>
  <c r="J21" i="10" s="1"/>
  <c r="L21" i="10" s="1"/>
  <c r="H22" i="10" s="1"/>
  <c r="L22" i="10" s="1"/>
  <c r="H24" i="10" s="1"/>
  <c r="L24" i="10" s="1"/>
  <c r="E18" i="10"/>
  <c r="G18" i="10" s="1"/>
  <c r="E21" i="10" s="1"/>
  <c r="G21" i="10" s="1"/>
  <c r="O18" i="10"/>
  <c r="Q18" i="10" s="1"/>
  <c r="O21" i="10" s="1"/>
  <c r="Q21" i="10" s="1"/>
  <c r="M22" i="10" s="1"/>
  <c r="Q22" i="10" s="1"/>
  <c r="C22" i="10" l="1"/>
  <c r="G22" i="10" s="1"/>
  <c r="C24" i="10" s="1"/>
  <c r="G24" i="10" s="1"/>
  <c r="C25" i="10" s="1"/>
  <c r="G25" i="10" s="1"/>
  <c r="G26" i="10" s="1"/>
  <c r="M25" i="10"/>
  <c r="Q25" i="10" s="1"/>
  <c r="M24" i="10"/>
  <c r="Q24" i="10" s="1"/>
  <c r="H25" i="10"/>
  <c r="L25" i="10" s="1"/>
  <c r="L26" i="10" s="1"/>
  <c r="Q26" i="10" l="1"/>
  <c r="Q27" i="10" s="1"/>
  <c r="U52" i="9" s="1"/>
  <c r="U53" i="9" s="1"/>
  <c r="U91" i="9" s="1"/>
</calcChain>
</file>

<file path=xl/sharedStrings.xml><?xml version="1.0" encoding="utf-8"?>
<sst xmlns="http://schemas.openxmlformats.org/spreadsheetml/2006/main" count="326" uniqueCount="153">
  <si>
    <t>Scrutiny Fees:</t>
  </si>
  <si>
    <t>a</t>
  </si>
  <si>
    <t>Earlier Approved Area</t>
  </si>
  <si>
    <t>b</t>
  </si>
  <si>
    <t>Proposed Builtup Area</t>
  </si>
  <si>
    <t>say</t>
  </si>
  <si>
    <t>I.O.D. Deposit:</t>
  </si>
  <si>
    <t>x</t>
  </si>
  <si>
    <t>=</t>
  </si>
  <si>
    <t>For Earlier Approved Area</t>
  </si>
  <si>
    <t>Debris Deposit:</t>
  </si>
  <si>
    <t>Rs.</t>
  </si>
  <si>
    <t>Development Charges:</t>
  </si>
  <si>
    <t>Cess Tax:</t>
  </si>
  <si>
    <t>Balance Builtup Area</t>
  </si>
  <si>
    <t>Total</t>
  </si>
  <si>
    <t>Sq. Mt.</t>
  </si>
  <si>
    <t>Area of Staircase/Lift, Lift Lobby now payable =</t>
  </si>
  <si>
    <t>Open Space Deficiency Premium:</t>
  </si>
  <si>
    <t>Area of Plot in Sq. Mt. =</t>
  </si>
  <si>
    <t>Now payable for Commercial =</t>
  </si>
  <si>
    <t>Now payable for Residential =</t>
  </si>
  <si>
    <t xml:space="preserve"> = Rs.</t>
  </si>
  <si>
    <t>Area of Fungible FSI Proposed for Residential Component =</t>
  </si>
  <si>
    <t>Area of Fungible BUA for Residential Rehab Component without charging Premium =</t>
  </si>
  <si>
    <t>Area of Fungible BUA for Residential Component now payable by charging premium =</t>
  </si>
  <si>
    <t>Area of Fungible BUA for Residential Component by charging premium =</t>
  </si>
  <si>
    <t>Residential</t>
  </si>
  <si>
    <t xml:space="preserve">Staircase, Lift, Lift Lobby Premium: </t>
  </si>
  <si>
    <t>/</t>
  </si>
  <si>
    <t>Say</t>
  </si>
  <si>
    <t>Area of Fungible BUA earlier paid for Residential Component by charging premium at Pg-_____ =</t>
  </si>
  <si>
    <t xml:space="preserve">Net plot area </t>
  </si>
  <si>
    <t>Total BUA Proposed</t>
  </si>
  <si>
    <t>Fungible FSI proposed to be utilized</t>
  </si>
  <si>
    <t>BUA proposed except plot potential</t>
  </si>
  <si>
    <t>Equivalent proportionate of Utilization</t>
  </si>
  <si>
    <t>Compensatory Fungible FSI</t>
  </si>
  <si>
    <t>Open Space Deficiency Premium @ 100 % of SDRR</t>
  </si>
  <si>
    <t>X</t>
  </si>
  <si>
    <t>Slum TDR</t>
  </si>
  <si>
    <t>O. S. Deficiency Premium @ 10 % of SDRR</t>
  </si>
  <si>
    <t>Open Space Deficiency Premium @ 25 % of SDRR</t>
  </si>
  <si>
    <t>For Land Component</t>
  </si>
  <si>
    <t>For Building Component</t>
  </si>
  <si>
    <t>Proposed BUA for Residential Component =</t>
  </si>
  <si>
    <t>Area of Staircase/Lift, Lift Lobby Proposed for Residential Component =</t>
  </si>
  <si>
    <t>As per Proposed DCR 2034</t>
  </si>
  <si>
    <t>PROFORMA - A</t>
  </si>
  <si>
    <t>A)</t>
  </si>
  <si>
    <t xml:space="preserve">AREA STATEMENT </t>
  </si>
  <si>
    <t>Area of the plot as per P.R. Card</t>
  </si>
  <si>
    <t>Deductions for:</t>
  </si>
  <si>
    <t xml:space="preserve">b) Proposed Road </t>
  </si>
  <si>
    <t>d) ---% amenity space as per DCR 56/57 (sub-plot)</t>
  </si>
  <si>
    <t>Gross Plot Area</t>
  </si>
  <si>
    <t>Additions for Floor Space Index</t>
  </si>
  <si>
    <t>2(b) 100% D.P.Road</t>
  </si>
  <si>
    <t xml:space="preserve">Floor Space Index Permissible </t>
  </si>
  <si>
    <t xml:space="preserve">9(b) Additional F. S. I. 0.50 as per Notification </t>
  </si>
  <si>
    <t>9(c)Protected BUA as per Occupation plan</t>
  </si>
  <si>
    <t>9(d) ---% as per DCR 33 (         )</t>
  </si>
  <si>
    <t>Existing Floor Area</t>
  </si>
  <si>
    <t>Proposed Built up Area</t>
  </si>
  <si>
    <t>Excess Balcony  area taken in Floor Space Index</t>
  </si>
  <si>
    <t>Purely Residential Built up area</t>
  </si>
  <si>
    <t>Remaining Non-Residential Built up area</t>
  </si>
  <si>
    <t>TOTAL Built-up proposed (11+12+13)</t>
  </si>
  <si>
    <t>Floor Space Index consumed</t>
  </si>
  <si>
    <t>B)</t>
  </si>
  <si>
    <t>Details of FSI availed as per DCR 35(4)</t>
  </si>
  <si>
    <t>Fungible Built Up Area component proposed vide DCR 35(4) for purely residential</t>
  </si>
  <si>
    <t>Fungible Built Up Area component proposed vide DCR 35(4) for Non-residential</t>
  </si>
  <si>
    <t>Total fungible Built Up Area vide DCR 35(4) = (B.1 + B.2)</t>
  </si>
  <si>
    <t>Total Gross BUILT UP AREA permissible (14B + B.3)</t>
  </si>
  <si>
    <t>Total Gross BUILT UP AREA proposed</t>
  </si>
  <si>
    <t>C)</t>
  </si>
  <si>
    <t>Tenement Statement</t>
  </si>
  <si>
    <t>i)</t>
  </si>
  <si>
    <t>Proposed Area ( Item A, 12 above )</t>
  </si>
  <si>
    <t>ii)</t>
  </si>
  <si>
    <t>Less Non Residential Area ( 14A + B2 )</t>
  </si>
  <si>
    <t>iii)</t>
  </si>
  <si>
    <t>Area Available for Tenements ( i - ii )</t>
  </si>
  <si>
    <t>iv)</t>
  </si>
  <si>
    <t>Tenements Permissible (Density of Tenements 450/Hec)</t>
  </si>
  <si>
    <t>v)</t>
  </si>
  <si>
    <t>Tenements Proposed</t>
  </si>
  <si>
    <t>vi)</t>
  </si>
  <si>
    <t>Tenements Existing</t>
  </si>
  <si>
    <t>vii)</t>
  </si>
  <si>
    <t>Total Tenements on the Plot</t>
  </si>
  <si>
    <t>D)</t>
  </si>
  <si>
    <t xml:space="preserve">Parking Area Statement </t>
  </si>
  <si>
    <t>Parking Required by Regulations for :</t>
  </si>
  <si>
    <t>Covered Garages Permissible</t>
  </si>
  <si>
    <t>Covered Garages Proposed</t>
  </si>
  <si>
    <t>Total Parking Provided</t>
  </si>
  <si>
    <t>E)</t>
  </si>
  <si>
    <t>Transport Vehicles Parking</t>
  </si>
  <si>
    <t>Space for tarnsport vehicles parking required by Regulations</t>
  </si>
  <si>
    <t>Total no. of transport vehicles parking spaces provided</t>
  </si>
  <si>
    <t>a) Road Setback Area / Internal Access Road</t>
  </si>
  <si>
    <t>c) Any Reservation (P.G. &amp; MAP)</t>
  </si>
  <si>
    <t>TDR Break Up</t>
  </si>
  <si>
    <t>Reservatin TDR</t>
  </si>
  <si>
    <t>50 % FSI</t>
  </si>
  <si>
    <t xml:space="preserve"> </t>
  </si>
  <si>
    <t>For Proposed Construction Area</t>
  </si>
  <si>
    <t>Construction Area</t>
  </si>
  <si>
    <r>
      <t xml:space="preserve">Maximum to be paid = </t>
    </r>
    <r>
      <rPr>
        <b/>
        <sz val="10"/>
        <color theme="1"/>
        <rFont val="Bookman Old Style"/>
        <family val="1"/>
      </rPr>
      <t>Rs.</t>
    </r>
  </si>
  <si>
    <r>
      <t xml:space="preserve">Area of Staircase/Lift, Lift Lobby claimed Free of FSI </t>
    </r>
    <r>
      <rPr>
        <b/>
        <sz val="10"/>
        <color theme="1"/>
        <rFont val="Bookman Old Style"/>
        <family val="1"/>
      </rPr>
      <t>by charging Premium =</t>
    </r>
  </si>
  <si>
    <t xml:space="preserve">Add tele </t>
  </si>
  <si>
    <t>OPEN SPACE DEFICIENCY PREMIUM FOR UTILISATION OF FUNGIBLE COMPENSATORY F.S.I. TO BE RECOVERED ON PROPORTIONATE BASIS:</t>
  </si>
  <si>
    <t>9(e) Iinsentive FSI</t>
  </si>
  <si>
    <t xml:space="preserve"> =</t>
  </si>
  <si>
    <t xml:space="preserve">                                                                                                                                                                                                                    Less Last paid</t>
  </si>
  <si>
    <t xml:space="preserve">Developmenmt Cess </t>
  </si>
  <si>
    <t xml:space="preserve">Premium for 50 % additional FSI  </t>
  </si>
  <si>
    <t xml:space="preserve">LOS Paved </t>
  </si>
  <si>
    <t>AVS Premium</t>
  </si>
  <si>
    <t xml:space="preserve">Additional 50% FSI </t>
  </si>
  <si>
    <t xml:space="preserve">Before Plinth C.C. </t>
  </si>
  <si>
    <t xml:space="preserve">Before Full C.C. </t>
  </si>
  <si>
    <t>Before O.C.</t>
  </si>
  <si>
    <t>Required  Area</t>
  </si>
  <si>
    <t>Required Dimension</t>
  </si>
  <si>
    <t>2 Nos.</t>
  </si>
  <si>
    <t xml:space="preserve"> = </t>
  </si>
  <si>
    <t>Area</t>
  </si>
  <si>
    <t>Currant Land Rate as per SDRR for year 2022-2023 = Rs.</t>
  </si>
  <si>
    <t>Premium for LOS touching to building line</t>
  </si>
  <si>
    <t>Full FSI Recovery Sheet</t>
  </si>
  <si>
    <t xml:space="preserve"> Total </t>
  </si>
  <si>
    <t xml:space="preserve">Total  </t>
  </si>
  <si>
    <r>
      <rPr>
        <b/>
        <sz val="10"/>
        <color rgb="FFFF0000"/>
        <rFont val="Bookman Old Style"/>
        <family val="1"/>
      </rPr>
      <t xml:space="preserve"> </t>
    </r>
    <r>
      <rPr>
        <b/>
        <sz val="10"/>
        <color theme="1"/>
        <rFont val="Bookman Old Style"/>
        <family val="1"/>
      </rPr>
      <t xml:space="preserve"> Before IOD </t>
    </r>
  </si>
  <si>
    <t>TDR Cost</t>
  </si>
  <si>
    <t>20% Slum</t>
  </si>
  <si>
    <t xml:space="preserve">80% Reservation  </t>
  </si>
  <si>
    <t xml:space="preserve"> Total</t>
  </si>
  <si>
    <t>additional 50% FSI + Reservation TDR</t>
  </si>
  <si>
    <t>Open Space Deficiency Area 20% of BUA</t>
  </si>
  <si>
    <t xml:space="preserve"> Say</t>
  </si>
  <si>
    <t xml:space="preserve"> Total Say</t>
  </si>
  <si>
    <t xml:space="preserve"> Total Say </t>
  </si>
  <si>
    <t xml:space="preserve">P-3787/2019/(18/C)/T WARD/MULUND-W/337/1/NEW </t>
  </si>
  <si>
    <t xml:space="preserve">Premium for Fungible Compensatory FSI: </t>
  </si>
  <si>
    <t>5% TDR Infrastructure Charges</t>
  </si>
  <si>
    <t xml:space="preserve">e)Area not in possession </t>
  </si>
  <si>
    <t>Total Deductions (a+b+c+d+e)</t>
  </si>
  <si>
    <t>9a)Admissible TDR (0.7 X 3147.79)</t>
  </si>
  <si>
    <t>2(a) Set Back Area benefit</t>
  </si>
  <si>
    <t xml:space="preserve">Permissible Floor 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</si>
</sst>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0"/>
    <numFmt numFmtId="165" formatCode="&quot;₹&quot;\ #,##0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3"/>
      <color theme="1"/>
      <name val="Calibri"/>
      <family val="2"/>
      <scheme val="minor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4"/>
      <color theme="1"/>
      <name val="Bookman Old Style"/>
      <family val="1"/>
    </font>
    <font>
      <b/>
      <i/>
      <sz val="11"/>
      <color theme="1"/>
      <name val="Bookman Old Style"/>
      <family val="1"/>
    </font>
    <font>
      <b/>
      <sz val="15"/>
      <color theme="1"/>
      <name val="Bookman Old Style"/>
      <family val="1"/>
    </font>
    <font>
      <sz val="10"/>
      <color rgb="FFFF0000"/>
      <name val="Bookman Old Style"/>
      <family val="1"/>
    </font>
    <font>
      <b/>
      <sz val="13"/>
      <color theme="1"/>
      <name val="Bookman Old Style"/>
      <family val="1"/>
    </font>
    <font>
      <b/>
      <sz val="12"/>
      <color rgb="FFFF0000"/>
      <name val="Bookman Old Style"/>
      <family val="1"/>
    </font>
    <font>
      <b/>
      <sz val="10"/>
      <color rgb="FFFF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7">
    <xf numFmtId="0" fontId="0" fillId="0" borderId="0" xfId="0"/>
    <xf numFmtId="2" fontId="4" fillId="0" borderId="0" xfId="0" applyNumberFormat="1" applyFont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2" fontId="0" fillId="0" borderId="0" xfId="0" applyNumberFormat="1"/>
    <xf numFmtId="164" fontId="0" fillId="0" borderId="0" xfId="0" applyNumberForma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2" fontId="4" fillId="0" borderId="33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43" fontId="5" fillId="0" borderId="28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vertical="center"/>
    </xf>
    <xf numFmtId="2" fontId="4" fillId="0" borderId="13" xfId="0" applyNumberFormat="1" applyFont="1" applyBorder="1" applyAlignment="1">
      <alignment vertical="center"/>
    </xf>
    <xf numFmtId="4" fontId="10" fillId="0" borderId="4" xfId="0" applyNumberFormat="1" applyFont="1" applyBorder="1" applyAlignment="1">
      <alignment horizontal="right" vertical="center" wrapText="1"/>
    </xf>
    <xf numFmtId="43" fontId="5" fillId="0" borderId="12" xfId="0" applyNumberFormat="1" applyFont="1" applyBorder="1" applyAlignment="1">
      <alignment vertical="center"/>
    </xf>
    <xf numFmtId="2" fontId="4" fillId="0" borderId="16" xfId="0" applyNumberFormat="1" applyFont="1" applyBorder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2" fontId="4" fillId="0" borderId="18" xfId="0" applyNumberFormat="1" applyFont="1" applyBorder="1" applyAlignment="1">
      <alignment vertical="center" wrapText="1"/>
    </xf>
    <xf numFmtId="2" fontId="5" fillId="0" borderId="43" xfId="0" applyNumberFormat="1" applyFont="1" applyBorder="1" applyAlignment="1">
      <alignment vertical="center" wrapText="1"/>
    </xf>
    <xf numFmtId="2" fontId="5" fillId="0" borderId="15" xfId="0" applyNumberFormat="1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4" fontId="10" fillId="0" borderId="19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right" vertical="center" wrapText="1"/>
    </xf>
    <xf numFmtId="4" fontId="10" fillId="0" borderId="23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0" borderId="25" xfId="0" applyNumberFormat="1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4" fontId="10" fillId="0" borderId="19" xfId="0" applyNumberFormat="1" applyFont="1" applyBorder="1" applyAlignment="1">
      <alignment horizontal="right" vertical="center" wrapText="1"/>
    </xf>
    <xf numFmtId="0" fontId="10" fillId="0" borderId="48" xfId="0" applyFont="1" applyBorder="1" applyAlignment="1">
      <alignment horizontal="right" vertical="center" wrapText="1"/>
    </xf>
    <xf numFmtId="4" fontId="10" fillId="0" borderId="44" xfId="0" applyNumberFormat="1" applyFont="1" applyBorder="1" applyAlignment="1">
      <alignment horizontal="right" vertical="center" wrapText="1"/>
    </xf>
    <xf numFmtId="4" fontId="10" fillId="0" borderId="49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9" fontId="9" fillId="0" borderId="1" xfId="0" applyNumberFormat="1" applyFont="1" applyBorder="1" applyAlignment="1">
      <alignment horizontal="right" vertical="center" wrapText="1"/>
    </xf>
    <xf numFmtId="9" fontId="10" fillId="0" borderId="13" xfId="0" applyNumberFormat="1" applyFont="1" applyBorder="1" applyAlignment="1">
      <alignment horizontal="center" vertical="center" wrapText="1"/>
    </xf>
    <xf numFmtId="4" fontId="7" fillId="0" borderId="26" xfId="0" applyNumberFormat="1" applyFont="1" applyBorder="1" applyAlignment="1">
      <alignment horizontal="left" vertical="center" wrapText="1"/>
    </xf>
    <xf numFmtId="4" fontId="7" fillId="0" borderId="3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9" fontId="9" fillId="0" borderId="1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" fontId="10" fillId="0" borderId="47" xfId="0" applyNumberFormat="1" applyFont="1" applyBorder="1" applyAlignment="1">
      <alignment horizontal="right" vertical="center" wrapText="1"/>
    </xf>
    <xf numFmtId="0" fontId="7" fillId="0" borderId="30" xfId="0" applyFont="1" applyBorder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2" fontId="6" fillId="0" borderId="5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0" fontId="6" fillId="0" borderId="52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4" fontId="10" fillId="0" borderId="20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0" fillId="0" borderId="31" xfId="0" applyNumberFormat="1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right" vertical="center" wrapText="1"/>
    </xf>
    <xf numFmtId="0" fontId="15" fillId="0" borderId="14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9" fontId="9" fillId="0" borderId="12" xfId="0" applyNumberFormat="1" applyFont="1" applyBorder="1" applyAlignment="1">
      <alignment horizontal="right" vertical="center" wrapText="1"/>
    </xf>
    <xf numFmtId="9" fontId="9" fillId="0" borderId="14" xfId="0" applyNumberFormat="1" applyFont="1" applyBorder="1" applyAlignment="1">
      <alignment horizontal="right" vertical="center" wrapText="1"/>
    </xf>
    <xf numFmtId="9" fontId="9" fillId="0" borderId="13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12" fillId="0" borderId="38" xfId="0" applyNumberFormat="1" applyFont="1" applyBorder="1" applyAlignment="1">
      <alignment horizontal="center" vertical="center"/>
    </xf>
    <xf numFmtId="43" fontId="12" fillId="0" borderId="37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2" fontId="4" fillId="0" borderId="3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37" xfId="0" applyFont="1" applyBorder="1" applyAlignment="1">
      <alignment horizontal="right" vertical="center"/>
    </xf>
    <xf numFmtId="0" fontId="12" fillId="0" borderId="28" xfId="0" applyFont="1" applyBorder="1" applyAlignment="1">
      <alignment horizontal="right" vertical="center"/>
    </xf>
    <xf numFmtId="2" fontId="11" fillId="0" borderId="40" xfId="0" applyNumberFormat="1" applyFont="1" applyBorder="1" applyAlignment="1">
      <alignment horizontal="center" vertical="center" wrapText="1"/>
    </xf>
    <xf numFmtId="2" fontId="11" fillId="0" borderId="41" xfId="0" applyNumberFormat="1" applyFont="1" applyBorder="1" applyAlignment="1">
      <alignment horizontal="center" vertical="center" wrapText="1"/>
    </xf>
    <xf numFmtId="2" fontId="11" fillId="0" borderId="32" xfId="0" applyNumberFormat="1" applyFont="1" applyBorder="1" applyAlignment="1">
      <alignment horizontal="center" vertical="center" wrapText="1"/>
    </xf>
    <xf numFmtId="2" fontId="11" fillId="0" borderId="20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wrapText="1"/>
    </xf>
    <xf numFmtId="2" fontId="11" fillId="0" borderId="34" xfId="0" applyNumberFormat="1" applyFont="1" applyBorder="1" applyAlignment="1">
      <alignment horizontal="center" vertical="center" wrapText="1"/>
    </xf>
    <xf numFmtId="2" fontId="11" fillId="0" borderId="43" xfId="0" applyNumberFormat="1" applyFont="1" applyBorder="1" applyAlignment="1">
      <alignment horizontal="center" vertical="center" wrapText="1"/>
    </xf>
    <xf numFmtId="2" fontId="11" fillId="0" borderId="15" xfId="0" applyNumberFormat="1" applyFont="1" applyBorder="1" applyAlignment="1">
      <alignment horizontal="center" vertical="center" wrapText="1"/>
    </xf>
    <xf numFmtId="2" fontId="11" fillId="0" borderId="39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left" vertical="center" indent="1"/>
    </xf>
    <xf numFmtId="2" fontId="4" fillId="0" borderId="9" xfId="0" applyNumberFormat="1" applyFont="1" applyBorder="1" applyAlignment="1">
      <alignment horizontal="left" vertical="center" indent="1"/>
    </xf>
    <xf numFmtId="2" fontId="4" fillId="0" borderId="16" xfId="0" applyNumberFormat="1" applyFont="1" applyBorder="1" applyAlignment="1">
      <alignment horizontal="left" vertical="center" indent="1"/>
    </xf>
    <xf numFmtId="2" fontId="4" fillId="0" borderId="18" xfId="0" applyNumberFormat="1" applyFont="1" applyBorder="1" applyAlignment="1">
      <alignment horizontal="left" vertical="center" indent="1"/>
    </xf>
    <xf numFmtId="2" fontId="4" fillId="0" borderId="10" xfId="0" applyNumberFormat="1" applyFont="1" applyBorder="1" applyAlignment="1">
      <alignment horizontal="left" vertical="center" indent="1"/>
    </xf>
    <xf numFmtId="2" fontId="4" fillId="0" borderId="11" xfId="0" applyNumberFormat="1" applyFont="1" applyBorder="1" applyAlignment="1">
      <alignment horizontal="left" vertical="center" indent="1"/>
    </xf>
    <xf numFmtId="0" fontId="4" fillId="0" borderId="42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2" fontId="4" fillId="0" borderId="30" xfId="0" applyNumberFormat="1" applyFont="1" applyBorder="1" applyAlignment="1">
      <alignment horizontal="center" vertical="center"/>
    </xf>
    <xf numFmtId="2" fontId="4" fillId="0" borderId="29" xfId="0" applyNumberFormat="1" applyFont="1" applyBorder="1" applyAlignment="1">
      <alignment horizontal="left" vertical="center" indent="1"/>
    </xf>
    <xf numFmtId="2" fontId="4" fillId="0" borderId="12" xfId="0" applyNumberFormat="1" applyFont="1" applyBorder="1" applyAlignment="1">
      <alignment horizontal="left" vertical="center" indent="1"/>
    </xf>
    <xf numFmtId="2" fontId="4" fillId="0" borderId="14" xfId="0" applyNumberFormat="1" applyFont="1" applyBorder="1" applyAlignment="1">
      <alignment horizontal="left" vertical="center" indent="1"/>
    </xf>
    <xf numFmtId="2" fontId="5" fillId="0" borderId="40" xfId="0" applyNumberFormat="1" applyFont="1" applyBorder="1" applyAlignment="1">
      <alignment horizontal="center" vertical="center" wrapText="1"/>
    </xf>
    <xf numFmtId="2" fontId="5" fillId="0" borderId="41" xfId="0" applyNumberFormat="1" applyFont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5" fillId="0" borderId="34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0" borderId="33" xfId="0" applyNumberFormat="1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11-MULUND-\EXCELS\Full%202.20%20FSI%20Recovery%20sheet%2023.02.2023.xlsx" TargetMode="External"/><Relationship Id="rId1" Type="http://schemas.openxmlformats.org/officeDocument/2006/relationships/externalLinkPath" Target="Full%202.20%20FSI%20Recovery%20sheet%2023.02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covery Sheet"/>
      <sheetName val="Proforma A"/>
      <sheetName val="Deficiency Calculation"/>
    </sheetNames>
    <sheetDataSet>
      <sheetData sheetId="0" refreshError="1"/>
      <sheetData sheetId="1">
        <row r="17">
          <cell r="J17">
            <v>440.69060000000002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1"/>
  <sheetViews>
    <sheetView view="pageBreakPreview" topLeftCell="A64" zoomScaleSheetLayoutView="100" workbookViewId="0">
      <selection activeCell="X19" sqref="X19"/>
    </sheetView>
  </sheetViews>
  <sheetFormatPr defaultRowHeight="15.75" x14ac:dyDescent="0.25"/>
  <cols>
    <col min="1" max="1" width="5.28515625" style="57" customWidth="1"/>
    <col min="2" max="2" width="18.28515625" style="57" bestFit="1" customWidth="1"/>
    <col min="3" max="3" width="18.28515625" style="57" customWidth="1"/>
    <col min="4" max="4" width="16.28515625" style="57" bestFit="1" customWidth="1"/>
    <col min="5" max="5" width="2.7109375" style="57" bestFit="1" customWidth="1"/>
    <col min="6" max="6" width="5.28515625" style="57" customWidth="1"/>
    <col min="7" max="7" width="3.28515625" style="57" customWidth="1"/>
    <col min="8" max="8" width="6" style="57" customWidth="1"/>
    <col min="9" max="9" width="8.5703125" style="57" customWidth="1"/>
    <col min="10" max="10" width="5.7109375" style="57" bestFit="1" customWidth="1"/>
    <col min="11" max="11" width="10.5703125" style="57" customWidth="1"/>
    <col min="12" max="12" width="2.7109375" style="57" bestFit="1" customWidth="1"/>
    <col min="13" max="13" width="7.42578125" style="57" customWidth="1"/>
    <col min="14" max="14" width="3.7109375" style="57" customWidth="1"/>
    <col min="15" max="16" width="5" style="57" bestFit="1" customWidth="1"/>
    <col min="17" max="17" width="8.85546875" style="57" customWidth="1"/>
    <col min="18" max="18" width="7.140625" style="57" customWidth="1"/>
    <col min="19" max="19" width="8" style="57" bestFit="1" customWidth="1"/>
    <col min="20" max="20" width="10" style="57" bestFit="1" customWidth="1"/>
    <col min="21" max="21" width="24.28515625" style="76" customWidth="1"/>
    <col min="22" max="16384" width="9.140625" style="51"/>
  </cols>
  <sheetData>
    <row r="1" spans="1:21" x14ac:dyDescent="0.25">
      <c r="A1" s="129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1"/>
    </row>
    <row r="2" spans="1:21" ht="15.75" customHeight="1" x14ac:dyDescent="0.25">
      <c r="A2" s="132" t="s">
        <v>145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4"/>
    </row>
    <row r="3" spans="1:21" ht="20.25" thickBot="1" x14ac:dyDescent="0.3">
      <c r="A3" s="132" t="s">
        <v>132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4"/>
    </row>
    <row r="4" spans="1:21" ht="16.5" thickBot="1" x14ac:dyDescent="0.3">
      <c r="A4" s="52"/>
      <c r="B4" s="34"/>
      <c r="C4" s="35" t="s">
        <v>27</v>
      </c>
      <c r="D4" s="36" t="s">
        <v>15</v>
      </c>
      <c r="E4" s="135"/>
      <c r="F4" s="136"/>
      <c r="G4" s="136"/>
      <c r="H4" s="136"/>
      <c r="I4" s="136"/>
      <c r="J4" s="136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8"/>
    </row>
    <row r="5" spans="1:21" ht="26.25" thickBot="1" x14ac:dyDescent="0.3">
      <c r="A5" s="52"/>
      <c r="B5" s="37" t="s">
        <v>4</v>
      </c>
      <c r="C5" s="38">
        <f>SUM('Proforma A'!E38)</f>
        <v>9375.6123000000007</v>
      </c>
      <c r="D5" s="39">
        <f>SUM(C5:C5)</f>
        <v>9375.6123000000007</v>
      </c>
      <c r="E5" s="135"/>
      <c r="F5" s="136"/>
      <c r="G5" s="136"/>
      <c r="H5" s="136"/>
      <c r="I5" s="136"/>
      <c r="J5" s="136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40"/>
    </row>
    <row r="6" spans="1:21" ht="26.25" thickBot="1" x14ac:dyDescent="0.3">
      <c r="A6" s="52"/>
      <c r="B6" s="40" t="s">
        <v>2</v>
      </c>
      <c r="C6" s="41">
        <v>0</v>
      </c>
      <c r="D6" s="42">
        <v>0</v>
      </c>
      <c r="E6" s="135"/>
      <c r="F6" s="136"/>
      <c r="G6" s="136"/>
      <c r="H6" s="136"/>
      <c r="I6" s="136"/>
      <c r="J6" s="136"/>
      <c r="K6" s="141" t="s">
        <v>19</v>
      </c>
      <c r="L6" s="142"/>
      <c r="M6" s="142"/>
      <c r="N6" s="142"/>
      <c r="O6" s="142"/>
      <c r="P6" s="142"/>
      <c r="Q6" s="142"/>
      <c r="R6" s="142"/>
      <c r="S6" s="142"/>
      <c r="T6" s="142"/>
      <c r="U6" s="70">
        <v>3147.79</v>
      </c>
    </row>
    <row r="7" spans="1:21" ht="26.25" thickBot="1" x14ac:dyDescent="0.3">
      <c r="A7" s="52"/>
      <c r="B7" s="43" t="s">
        <v>14</v>
      </c>
      <c r="C7" s="44">
        <f>C5-C6</f>
        <v>9375.6123000000007</v>
      </c>
      <c r="D7" s="26">
        <f>SUM(C7:C7)</f>
        <v>9375.6123000000007</v>
      </c>
      <c r="E7" s="135"/>
      <c r="F7" s="136"/>
      <c r="G7" s="136"/>
      <c r="H7" s="136"/>
      <c r="I7" s="136"/>
      <c r="J7" s="136"/>
      <c r="K7" s="143" t="s">
        <v>107</v>
      </c>
      <c r="L7" s="144"/>
      <c r="M7" s="144"/>
      <c r="N7" s="144"/>
      <c r="O7" s="144"/>
      <c r="P7" s="144"/>
      <c r="Q7" s="144"/>
      <c r="R7" s="144"/>
      <c r="S7" s="144"/>
      <c r="T7" s="144"/>
      <c r="U7" s="71" t="s">
        <v>107</v>
      </c>
    </row>
    <row r="8" spans="1:21" ht="16.5" customHeight="1" thickBot="1" x14ac:dyDescent="0.3">
      <c r="A8" s="52"/>
      <c r="B8" s="45" t="s">
        <v>30</v>
      </c>
      <c r="C8" s="46">
        <f>SUM(C7)</f>
        <v>9375.6123000000007</v>
      </c>
      <c r="D8" s="47">
        <f>ROUNDUP(D7,-1)</f>
        <v>9380</v>
      </c>
      <c r="E8" s="135"/>
      <c r="F8" s="136"/>
      <c r="G8" s="136"/>
      <c r="H8" s="136"/>
      <c r="I8" s="136"/>
      <c r="J8" s="136"/>
      <c r="K8" s="143" t="s">
        <v>130</v>
      </c>
      <c r="L8" s="144"/>
      <c r="M8" s="144"/>
      <c r="N8" s="144"/>
      <c r="O8" s="144"/>
      <c r="P8" s="144"/>
      <c r="Q8" s="144"/>
      <c r="R8" s="144"/>
      <c r="S8" s="144"/>
      <c r="T8" s="144"/>
      <c r="U8" s="71">
        <v>73600</v>
      </c>
    </row>
    <row r="9" spans="1:21" ht="16.5" customHeight="1" thickBot="1" x14ac:dyDescent="0.3">
      <c r="A9" s="52"/>
      <c r="B9" s="145" t="s">
        <v>109</v>
      </c>
      <c r="C9" s="146"/>
      <c r="D9" s="48">
        <f>SUM(D8*50%+D8)</f>
        <v>14070</v>
      </c>
      <c r="E9" s="135"/>
      <c r="F9" s="136"/>
      <c r="G9" s="136"/>
      <c r="H9" s="136"/>
      <c r="I9" s="136"/>
      <c r="J9" s="136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</row>
    <row r="10" spans="1:21" ht="27.75" customHeight="1" thickBot="1" x14ac:dyDescent="0.3">
      <c r="A10" s="52"/>
      <c r="B10" s="147"/>
      <c r="C10" s="148"/>
      <c r="D10" s="95">
        <f>SUM(D9)</f>
        <v>14070</v>
      </c>
      <c r="E10" s="135"/>
      <c r="F10" s="136"/>
      <c r="G10" s="136"/>
      <c r="H10" s="136"/>
      <c r="I10" s="136"/>
      <c r="J10" s="136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</row>
    <row r="11" spans="1:21" x14ac:dyDescent="0.25">
      <c r="A11" s="65">
        <v>1</v>
      </c>
      <c r="B11" s="150" t="s">
        <v>0</v>
      </c>
      <c r="C11" s="150"/>
      <c r="D11" s="150"/>
      <c r="E11" s="108"/>
      <c r="F11" s="108"/>
      <c r="G11" s="108"/>
      <c r="H11" s="108"/>
      <c r="I11" s="108"/>
      <c r="J11" s="108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</row>
    <row r="12" spans="1:21" x14ac:dyDescent="0.25">
      <c r="A12" s="66" t="s">
        <v>1</v>
      </c>
      <c r="B12" s="151" t="s">
        <v>108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2">
        <f>SUM(D10)</f>
        <v>14070</v>
      </c>
      <c r="M12" s="152"/>
      <c r="N12" s="152"/>
      <c r="O12" s="66" t="s">
        <v>7</v>
      </c>
      <c r="P12" s="66" t="s">
        <v>11</v>
      </c>
      <c r="Q12" s="153">
        <v>116</v>
      </c>
      <c r="R12" s="154"/>
      <c r="S12" s="155"/>
      <c r="T12" s="66" t="s">
        <v>8</v>
      </c>
      <c r="U12" s="72">
        <f>SUM(L12*Q12)</f>
        <v>1632120</v>
      </c>
    </row>
    <row r="13" spans="1:21" x14ac:dyDescent="0.25">
      <c r="A13" s="66" t="s">
        <v>3</v>
      </c>
      <c r="B13" s="113" t="s">
        <v>9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52">
        <v>0</v>
      </c>
      <c r="M13" s="152"/>
      <c r="N13" s="152"/>
      <c r="O13" s="66" t="s">
        <v>7</v>
      </c>
      <c r="P13" s="66" t="s">
        <v>11</v>
      </c>
      <c r="Q13" s="153">
        <f>SUM(Q12/2)</f>
        <v>58</v>
      </c>
      <c r="R13" s="154"/>
      <c r="S13" s="155"/>
      <c r="T13" s="66" t="s">
        <v>8</v>
      </c>
      <c r="U13" s="72">
        <f>SUM(L13*Q13)</f>
        <v>0</v>
      </c>
    </row>
    <row r="14" spans="1:21" x14ac:dyDescent="0.25">
      <c r="A14" s="66"/>
      <c r="B14" s="110" t="s">
        <v>116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2"/>
      <c r="T14" s="65" t="s">
        <v>115</v>
      </c>
      <c r="U14" s="73">
        <v>0</v>
      </c>
    </row>
    <row r="15" spans="1:21" x14ac:dyDescent="0.25">
      <c r="A15" s="151" t="s">
        <v>133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73">
        <f>SUM(U12+U13)</f>
        <v>1632120</v>
      </c>
    </row>
    <row r="16" spans="1:21" x14ac:dyDescent="0.25">
      <c r="A16" s="126" t="s">
        <v>107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58" t="s">
        <v>107</v>
      </c>
      <c r="U16" s="74" t="s">
        <v>107</v>
      </c>
    </row>
    <row r="17" spans="1:21" ht="4.5" customHeight="1" x14ac:dyDescent="0.2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</row>
    <row r="18" spans="1:21" x14ac:dyDescent="0.25">
      <c r="A18" s="65">
        <v>2</v>
      </c>
      <c r="B18" s="108" t="s">
        <v>6</v>
      </c>
      <c r="C18" s="108"/>
      <c r="D18" s="108"/>
      <c r="E18" s="108"/>
      <c r="F18" s="108"/>
      <c r="G18" s="108"/>
      <c r="H18" s="108"/>
      <c r="I18" s="108"/>
      <c r="J18" s="108"/>
      <c r="K18" s="64">
        <f>IF(D8&lt;0,0,D8)</f>
        <v>9380</v>
      </c>
      <c r="L18" s="66" t="s">
        <v>7</v>
      </c>
      <c r="M18" s="66" t="s">
        <v>11</v>
      </c>
      <c r="N18" s="66">
        <v>1</v>
      </c>
      <c r="O18" s="66" t="s">
        <v>7</v>
      </c>
      <c r="P18" s="107">
        <v>10.763999999999999</v>
      </c>
      <c r="Q18" s="107"/>
      <c r="R18" s="107"/>
      <c r="S18" s="107"/>
      <c r="T18" s="66" t="s">
        <v>8</v>
      </c>
      <c r="U18" s="72">
        <f>K18*N18*P18</f>
        <v>100966.31999999999</v>
      </c>
    </row>
    <row r="19" spans="1:21" x14ac:dyDescent="0.25">
      <c r="A19" s="126" t="s">
        <v>107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58" t="s">
        <v>107</v>
      </c>
      <c r="U19" s="73">
        <f>SUM(U18)</f>
        <v>100966.31999999999</v>
      </c>
    </row>
    <row r="20" spans="1:21" ht="3.75" customHeight="1" x14ac:dyDescent="0.2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</row>
    <row r="21" spans="1:21" x14ac:dyDescent="0.25">
      <c r="A21" s="65">
        <v>3</v>
      </c>
      <c r="B21" s="108" t="s">
        <v>10</v>
      </c>
      <c r="C21" s="108"/>
      <c r="D21" s="108"/>
      <c r="E21" s="108"/>
      <c r="F21" s="108"/>
      <c r="G21" s="108"/>
      <c r="H21" s="108"/>
      <c r="I21" s="108"/>
      <c r="J21" s="108"/>
      <c r="K21" s="64">
        <f>IF(D8&lt;0,0,D8)</f>
        <v>9380</v>
      </c>
      <c r="L21" s="66" t="s">
        <v>7</v>
      </c>
      <c r="M21" s="66" t="s">
        <v>11</v>
      </c>
      <c r="N21" s="66">
        <v>2</v>
      </c>
      <c r="O21" s="66" t="s">
        <v>7</v>
      </c>
      <c r="P21" s="107">
        <v>10.763999999999999</v>
      </c>
      <c r="Q21" s="107"/>
      <c r="R21" s="107"/>
      <c r="S21" s="107"/>
      <c r="T21" s="66" t="s">
        <v>8</v>
      </c>
      <c r="U21" s="72">
        <f>K21*N21*P21</f>
        <v>201932.63999999998</v>
      </c>
    </row>
    <row r="22" spans="1:21" x14ac:dyDescent="0.25">
      <c r="A22" s="66" t="s">
        <v>107</v>
      </c>
      <c r="B22" s="113" t="s">
        <v>110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73">
        <v>45000</v>
      </c>
    </row>
    <row r="23" spans="1:21" x14ac:dyDescent="0.25">
      <c r="A23" s="66" t="s">
        <v>107</v>
      </c>
      <c r="B23" s="113" t="s">
        <v>134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73">
        <f>SUM(U22)</f>
        <v>45000</v>
      </c>
    </row>
    <row r="24" spans="1:21" ht="3" customHeight="1" x14ac:dyDescent="0.2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</row>
    <row r="25" spans="1:21" x14ac:dyDescent="0.25">
      <c r="A25" s="65">
        <v>4</v>
      </c>
      <c r="B25" s="108" t="s">
        <v>12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</row>
    <row r="26" spans="1:21" x14ac:dyDescent="0.25">
      <c r="A26" s="107"/>
      <c r="B26" s="156" t="s">
        <v>43</v>
      </c>
      <c r="C26" s="156"/>
      <c r="D26" s="113" t="s">
        <v>21</v>
      </c>
      <c r="E26" s="113"/>
      <c r="F26" s="113"/>
      <c r="G26" s="113"/>
      <c r="H26" s="113"/>
      <c r="I26" s="113"/>
      <c r="J26" s="113"/>
      <c r="K26" s="53">
        <f>SUM('Proforma A'!E6)</f>
        <v>3236.6</v>
      </c>
      <c r="L26" s="64" t="s">
        <v>7</v>
      </c>
      <c r="M26" s="54">
        <v>0.01</v>
      </c>
      <c r="N26" s="66" t="s">
        <v>7</v>
      </c>
      <c r="O26" s="66" t="s">
        <v>11</v>
      </c>
      <c r="P26" s="109">
        <f>SUM(U8)</f>
        <v>73600</v>
      </c>
      <c r="Q26" s="109"/>
      <c r="R26" s="109"/>
      <c r="S26" s="109"/>
      <c r="T26" s="66" t="s">
        <v>8</v>
      </c>
      <c r="U26" s="72">
        <f>K26*M26*P26</f>
        <v>2382137.6</v>
      </c>
    </row>
    <row r="27" spans="1:21" x14ac:dyDescent="0.25">
      <c r="A27" s="107"/>
      <c r="B27" s="156"/>
      <c r="C27" s="156"/>
      <c r="D27" s="113" t="s">
        <v>20</v>
      </c>
      <c r="E27" s="113"/>
      <c r="F27" s="113"/>
      <c r="G27" s="113"/>
      <c r="H27" s="113"/>
      <c r="I27" s="113"/>
      <c r="J27" s="113"/>
      <c r="K27" s="53">
        <v>0</v>
      </c>
      <c r="L27" s="64" t="s">
        <v>7</v>
      </c>
      <c r="M27" s="54">
        <v>0.02</v>
      </c>
      <c r="N27" s="66" t="s">
        <v>7</v>
      </c>
      <c r="O27" s="66" t="s">
        <v>11</v>
      </c>
      <c r="P27" s="109">
        <f>SUM(P26)</f>
        <v>73600</v>
      </c>
      <c r="Q27" s="109"/>
      <c r="R27" s="109"/>
      <c r="S27" s="109"/>
      <c r="T27" s="66" t="s">
        <v>8</v>
      </c>
      <c r="U27" s="72">
        <f>K27*M27*P27</f>
        <v>0</v>
      </c>
    </row>
    <row r="28" spans="1:21" x14ac:dyDescent="0.25">
      <c r="A28" s="107"/>
      <c r="B28" s="156" t="s">
        <v>44</v>
      </c>
      <c r="C28" s="156"/>
      <c r="D28" s="113" t="s">
        <v>21</v>
      </c>
      <c r="E28" s="113"/>
      <c r="F28" s="113"/>
      <c r="G28" s="113"/>
      <c r="H28" s="113"/>
      <c r="I28" s="113"/>
      <c r="J28" s="113"/>
      <c r="K28" s="53">
        <f>D7</f>
        <v>9375.6123000000007</v>
      </c>
      <c r="L28" s="64" t="s">
        <v>7</v>
      </c>
      <c r="M28" s="54">
        <v>0.04</v>
      </c>
      <c r="N28" s="66" t="s">
        <v>7</v>
      </c>
      <c r="O28" s="66" t="s">
        <v>11</v>
      </c>
      <c r="P28" s="109">
        <f>SUM(P27)</f>
        <v>73600</v>
      </c>
      <c r="Q28" s="109"/>
      <c r="R28" s="109"/>
      <c r="S28" s="109"/>
      <c r="T28" s="66" t="s">
        <v>8</v>
      </c>
      <c r="U28" s="72">
        <f>K28*M28*P28</f>
        <v>27601802.611200001</v>
      </c>
    </row>
    <row r="29" spans="1:21" x14ac:dyDescent="0.25">
      <c r="A29" s="107"/>
      <c r="B29" s="156"/>
      <c r="C29" s="156"/>
      <c r="D29" s="113" t="s">
        <v>20</v>
      </c>
      <c r="E29" s="113"/>
      <c r="F29" s="113"/>
      <c r="G29" s="113"/>
      <c r="H29" s="113"/>
      <c r="I29" s="113"/>
      <c r="J29" s="113"/>
      <c r="K29" s="53">
        <v>0</v>
      </c>
      <c r="L29" s="64" t="s">
        <v>7</v>
      </c>
      <c r="M29" s="54">
        <v>0.08</v>
      </c>
      <c r="N29" s="66" t="s">
        <v>7</v>
      </c>
      <c r="O29" s="66" t="s">
        <v>11</v>
      </c>
      <c r="P29" s="109">
        <f>SUM(P28)</f>
        <v>73600</v>
      </c>
      <c r="Q29" s="109"/>
      <c r="R29" s="109"/>
      <c r="S29" s="109"/>
      <c r="T29" s="66" t="s">
        <v>8</v>
      </c>
      <c r="U29" s="72">
        <f>K29*M29*P29</f>
        <v>0</v>
      </c>
    </row>
    <row r="30" spans="1:21" ht="15.75" customHeight="1" x14ac:dyDescent="0.25">
      <c r="A30" s="114" t="s">
        <v>15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6"/>
      <c r="U30" s="73">
        <f>ROUNDUP(U28+U26,-1)</f>
        <v>29983950</v>
      </c>
    </row>
    <row r="31" spans="1:21" ht="3" customHeight="1" x14ac:dyDescent="0.25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</row>
    <row r="32" spans="1:21" x14ac:dyDescent="0.25">
      <c r="A32" s="65">
        <v>5</v>
      </c>
      <c r="B32" s="108" t="s">
        <v>117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</row>
    <row r="33" spans="1:21" x14ac:dyDescent="0.25">
      <c r="A33" s="65"/>
      <c r="B33" s="108"/>
      <c r="C33" s="108"/>
      <c r="D33" s="108"/>
      <c r="E33" s="108"/>
      <c r="F33" s="108"/>
      <c r="G33" s="108"/>
      <c r="H33" s="108"/>
      <c r="I33" s="108"/>
      <c r="J33" s="108"/>
      <c r="K33" s="64">
        <f>SUM('Proforma A'!E20)</f>
        <v>2203.453</v>
      </c>
      <c r="L33" s="66" t="s">
        <v>7</v>
      </c>
      <c r="M33" s="55">
        <v>0.04</v>
      </c>
      <c r="N33" s="66" t="s">
        <v>7</v>
      </c>
      <c r="O33" s="66" t="s">
        <v>11</v>
      </c>
      <c r="P33" s="109">
        <f>SUM(U8)</f>
        <v>73600</v>
      </c>
      <c r="Q33" s="109"/>
      <c r="R33" s="109"/>
      <c r="S33" s="109"/>
      <c r="T33" s="66" t="s">
        <v>8</v>
      </c>
      <c r="U33" s="72">
        <f>K33*M33*P33</f>
        <v>6486965.6320000002</v>
      </c>
    </row>
    <row r="34" spans="1:21" x14ac:dyDescent="0.25">
      <c r="A34" s="114" t="s">
        <v>135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6"/>
      <c r="T34" s="55">
        <v>0.3</v>
      </c>
      <c r="U34" s="72">
        <f>SUM(U33*T34)</f>
        <v>1946089.6895999999</v>
      </c>
    </row>
    <row r="35" spans="1:21" x14ac:dyDescent="0.25">
      <c r="A35" s="114" t="s">
        <v>122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6"/>
      <c r="T35" s="55">
        <v>0.3</v>
      </c>
      <c r="U35" s="72">
        <f>SUM(U33*T35)</f>
        <v>1946089.6895999999</v>
      </c>
    </row>
    <row r="36" spans="1:21" x14ac:dyDescent="0.25">
      <c r="A36" s="114" t="s">
        <v>123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6"/>
      <c r="T36" s="55">
        <v>0.2</v>
      </c>
      <c r="U36" s="72">
        <f>SUM(U33*T36)</f>
        <v>1297393.1264000002</v>
      </c>
    </row>
    <row r="37" spans="1:21" x14ac:dyDescent="0.25">
      <c r="A37" s="114" t="s">
        <v>124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6"/>
      <c r="T37" s="55">
        <v>0.2</v>
      </c>
      <c r="U37" s="72">
        <f>SUM(U33*20%)</f>
        <v>1297393.1264000002</v>
      </c>
    </row>
    <row r="38" spans="1:21" x14ac:dyDescent="0.25">
      <c r="A38" s="114" t="s">
        <v>144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6"/>
      <c r="U38" s="73">
        <f>ROUNDUP(U33,-1)</f>
        <v>6486970</v>
      </c>
    </row>
    <row r="39" spans="1:21" x14ac:dyDescent="0.25">
      <c r="A39" s="65">
        <v>6</v>
      </c>
      <c r="B39" s="108" t="s">
        <v>13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</row>
    <row r="40" spans="1:21" x14ac:dyDescent="0.25">
      <c r="A40" s="65"/>
      <c r="B40" s="108"/>
      <c r="C40" s="108"/>
      <c r="D40" s="108"/>
      <c r="E40" s="108"/>
      <c r="F40" s="108"/>
      <c r="G40" s="108"/>
      <c r="H40" s="108"/>
      <c r="I40" s="108"/>
      <c r="J40" s="108"/>
      <c r="K40" s="64">
        <f>SUM(D7)</f>
        <v>9375.6123000000007</v>
      </c>
      <c r="L40" s="66" t="s">
        <v>7</v>
      </c>
      <c r="M40" s="55">
        <v>0.01</v>
      </c>
      <c r="N40" s="66" t="s">
        <v>7</v>
      </c>
      <c r="O40" s="66" t="s">
        <v>11</v>
      </c>
      <c r="P40" s="109">
        <v>30250</v>
      </c>
      <c r="Q40" s="109"/>
      <c r="R40" s="109"/>
      <c r="S40" s="109"/>
      <c r="T40" s="66" t="s">
        <v>8</v>
      </c>
      <c r="U40" s="72">
        <f>K40*M40*P40</f>
        <v>2836122.7207499999</v>
      </c>
    </row>
    <row r="41" spans="1:21" x14ac:dyDescent="0.25">
      <c r="A41" s="65"/>
      <c r="B41" s="110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2"/>
      <c r="T41" s="55">
        <v>0.01</v>
      </c>
      <c r="U41" s="72">
        <f>SUM(U40*1%)</f>
        <v>28361.2272075</v>
      </c>
    </row>
    <row r="42" spans="1:21" x14ac:dyDescent="0.25">
      <c r="A42" s="65"/>
      <c r="B42" s="92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3"/>
      <c r="T42" s="55">
        <v>0.99</v>
      </c>
      <c r="U42" s="72">
        <f>SUM(U40*99%)</f>
        <v>2807761.4935424998</v>
      </c>
    </row>
    <row r="43" spans="1:21" x14ac:dyDescent="0.25">
      <c r="A43" s="172" t="s">
        <v>143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4"/>
      <c r="U43" s="73">
        <f>ROUNDUP(U40,-1)</f>
        <v>2836130</v>
      </c>
    </row>
    <row r="44" spans="1:21" ht="3" customHeight="1" x14ac:dyDescent="0.25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</row>
    <row r="45" spans="1:21" x14ac:dyDescent="0.25">
      <c r="A45" s="65">
        <v>7</v>
      </c>
      <c r="B45" s="108" t="s">
        <v>28</v>
      </c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</row>
    <row r="46" spans="1:21" x14ac:dyDescent="0.25">
      <c r="A46" s="117"/>
      <c r="B46" s="113" t="s">
        <v>45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09">
        <f>C5</f>
        <v>9375.6123000000007</v>
      </c>
      <c r="Q46" s="109"/>
      <c r="R46" s="109"/>
      <c r="S46" s="109"/>
      <c r="T46" s="49" t="s">
        <v>16</v>
      </c>
      <c r="U46" s="176" t="s">
        <v>107</v>
      </c>
    </row>
    <row r="47" spans="1:21" x14ac:dyDescent="0.25">
      <c r="A47" s="117"/>
      <c r="B47" s="113" t="s">
        <v>46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09">
        <v>0</v>
      </c>
      <c r="Q47" s="109"/>
      <c r="R47" s="109"/>
      <c r="S47" s="109"/>
      <c r="T47" s="49" t="s">
        <v>16</v>
      </c>
      <c r="U47" s="176"/>
    </row>
    <row r="48" spans="1:21" x14ac:dyDescent="0.25">
      <c r="A48" s="117"/>
      <c r="B48" s="113" t="s">
        <v>111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09">
        <v>0</v>
      </c>
      <c r="Q48" s="109"/>
      <c r="R48" s="109"/>
      <c r="S48" s="109"/>
      <c r="T48" s="49" t="s">
        <v>16</v>
      </c>
      <c r="U48" s="176"/>
    </row>
    <row r="49" spans="1:21" x14ac:dyDescent="0.25">
      <c r="A49" s="117"/>
      <c r="B49" s="113" t="s">
        <v>17</v>
      </c>
      <c r="C49" s="113"/>
      <c r="D49" s="113"/>
      <c r="E49" s="113"/>
      <c r="F49" s="113"/>
      <c r="G49" s="113"/>
      <c r="H49" s="109">
        <v>3407.46</v>
      </c>
      <c r="I49" s="109"/>
      <c r="J49" s="64" t="s">
        <v>7</v>
      </c>
      <c r="K49" s="64">
        <v>0.25</v>
      </c>
      <c r="L49" s="66" t="s">
        <v>7</v>
      </c>
      <c r="M49" s="66" t="s">
        <v>11</v>
      </c>
      <c r="N49" s="177">
        <f>SUM(P33)</f>
        <v>73600</v>
      </c>
      <c r="O49" s="177"/>
      <c r="P49" s="177"/>
      <c r="Q49" s="177"/>
      <c r="R49" s="177"/>
      <c r="S49" s="177"/>
      <c r="T49" s="63" t="s">
        <v>22</v>
      </c>
      <c r="U49" s="73">
        <f>H49*K49*N49</f>
        <v>62697264</v>
      </c>
    </row>
    <row r="50" spans="1:21" x14ac:dyDescent="0.25">
      <c r="A50" s="67"/>
      <c r="B50" s="163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5"/>
      <c r="T50" s="63" t="s">
        <v>30</v>
      </c>
      <c r="U50" s="73">
        <f>ROUNDUP(U49,-1)</f>
        <v>62697270</v>
      </c>
    </row>
    <row r="51" spans="1:21" x14ac:dyDescent="0.25">
      <c r="A51" s="65">
        <v>8</v>
      </c>
      <c r="B51" s="108" t="s">
        <v>18</v>
      </c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</row>
    <row r="52" spans="1:21" x14ac:dyDescent="0.25">
      <c r="A52" s="65"/>
      <c r="B52" s="175"/>
      <c r="C52" s="175"/>
      <c r="D52" s="175"/>
      <c r="E52" s="175"/>
      <c r="F52" s="175"/>
      <c r="G52" s="113" t="s">
        <v>15</v>
      </c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66" t="s">
        <v>8</v>
      </c>
      <c r="U52" s="72">
        <f>SUM('Deficiency Calculation'!Q27)</f>
        <v>26599403.289554514</v>
      </c>
    </row>
    <row r="53" spans="1:21" ht="20.25" customHeight="1" x14ac:dyDescent="0.25">
      <c r="A53" s="50"/>
      <c r="B53" s="118" t="s">
        <v>107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69" t="s">
        <v>142</v>
      </c>
      <c r="U53" s="73">
        <f>SUM(U52)</f>
        <v>26599403.289554514</v>
      </c>
    </row>
    <row r="54" spans="1:21" ht="15.75" customHeight="1" x14ac:dyDescent="0.25">
      <c r="A54" s="65">
        <v>9</v>
      </c>
      <c r="B54" s="118" t="s">
        <v>146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20"/>
    </row>
    <row r="55" spans="1:21" s="56" customFormat="1" x14ac:dyDescent="0.25">
      <c r="A55" s="66" t="s">
        <v>107</v>
      </c>
      <c r="B55" s="113" t="s">
        <v>23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09">
        <f>SUM('Proforma A'!E34)</f>
        <v>2430.7143000000001</v>
      </c>
      <c r="Q55" s="109"/>
      <c r="R55" s="109"/>
      <c r="S55" s="109"/>
      <c r="T55" s="49" t="s">
        <v>16</v>
      </c>
      <c r="U55" s="176" t="s">
        <v>107</v>
      </c>
    </row>
    <row r="56" spans="1:21" x14ac:dyDescent="0.25">
      <c r="A56" s="127" t="s">
        <v>107</v>
      </c>
      <c r="B56" s="113" t="s">
        <v>24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09">
        <v>0</v>
      </c>
      <c r="Q56" s="109"/>
      <c r="R56" s="109"/>
      <c r="S56" s="109"/>
      <c r="T56" s="49" t="s">
        <v>16</v>
      </c>
      <c r="U56" s="176"/>
    </row>
    <row r="57" spans="1:21" x14ac:dyDescent="0.25">
      <c r="A57" s="128"/>
      <c r="B57" s="113" t="s">
        <v>31</v>
      </c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09">
        <v>0</v>
      </c>
      <c r="Q57" s="109"/>
      <c r="R57" s="109"/>
      <c r="S57" s="109"/>
      <c r="T57" s="49" t="s">
        <v>16</v>
      </c>
      <c r="U57" s="176"/>
    </row>
    <row r="58" spans="1:21" x14ac:dyDescent="0.25">
      <c r="A58" s="128"/>
      <c r="B58" s="113" t="s">
        <v>25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09">
        <f>IF((P55-P56-P57)&lt;0,0,P55-P56-P57)</f>
        <v>2430.7143000000001</v>
      </c>
      <c r="Q58" s="109"/>
      <c r="R58" s="109"/>
      <c r="S58" s="109"/>
      <c r="T58" s="49" t="s">
        <v>16</v>
      </c>
      <c r="U58" s="176"/>
    </row>
    <row r="59" spans="1:21" x14ac:dyDescent="0.25">
      <c r="A59" s="128"/>
      <c r="B59" s="113" t="s">
        <v>26</v>
      </c>
      <c r="C59" s="113"/>
      <c r="D59" s="113"/>
      <c r="E59" s="113"/>
      <c r="F59" s="113"/>
      <c r="G59" s="113"/>
      <c r="H59" s="113"/>
      <c r="I59" s="113"/>
      <c r="J59" s="113"/>
      <c r="K59" s="53">
        <v>2644.14</v>
      </c>
      <c r="L59" s="64" t="s">
        <v>7</v>
      </c>
      <c r="M59" s="55">
        <v>0.5</v>
      </c>
      <c r="N59" s="66" t="s">
        <v>7</v>
      </c>
      <c r="O59" s="66" t="s">
        <v>11</v>
      </c>
      <c r="P59" s="109">
        <f>SUM(U8)</f>
        <v>73600</v>
      </c>
      <c r="Q59" s="109"/>
      <c r="R59" s="109"/>
      <c r="S59" s="109"/>
      <c r="T59" s="66" t="s">
        <v>8</v>
      </c>
      <c r="U59" s="73">
        <f>SUM(K59*M59*P59)</f>
        <v>97304352</v>
      </c>
    </row>
    <row r="60" spans="1:21" ht="15.75" customHeight="1" x14ac:dyDescent="0.25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59" t="s">
        <v>15</v>
      </c>
      <c r="T60" s="61"/>
      <c r="U60" s="73">
        <f>ROUNDUP(U59,-1)</f>
        <v>97304360</v>
      </c>
    </row>
    <row r="61" spans="1:21" ht="15.75" customHeight="1" x14ac:dyDescent="0.25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1"/>
      <c r="U61" s="73"/>
    </row>
    <row r="62" spans="1:21" x14ac:dyDescent="0.25">
      <c r="A62" s="65">
        <v>10</v>
      </c>
      <c r="B62" s="108" t="s">
        <v>118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</row>
    <row r="63" spans="1:21" x14ac:dyDescent="0.25">
      <c r="A63" s="65"/>
      <c r="B63" s="108"/>
      <c r="C63" s="108"/>
      <c r="D63" s="108"/>
      <c r="E63" s="108"/>
      <c r="F63" s="108"/>
      <c r="G63" s="108"/>
      <c r="H63" s="108"/>
      <c r="I63" s="108"/>
      <c r="J63" s="108"/>
      <c r="K63" s="64">
        <f>SUM('Proforma A'!E21)</f>
        <v>1573.895</v>
      </c>
      <c r="L63" s="66" t="s">
        <v>7</v>
      </c>
      <c r="M63" s="55">
        <v>0.5</v>
      </c>
      <c r="N63" s="66" t="s">
        <v>7</v>
      </c>
      <c r="O63" s="66" t="s">
        <v>11</v>
      </c>
      <c r="P63" s="109">
        <f>SUM(U8)</f>
        <v>73600</v>
      </c>
      <c r="Q63" s="109"/>
      <c r="R63" s="109"/>
      <c r="S63" s="109"/>
      <c r="T63" s="66" t="s">
        <v>8</v>
      </c>
      <c r="U63" s="72">
        <f>K63*M63*P63</f>
        <v>57919336</v>
      </c>
    </row>
    <row r="64" spans="1:21" x14ac:dyDescent="0.25">
      <c r="A64" s="175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66" t="s">
        <v>5</v>
      </c>
      <c r="U64" s="73">
        <f>ROUNDUP(U63,-1)</f>
        <v>57919340</v>
      </c>
    </row>
    <row r="65" spans="1:21" ht="15.75" customHeight="1" x14ac:dyDescent="0.25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8" t="s">
        <v>107</v>
      </c>
      <c r="U65" s="73" t="s">
        <v>107</v>
      </c>
    </row>
    <row r="66" spans="1:21" x14ac:dyDescent="0.25">
      <c r="A66" s="65">
        <v>11</v>
      </c>
      <c r="B66" s="108" t="s">
        <v>120</v>
      </c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</row>
    <row r="67" spans="1:21" x14ac:dyDescent="0.25">
      <c r="A67" s="65"/>
      <c r="B67" s="49" t="s">
        <v>125</v>
      </c>
      <c r="C67" s="82">
        <v>9</v>
      </c>
      <c r="D67" s="82">
        <v>4.3600000000000003</v>
      </c>
      <c r="E67" s="121">
        <f>SUM(C67-D67)</f>
        <v>4.6399999999999997</v>
      </c>
      <c r="F67" s="122"/>
      <c r="G67" s="123"/>
      <c r="H67" s="88" t="s">
        <v>39</v>
      </c>
      <c r="I67" s="88" t="s">
        <v>127</v>
      </c>
      <c r="J67" s="88"/>
      <c r="K67" s="82">
        <f>SUM(E67*2)</f>
        <v>9.2799999999999994</v>
      </c>
      <c r="L67" s="89" t="s">
        <v>39</v>
      </c>
      <c r="M67" s="90">
        <v>19</v>
      </c>
      <c r="N67" s="89" t="s">
        <v>128</v>
      </c>
      <c r="O67" s="124">
        <f>SUM(K67*M67)</f>
        <v>176.32</v>
      </c>
      <c r="P67" s="125"/>
      <c r="Q67" s="53"/>
      <c r="R67" s="53"/>
      <c r="S67" s="53"/>
    </row>
    <row r="68" spans="1:21" x14ac:dyDescent="0.25">
      <c r="A68" s="65"/>
      <c r="B68" s="49"/>
      <c r="C68" s="73" t="s">
        <v>129</v>
      </c>
      <c r="D68" s="91">
        <f>SUM(O67)</f>
        <v>176.32</v>
      </c>
      <c r="E68" s="121" t="s">
        <v>39</v>
      </c>
      <c r="F68" s="122"/>
      <c r="G68" s="123"/>
      <c r="H68" s="166">
        <f>SUM(U8)</f>
        <v>73600</v>
      </c>
      <c r="I68" s="167"/>
      <c r="J68" s="168"/>
      <c r="K68" s="82" t="s">
        <v>39</v>
      </c>
      <c r="L68" s="89"/>
      <c r="M68" s="169">
        <v>0.1</v>
      </c>
      <c r="N68" s="170"/>
      <c r="O68" s="171"/>
      <c r="P68" s="82"/>
      <c r="Q68" s="79"/>
      <c r="R68" s="81"/>
      <c r="S68" s="64"/>
      <c r="T68" s="66" t="s">
        <v>8</v>
      </c>
      <c r="U68" s="72">
        <f>SUM(D68*H68*M68)</f>
        <v>1297715.2000000002</v>
      </c>
    </row>
    <row r="69" spans="1:21" ht="25.5" x14ac:dyDescent="0.25">
      <c r="A69" s="49"/>
      <c r="B69" s="49" t="s">
        <v>126</v>
      </c>
      <c r="C69" s="82">
        <v>3</v>
      </c>
      <c r="D69" s="82">
        <v>0.75</v>
      </c>
      <c r="E69" s="121">
        <f>SUM(C69-D69)</f>
        <v>2.25</v>
      </c>
      <c r="F69" s="161"/>
      <c r="G69" s="162"/>
      <c r="H69" s="88" t="s">
        <v>39</v>
      </c>
      <c r="I69" s="88" t="s">
        <v>127</v>
      </c>
      <c r="J69" s="88"/>
      <c r="K69" s="82">
        <f>SUM(E69*2)</f>
        <v>4.5</v>
      </c>
      <c r="L69" s="89" t="s">
        <v>39</v>
      </c>
      <c r="M69" s="90">
        <v>19</v>
      </c>
      <c r="N69" s="89" t="s">
        <v>128</v>
      </c>
      <c r="O69" s="124">
        <f>SUM(K69*M69)</f>
        <v>85.5</v>
      </c>
      <c r="P69" s="125"/>
      <c r="Q69" s="110" t="s">
        <v>107</v>
      </c>
      <c r="R69" s="112"/>
      <c r="S69" s="49"/>
      <c r="T69" s="66" t="s">
        <v>107</v>
      </c>
      <c r="U69" s="73" t="s">
        <v>107</v>
      </c>
    </row>
    <row r="70" spans="1:21" x14ac:dyDescent="0.25">
      <c r="A70" s="85"/>
      <c r="B70" s="60"/>
      <c r="C70" s="73" t="s">
        <v>129</v>
      </c>
      <c r="D70" s="91">
        <f>SUM(O69)</f>
        <v>85.5</v>
      </c>
      <c r="E70" s="121" t="s">
        <v>39</v>
      </c>
      <c r="F70" s="122"/>
      <c r="G70" s="123"/>
      <c r="H70" s="166">
        <f>SUM(H68)</f>
        <v>73600</v>
      </c>
      <c r="I70" s="167"/>
      <c r="J70" s="168"/>
      <c r="K70" s="82" t="s">
        <v>39</v>
      </c>
      <c r="L70" s="89"/>
      <c r="M70" s="169">
        <v>0.1</v>
      </c>
      <c r="N70" s="170"/>
      <c r="O70" s="171"/>
      <c r="P70" s="82"/>
      <c r="Q70" s="79"/>
      <c r="R70" s="81"/>
      <c r="S70" s="64"/>
      <c r="T70" s="66" t="s">
        <v>8</v>
      </c>
      <c r="U70" s="72">
        <f>SUM(D70*H70*M70)</f>
        <v>629280</v>
      </c>
    </row>
    <row r="71" spans="1:21" x14ac:dyDescent="0.25">
      <c r="A71" s="85"/>
      <c r="B71" s="60"/>
      <c r="C71" s="83"/>
      <c r="D71" s="86"/>
      <c r="E71" s="83"/>
      <c r="F71" s="83"/>
      <c r="G71" s="83"/>
      <c r="H71" s="84"/>
      <c r="I71" s="84"/>
      <c r="J71" s="84"/>
      <c r="K71" s="80"/>
      <c r="L71" s="78"/>
      <c r="M71" s="87"/>
      <c r="N71" s="87"/>
      <c r="O71" s="87"/>
      <c r="P71" s="80"/>
      <c r="Q71" s="80"/>
      <c r="R71" s="80"/>
      <c r="S71" s="80"/>
      <c r="T71" s="66" t="s">
        <v>8</v>
      </c>
      <c r="U71" s="73">
        <f>SUM(U68+U70)</f>
        <v>1926995.2000000002</v>
      </c>
    </row>
    <row r="72" spans="1:21" ht="15.75" customHeight="1" x14ac:dyDescent="0.25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6" t="s">
        <v>5</v>
      </c>
      <c r="U72" s="73">
        <f>ROUNDUP(U71,-1)</f>
        <v>1927000</v>
      </c>
    </row>
    <row r="73" spans="1:21" ht="15.75" customHeight="1" x14ac:dyDescent="0.25">
      <c r="A73" s="65">
        <v>12</v>
      </c>
      <c r="B73" s="108" t="s">
        <v>119</v>
      </c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</row>
    <row r="74" spans="1:21" ht="15.75" customHeight="1" x14ac:dyDescent="0.25">
      <c r="A74" s="65"/>
      <c r="B74" s="108"/>
      <c r="C74" s="108"/>
      <c r="D74" s="108"/>
      <c r="E74" s="108"/>
      <c r="F74" s="108"/>
      <c r="G74" s="108"/>
      <c r="H74" s="108"/>
      <c r="I74" s="108"/>
      <c r="J74" s="108"/>
      <c r="K74" s="64">
        <v>391.65</v>
      </c>
      <c r="L74" s="66" t="s">
        <v>7</v>
      </c>
      <c r="M74" s="62">
        <v>50</v>
      </c>
      <c r="N74" s="66" t="s">
        <v>7</v>
      </c>
      <c r="O74" s="66" t="s">
        <v>11</v>
      </c>
      <c r="P74" s="109">
        <v>0</v>
      </c>
      <c r="Q74" s="109"/>
      <c r="R74" s="109"/>
      <c r="S74" s="109"/>
      <c r="T74" s="66" t="s">
        <v>8</v>
      </c>
      <c r="U74" s="73">
        <f>K74*M74</f>
        <v>19582.5</v>
      </c>
    </row>
    <row r="75" spans="1:21" ht="15.75" customHeight="1" x14ac:dyDescent="0.25">
      <c r="A75" s="160" t="s">
        <v>107</v>
      </c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66" t="s">
        <v>5</v>
      </c>
      <c r="U75" s="73">
        <f>ROUNDUP(U74,-1)</f>
        <v>19590</v>
      </c>
    </row>
    <row r="76" spans="1:21" ht="15.75" customHeight="1" x14ac:dyDescent="0.25">
      <c r="A76" s="65">
        <v>13</v>
      </c>
      <c r="B76" s="108" t="s">
        <v>131</v>
      </c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</row>
    <row r="77" spans="1:21" ht="15.75" customHeight="1" x14ac:dyDescent="0.25">
      <c r="A77" s="65"/>
      <c r="B77" s="108"/>
      <c r="C77" s="108"/>
      <c r="D77" s="108"/>
      <c r="E77" s="108"/>
      <c r="F77" s="108"/>
      <c r="G77" s="108"/>
      <c r="H77" s="108"/>
      <c r="I77" s="108"/>
      <c r="J77" s="108"/>
      <c r="K77" s="64">
        <v>60.33</v>
      </c>
      <c r="L77" s="66" t="s">
        <v>7</v>
      </c>
      <c r="M77" s="55">
        <v>1</v>
      </c>
      <c r="N77" s="66" t="s">
        <v>7</v>
      </c>
      <c r="O77" s="66" t="s">
        <v>11</v>
      </c>
      <c r="P77" s="109">
        <f>SUM(H70)</f>
        <v>73600</v>
      </c>
      <c r="Q77" s="109"/>
      <c r="R77" s="109"/>
      <c r="S77" s="109"/>
      <c r="T77" s="66" t="s">
        <v>8</v>
      </c>
      <c r="U77" s="73">
        <v>1075090</v>
      </c>
    </row>
    <row r="78" spans="1:21" ht="15.75" customHeight="1" x14ac:dyDescent="0.25">
      <c r="A78" s="160" t="s">
        <v>107</v>
      </c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66" t="s">
        <v>5</v>
      </c>
      <c r="U78" s="73">
        <f>ROUNDUP(U77,-1)</f>
        <v>1075090</v>
      </c>
    </row>
    <row r="79" spans="1:21" ht="15.75" customHeight="1" x14ac:dyDescent="0.25">
      <c r="A79" s="163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5"/>
    </row>
    <row r="80" spans="1:21" ht="15.75" customHeight="1" x14ac:dyDescent="0.25">
      <c r="A80" s="65">
        <v>14</v>
      </c>
      <c r="B80" s="108" t="s">
        <v>136</v>
      </c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</row>
    <row r="81" spans="1:21" x14ac:dyDescent="0.25">
      <c r="A81" s="65"/>
      <c r="B81" s="118" t="s">
        <v>137</v>
      </c>
      <c r="C81" s="119"/>
      <c r="D81" s="119"/>
      <c r="E81" s="119"/>
      <c r="F81" s="119"/>
      <c r="G81" s="119"/>
      <c r="H81" s="119"/>
      <c r="I81" s="119"/>
      <c r="J81" s="120"/>
      <c r="K81" s="64">
        <f>SUM('Proforma A'!E20*20%)</f>
        <v>440.69060000000002</v>
      </c>
      <c r="L81" s="66" t="s">
        <v>39</v>
      </c>
      <c r="M81" s="153">
        <f>SUM(K81*10.764)</f>
        <v>4743.5936184000002</v>
      </c>
      <c r="N81" s="154"/>
      <c r="O81" s="155"/>
      <c r="P81" s="153">
        <v>3500</v>
      </c>
      <c r="Q81" s="154"/>
      <c r="R81" s="154"/>
      <c r="S81" s="155"/>
      <c r="T81" s="66" t="s">
        <v>8</v>
      </c>
      <c r="U81" s="73">
        <f>SUM(M81*P81)</f>
        <v>16602577.6644</v>
      </c>
    </row>
    <row r="82" spans="1:21" x14ac:dyDescent="0.25">
      <c r="A82" s="65"/>
      <c r="B82" s="118" t="s">
        <v>138</v>
      </c>
      <c r="C82" s="119"/>
      <c r="D82" s="119"/>
      <c r="E82" s="119"/>
      <c r="F82" s="119"/>
      <c r="G82" s="119"/>
      <c r="H82" s="119"/>
      <c r="I82" s="119"/>
      <c r="J82" s="120"/>
      <c r="K82" s="64">
        <f>SUM('Proforma A'!E20-'Recovery Sheet'!K81)</f>
        <v>1762.7624000000001</v>
      </c>
      <c r="L82" s="66" t="s">
        <v>39</v>
      </c>
      <c r="M82" s="153">
        <f>SUM(K82*10.764)</f>
        <v>18974.374473600001</v>
      </c>
      <c r="N82" s="154"/>
      <c r="O82" s="155"/>
      <c r="P82" s="153">
        <v>2000</v>
      </c>
      <c r="Q82" s="154"/>
      <c r="R82" s="154"/>
      <c r="S82" s="155"/>
      <c r="T82" s="66" t="s">
        <v>8</v>
      </c>
      <c r="U82" s="73">
        <f>SUM(M82*P82)</f>
        <v>37948748.9472</v>
      </c>
    </row>
    <row r="83" spans="1:21" x14ac:dyDescent="0.25">
      <c r="A83" s="160" t="s">
        <v>107</v>
      </c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66" t="s">
        <v>5</v>
      </c>
      <c r="U83" s="73">
        <f>ROUNDUP(U81+U82,-1)</f>
        <v>54551330</v>
      </c>
    </row>
    <row r="84" spans="1:21" x14ac:dyDescent="0.25">
      <c r="A84" s="163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5"/>
    </row>
    <row r="85" spans="1:21" ht="15.75" customHeight="1" x14ac:dyDescent="0.25">
      <c r="A85" s="65">
        <v>15</v>
      </c>
      <c r="B85" s="108" t="s">
        <v>147</v>
      </c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</row>
    <row r="86" spans="1:21" x14ac:dyDescent="0.25">
      <c r="A86" s="65"/>
      <c r="B86" s="108"/>
      <c r="C86" s="108"/>
      <c r="D86" s="108"/>
      <c r="E86" s="108"/>
      <c r="F86" s="108"/>
      <c r="G86" s="108"/>
      <c r="H86" s="108"/>
      <c r="I86" s="108"/>
      <c r="J86" s="108"/>
      <c r="K86" s="64">
        <f>SUM('Proforma A'!E20)</f>
        <v>2203.453</v>
      </c>
      <c r="L86" s="66" t="s">
        <v>7</v>
      </c>
      <c r="M86" s="55">
        <v>0.05</v>
      </c>
      <c r="N86" s="66" t="s">
        <v>7</v>
      </c>
      <c r="O86" s="66" t="s">
        <v>11</v>
      </c>
      <c r="P86" s="109">
        <v>30250</v>
      </c>
      <c r="Q86" s="109"/>
      <c r="R86" s="109"/>
      <c r="S86" s="109"/>
      <c r="T86" s="66" t="s">
        <v>8</v>
      </c>
      <c r="U86" s="73">
        <f>SUM(K86*M86*P86)</f>
        <v>3332722.6625000001</v>
      </c>
    </row>
    <row r="87" spans="1:21" x14ac:dyDescent="0.25">
      <c r="A87" s="160" t="s">
        <v>107</v>
      </c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66" t="s">
        <v>5</v>
      </c>
      <c r="U87" s="73">
        <f>ROUNDUP(U86,-1)</f>
        <v>3332730</v>
      </c>
    </row>
    <row r="88" spans="1:21" x14ac:dyDescent="0.25">
      <c r="A88" s="163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5"/>
    </row>
    <row r="89" spans="1:21" ht="16.5" x14ac:dyDescent="0.25">
      <c r="A89" s="158" t="s">
        <v>107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75" t="s">
        <v>107</v>
      </c>
    </row>
    <row r="90" spans="1:21" x14ac:dyDescent="0.25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157" t="s">
        <v>107</v>
      </c>
      <c r="S90" s="157"/>
      <c r="T90" s="157"/>
      <c r="U90" s="75" t="s">
        <v>107</v>
      </c>
    </row>
    <row r="91" spans="1:21" x14ac:dyDescent="0.25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157" t="s">
        <v>139</v>
      </c>
      <c r="S91" s="157"/>
      <c r="T91" s="157"/>
      <c r="U91" s="75">
        <f>SUM(U87+U83+U78+U75+U72+U64+U60+U53+U50+U43+U38+U30+U23+U19+U15)</f>
        <v>346511249.60955447</v>
      </c>
    </row>
  </sheetData>
  <mergeCells count="131">
    <mergeCell ref="B82:J82"/>
    <mergeCell ref="P82:S82"/>
    <mergeCell ref="A83:S83"/>
    <mergeCell ref="A84:U84"/>
    <mergeCell ref="M82:O82"/>
    <mergeCell ref="B81:J81"/>
    <mergeCell ref="M81:O81"/>
    <mergeCell ref="P81:S81"/>
    <mergeCell ref="A43:T43"/>
    <mergeCell ref="E68:G68"/>
    <mergeCell ref="H68:J68"/>
    <mergeCell ref="M68:O68"/>
    <mergeCell ref="B66:U66"/>
    <mergeCell ref="A64:S64"/>
    <mergeCell ref="B49:G49"/>
    <mergeCell ref="H49:I49"/>
    <mergeCell ref="B62:U62"/>
    <mergeCell ref="B63:J63"/>
    <mergeCell ref="P63:S63"/>
    <mergeCell ref="B53:S53"/>
    <mergeCell ref="A44:U44"/>
    <mergeCell ref="U55:U58"/>
    <mergeCell ref="B56:O56"/>
    <mergeCell ref="P56:S56"/>
    <mergeCell ref="R90:T90"/>
    <mergeCell ref="R91:T91"/>
    <mergeCell ref="A89:T89"/>
    <mergeCell ref="B85:U85"/>
    <mergeCell ref="B86:J86"/>
    <mergeCell ref="P86:S86"/>
    <mergeCell ref="A87:S87"/>
    <mergeCell ref="E69:G69"/>
    <mergeCell ref="A88:U88"/>
    <mergeCell ref="Q69:R69"/>
    <mergeCell ref="E70:G70"/>
    <mergeCell ref="H70:J70"/>
    <mergeCell ref="M70:O70"/>
    <mergeCell ref="O69:P69"/>
    <mergeCell ref="B73:U73"/>
    <mergeCell ref="B74:J74"/>
    <mergeCell ref="P74:S74"/>
    <mergeCell ref="A75:S75"/>
    <mergeCell ref="B76:U76"/>
    <mergeCell ref="B77:J77"/>
    <mergeCell ref="P77:S77"/>
    <mergeCell ref="A78:S78"/>
    <mergeCell ref="A79:U79"/>
    <mergeCell ref="B80:U80"/>
    <mergeCell ref="B11:U11"/>
    <mergeCell ref="B12:K12"/>
    <mergeCell ref="L12:N12"/>
    <mergeCell ref="B13:K13"/>
    <mergeCell ref="L13:N13"/>
    <mergeCell ref="Q12:S12"/>
    <mergeCell ref="Q13:S13"/>
    <mergeCell ref="P26:S26"/>
    <mergeCell ref="B25:U25"/>
    <mergeCell ref="B26:C27"/>
    <mergeCell ref="D26:J26"/>
    <mergeCell ref="D27:J27"/>
    <mergeCell ref="A15:T15"/>
    <mergeCell ref="B23:T23"/>
    <mergeCell ref="B14:S14"/>
    <mergeCell ref="A16:S16"/>
    <mergeCell ref="A24:U24"/>
    <mergeCell ref="P27:S27"/>
    <mergeCell ref="A26:A29"/>
    <mergeCell ref="B28:C29"/>
    <mergeCell ref="D28:J28"/>
    <mergeCell ref="P28:S28"/>
    <mergeCell ref="D29:J29"/>
    <mergeCell ref="P29:S29"/>
    <mergeCell ref="A1:U1"/>
    <mergeCell ref="A2:U2"/>
    <mergeCell ref="A3:U3"/>
    <mergeCell ref="E4:J10"/>
    <mergeCell ref="K4:U5"/>
    <mergeCell ref="K6:T6"/>
    <mergeCell ref="K7:T7"/>
    <mergeCell ref="B9:C9"/>
    <mergeCell ref="B10:C10"/>
    <mergeCell ref="K8:T8"/>
    <mergeCell ref="K9:U10"/>
    <mergeCell ref="E67:G67"/>
    <mergeCell ref="O67:P67"/>
    <mergeCell ref="A17:U17"/>
    <mergeCell ref="B18:J18"/>
    <mergeCell ref="P18:S18"/>
    <mergeCell ref="A19:S19"/>
    <mergeCell ref="A20:U20"/>
    <mergeCell ref="B21:J21"/>
    <mergeCell ref="P21:S21"/>
    <mergeCell ref="B22:T22"/>
    <mergeCell ref="A30:T30"/>
    <mergeCell ref="B59:J59"/>
    <mergeCell ref="P59:S59"/>
    <mergeCell ref="A56:A59"/>
    <mergeCell ref="P57:S57"/>
    <mergeCell ref="B58:O58"/>
    <mergeCell ref="P58:S58"/>
    <mergeCell ref="B48:O48"/>
    <mergeCell ref="A37:S37"/>
    <mergeCell ref="A38:T38"/>
    <mergeCell ref="U46:U48"/>
    <mergeCell ref="B46:O46"/>
    <mergeCell ref="P46:S46"/>
    <mergeCell ref="B47:O47"/>
    <mergeCell ref="A31:U31"/>
    <mergeCell ref="B39:U39"/>
    <mergeCell ref="B40:J40"/>
    <mergeCell ref="P40:S40"/>
    <mergeCell ref="B32:U32"/>
    <mergeCell ref="B33:J33"/>
    <mergeCell ref="P33:S33"/>
    <mergeCell ref="B41:S41"/>
    <mergeCell ref="B57:O57"/>
    <mergeCell ref="A36:S36"/>
    <mergeCell ref="P48:S48"/>
    <mergeCell ref="B45:U45"/>
    <mergeCell ref="A46:A49"/>
    <mergeCell ref="A34:S34"/>
    <mergeCell ref="A35:S35"/>
    <mergeCell ref="B54:U54"/>
    <mergeCell ref="B55:O55"/>
    <mergeCell ref="P55:S55"/>
    <mergeCell ref="P47:S47"/>
    <mergeCell ref="N49:S49"/>
    <mergeCell ref="B52:F52"/>
    <mergeCell ref="G52:S52"/>
    <mergeCell ref="B50:S50"/>
    <mergeCell ref="B51:U51"/>
  </mergeCells>
  <pageMargins left="0.25" right="0.25" top="0.75" bottom="0.75" header="0.3" footer="0.3"/>
  <pageSetup paperSize="5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J54"/>
  <sheetViews>
    <sheetView tabSelected="1" topLeftCell="B25" workbookViewId="0">
      <selection activeCell="G45" sqref="G45"/>
    </sheetView>
  </sheetViews>
  <sheetFormatPr defaultRowHeight="15" x14ac:dyDescent="0.25"/>
  <cols>
    <col min="3" max="3" width="4.42578125" bestFit="1" customWidth="1"/>
    <col min="4" max="4" width="71.85546875" bestFit="1" customWidth="1"/>
    <col min="5" max="5" width="12" bestFit="1" customWidth="1"/>
    <col min="6" max="6" width="9.140625" customWidth="1"/>
    <col min="9" max="9" width="14.42578125" bestFit="1" customWidth="1"/>
  </cols>
  <sheetData>
    <row r="2" spans="3:10" ht="15.75" thickBot="1" x14ac:dyDescent="0.3"/>
    <row r="3" spans="3:10" ht="15.75" x14ac:dyDescent="0.25">
      <c r="C3" s="178" t="s">
        <v>47</v>
      </c>
      <c r="D3" s="179"/>
      <c r="E3" s="180"/>
    </row>
    <row r="4" spans="3:10" ht="16.5" thickBot="1" x14ac:dyDescent="0.3">
      <c r="C4" s="181" t="s">
        <v>48</v>
      </c>
      <c r="D4" s="182"/>
      <c r="E4" s="183"/>
    </row>
    <row r="5" spans="3:10" ht="15.75" x14ac:dyDescent="0.25">
      <c r="C5" s="97" t="s">
        <v>49</v>
      </c>
      <c r="D5" s="96" t="s">
        <v>50</v>
      </c>
      <c r="E5" s="98" t="s">
        <v>16</v>
      </c>
    </row>
    <row r="6" spans="3:10" ht="15.75" x14ac:dyDescent="0.25">
      <c r="C6" s="99">
        <v>1</v>
      </c>
      <c r="D6" s="7" t="s">
        <v>51</v>
      </c>
      <c r="E6" s="100">
        <v>3236.6</v>
      </c>
    </row>
    <row r="7" spans="3:10" ht="15.75" x14ac:dyDescent="0.25">
      <c r="C7" s="99">
        <v>2</v>
      </c>
      <c r="D7" s="7" t="s">
        <v>52</v>
      </c>
      <c r="E7" s="101"/>
    </row>
    <row r="8" spans="3:10" ht="15.75" x14ac:dyDescent="0.25">
      <c r="C8" s="99"/>
      <c r="D8" s="7" t="s">
        <v>102</v>
      </c>
      <c r="E8" s="100">
        <v>9.8800000000000008</v>
      </c>
    </row>
    <row r="9" spans="3:10" ht="15.75" x14ac:dyDescent="0.25">
      <c r="C9" s="99"/>
      <c r="D9" s="7" t="s">
        <v>53</v>
      </c>
      <c r="E9" s="101"/>
    </row>
    <row r="10" spans="3:10" ht="15.75" x14ac:dyDescent="0.25">
      <c r="C10" s="99"/>
      <c r="D10" s="7" t="s">
        <v>103</v>
      </c>
      <c r="E10" s="101">
        <v>0</v>
      </c>
    </row>
    <row r="11" spans="3:10" ht="15.75" x14ac:dyDescent="0.25">
      <c r="C11" s="99"/>
      <c r="D11" s="7" t="s">
        <v>54</v>
      </c>
      <c r="E11" s="101"/>
    </row>
    <row r="12" spans="3:10" ht="15.75" x14ac:dyDescent="0.25">
      <c r="C12" s="99"/>
      <c r="D12" s="7" t="s">
        <v>148</v>
      </c>
      <c r="E12" s="101">
        <v>78.930000000000007</v>
      </c>
    </row>
    <row r="13" spans="3:10" ht="15.75" x14ac:dyDescent="0.25">
      <c r="C13" s="99"/>
      <c r="D13" s="7" t="s">
        <v>149</v>
      </c>
      <c r="E13" s="100">
        <f>E8+E9+E10+E11+E12</f>
        <v>88.81</v>
      </c>
    </row>
    <row r="14" spans="3:10" ht="15.75" x14ac:dyDescent="0.25">
      <c r="C14" s="99">
        <v>3</v>
      </c>
      <c r="D14" s="7" t="s">
        <v>55</v>
      </c>
      <c r="E14" s="100">
        <f>E6-E13</f>
        <v>3147.79</v>
      </c>
    </row>
    <row r="15" spans="3:10" ht="15.75" x14ac:dyDescent="0.25">
      <c r="C15" s="99">
        <v>4</v>
      </c>
      <c r="D15" s="7" t="s">
        <v>56</v>
      </c>
      <c r="E15" s="101"/>
    </row>
    <row r="16" spans="3:10" ht="15.75" x14ac:dyDescent="0.25">
      <c r="C16" s="99"/>
      <c r="D16" s="7" t="s">
        <v>151</v>
      </c>
      <c r="E16" s="100">
        <f>SUM(E8)*2</f>
        <v>19.760000000000002</v>
      </c>
      <c r="I16" s="184" t="s">
        <v>104</v>
      </c>
      <c r="J16" s="184"/>
    </row>
    <row r="17" spans="3:10" ht="15.75" x14ac:dyDescent="0.25">
      <c r="C17" s="99"/>
      <c r="D17" s="7" t="s">
        <v>57</v>
      </c>
      <c r="E17" s="101">
        <v>0</v>
      </c>
      <c r="I17" t="s">
        <v>105</v>
      </c>
      <c r="J17" s="10">
        <f>SUM(E20*80%)</f>
        <v>1762.7624000000001</v>
      </c>
    </row>
    <row r="18" spans="3:10" ht="15.75" x14ac:dyDescent="0.25">
      <c r="C18" s="99"/>
      <c r="D18" s="7"/>
      <c r="E18" s="101"/>
      <c r="I18" t="s">
        <v>40</v>
      </c>
      <c r="J18" s="10">
        <f>SUM(E20*20%)</f>
        <v>440.69060000000002</v>
      </c>
    </row>
    <row r="19" spans="3:10" ht="15.75" x14ac:dyDescent="0.25">
      <c r="C19" s="99">
        <v>8</v>
      </c>
      <c r="D19" s="7" t="s">
        <v>58</v>
      </c>
      <c r="E19" s="100">
        <f>1*E14</f>
        <v>3147.79</v>
      </c>
      <c r="I19" t="s">
        <v>106</v>
      </c>
      <c r="J19" s="10">
        <f>E21</f>
        <v>1573.895</v>
      </c>
    </row>
    <row r="20" spans="3:10" ht="36.75" customHeight="1" x14ac:dyDescent="0.25">
      <c r="C20" s="99">
        <v>9</v>
      </c>
      <c r="D20" s="8" t="s">
        <v>150</v>
      </c>
      <c r="E20" s="100">
        <f>SUM(E14*0.7)</f>
        <v>2203.453</v>
      </c>
      <c r="G20" s="10">
        <v>19.760000000000002</v>
      </c>
      <c r="J20" s="10">
        <f>SUM(J17:J19)</f>
        <v>3777.348</v>
      </c>
    </row>
    <row r="21" spans="3:10" ht="15.75" x14ac:dyDescent="0.25">
      <c r="C21" s="99"/>
      <c r="D21" s="8" t="s">
        <v>59</v>
      </c>
      <c r="E21" s="100">
        <f>SUM(E14/2)</f>
        <v>1573.895</v>
      </c>
      <c r="G21" s="10">
        <v>2813.25</v>
      </c>
    </row>
    <row r="22" spans="3:10" ht="15.75" x14ac:dyDescent="0.25">
      <c r="C22" s="99"/>
      <c r="D22" s="7" t="s">
        <v>60</v>
      </c>
      <c r="E22" s="100">
        <v>0</v>
      </c>
    </row>
    <row r="23" spans="3:10" ht="15.75" x14ac:dyDescent="0.25">
      <c r="C23" s="99"/>
      <c r="D23" s="7" t="s">
        <v>61</v>
      </c>
      <c r="E23" s="100">
        <v>0</v>
      </c>
    </row>
    <row r="24" spans="3:10" ht="15.75" x14ac:dyDescent="0.25">
      <c r="C24" s="99"/>
      <c r="D24" s="7" t="s">
        <v>114</v>
      </c>
      <c r="E24" s="100">
        <v>0</v>
      </c>
    </row>
    <row r="25" spans="3:10" ht="15.75" x14ac:dyDescent="0.25">
      <c r="C25" s="99">
        <v>10</v>
      </c>
      <c r="D25" s="7" t="s">
        <v>152</v>
      </c>
      <c r="E25" s="100">
        <f>E16+E19+E20+E21</f>
        <v>6944.898000000001</v>
      </c>
    </row>
    <row r="26" spans="3:10" ht="15.75" x14ac:dyDescent="0.25">
      <c r="C26" s="99">
        <v>11</v>
      </c>
      <c r="D26" s="7" t="s">
        <v>62</v>
      </c>
      <c r="E26" s="101">
        <v>0</v>
      </c>
    </row>
    <row r="27" spans="3:10" ht="15.75" x14ac:dyDescent="0.25">
      <c r="C27" s="99">
        <v>12</v>
      </c>
      <c r="D27" s="7" t="s">
        <v>63</v>
      </c>
      <c r="E27" s="100">
        <f>E25-E26</f>
        <v>6944.898000000001</v>
      </c>
    </row>
    <row r="28" spans="3:10" ht="15.75" x14ac:dyDescent="0.25">
      <c r="C28" s="99">
        <v>13</v>
      </c>
      <c r="D28" s="7" t="s">
        <v>64</v>
      </c>
      <c r="E28" s="101">
        <v>0</v>
      </c>
    </row>
    <row r="29" spans="3:10" ht="15.75" x14ac:dyDescent="0.25">
      <c r="C29" s="99">
        <v>14</v>
      </c>
      <c r="D29" s="7" t="s">
        <v>65</v>
      </c>
      <c r="E29" s="100">
        <f>E27</f>
        <v>6944.898000000001</v>
      </c>
    </row>
    <row r="30" spans="3:10" ht="15.75" x14ac:dyDescent="0.25">
      <c r="C30" s="99">
        <v>15</v>
      </c>
      <c r="D30" s="7" t="s">
        <v>66</v>
      </c>
      <c r="E30" s="101">
        <v>0</v>
      </c>
    </row>
    <row r="31" spans="3:10" ht="15.75" x14ac:dyDescent="0.25">
      <c r="C31" s="99">
        <v>16</v>
      </c>
      <c r="D31" s="7" t="s">
        <v>67</v>
      </c>
      <c r="E31" s="100">
        <f>SUM(E29)</f>
        <v>6944.898000000001</v>
      </c>
    </row>
    <row r="32" spans="3:10" ht="15.75" x14ac:dyDescent="0.25">
      <c r="C32" s="99">
        <v>17</v>
      </c>
      <c r="D32" s="7" t="s">
        <v>68</v>
      </c>
      <c r="E32" s="100">
        <f>E31/E14</f>
        <v>2.206277420031197</v>
      </c>
    </row>
    <row r="33" spans="3:5" ht="15.75" x14ac:dyDescent="0.25">
      <c r="C33" s="102" t="s">
        <v>69</v>
      </c>
      <c r="D33" s="9" t="s">
        <v>70</v>
      </c>
      <c r="E33" s="101"/>
    </row>
    <row r="34" spans="3:5" ht="31.5" x14ac:dyDescent="0.25">
      <c r="C34" s="99">
        <v>1</v>
      </c>
      <c r="D34" s="8" t="s">
        <v>71</v>
      </c>
      <c r="E34" s="100">
        <f>SUM(E31*35%)</f>
        <v>2430.7143000000001</v>
      </c>
    </row>
    <row r="35" spans="3:5" ht="31.5" x14ac:dyDescent="0.25">
      <c r="C35" s="99">
        <v>2</v>
      </c>
      <c r="D35" s="8" t="s">
        <v>72</v>
      </c>
      <c r="E35" s="100"/>
    </row>
    <row r="36" spans="3:5" ht="15.75" x14ac:dyDescent="0.25">
      <c r="C36" s="99">
        <v>3</v>
      </c>
      <c r="D36" s="7" t="s">
        <v>73</v>
      </c>
      <c r="E36" s="100">
        <f>SUM(E34)</f>
        <v>2430.7143000000001</v>
      </c>
    </row>
    <row r="37" spans="3:5" ht="15.75" x14ac:dyDescent="0.25">
      <c r="C37" s="99">
        <v>4</v>
      </c>
      <c r="D37" s="7" t="s">
        <v>74</v>
      </c>
      <c r="E37" s="100">
        <f>SUM(E31+E34)</f>
        <v>9375.6123000000007</v>
      </c>
    </row>
    <row r="38" spans="3:5" ht="15.75" x14ac:dyDescent="0.25">
      <c r="C38" s="99">
        <v>5</v>
      </c>
      <c r="D38" s="7" t="s">
        <v>75</v>
      </c>
      <c r="E38" s="100">
        <f>SUM(E37)</f>
        <v>9375.6123000000007</v>
      </c>
    </row>
    <row r="39" spans="3:5" ht="15.75" x14ac:dyDescent="0.25">
      <c r="C39" s="102" t="s">
        <v>76</v>
      </c>
      <c r="D39" s="9" t="s">
        <v>77</v>
      </c>
      <c r="E39" s="101"/>
    </row>
    <row r="40" spans="3:5" ht="15.75" x14ac:dyDescent="0.25">
      <c r="C40" s="99" t="s">
        <v>78</v>
      </c>
      <c r="D40" s="7" t="s">
        <v>79</v>
      </c>
      <c r="E40" s="100">
        <f>SUM(E38)</f>
        <v>9375.6123000000007</v>
      </c>
    </row>
    <row r="41" spans="3:5" ht="15.75" x14ac:dyDescent="0.25">
      <c r="C41" s="99" t="s">
        <v>80</v>
      </c>
      <c r="D41" s="7" t="s">
        <v>81</v>
      </c>
      <c r="E41" s="100">
        <v>0</v>
      </c>
    </row>
    <row r="42" spans="3:5" ht="15.75" x14ac:dyDescent="0.25">
      <c r="C42" s="99" t="s">
        <v>82</v>
      </c>
      <c r="D42" s="7" t="s">
        <v>83</v>
      </c>
      <c r="E42" s="100">
        <f>E40-E41</f>
        <v>9375.6123000000007</v>
      </c>
    </row>
    <row r="43" spans="3:5" ht="15.75" x14ac:dyDescent="0.25">
      <c r="C43" s="99" t="s">
        <v>84</v>
      </c>
      <c r="D43" s="7" t="s">
        <v>85</v>
      </c>
      <c r="E43" s="100">
        <f>E42*450/10000</f>
        <v>421.90255350000001</v>
      </c>
    </row>
    <row r="44" spans="3:5" ht="15.75" x14ac:dyDescent="0.25">
      <c r="C44" s="99" t="s">
        <v>86</v>
      </c>
      <c r="D44" s="7" t="s">
        <v>87</v>
      </c>
      <c r="E44" s="100">
        <v>0</v>
      </c>
    </row>
    <row r="45" spans="3:5" ht="15.75" x14ac:dyDescent="0.25">
      <c r="C45" s="99" t="s">
        <v>88</v>
      </c>
      <c r="D45" s="7" t="s">
        <v>89</v>
      </c>
      <c r="E45" s="100">
        <v>0</v>
      </c>
    </row>
    <row r="46" spans="3:5" ht="15.75" x14ac:dyDescent="0.25">
      <c r="C46" s="99" t="s">
        <v>90</v>
      </c>
      <c r="D46" s="7" t="s">
        <v>91</v>
      </c>
      <c r="E46" s="100">
        <v>0</v>
      </c>
    </row>
    <row r="47" spans="3:5" ht="15.75" x14ac:dyDescent="0.25">
      <c r="C47" s="102" t="s">
        <v>92</v>
      </c>
      <c r="D47" s="9" t="s">
        <v>93</v>
      </c>
      <c r="E47" s="101"/>
    </row>
    <row r="48" spans="3:5" ht="15.75" x14ac:dyDescent="0.25">
      <c r="C48" s="99" t="s">
        <v>78</v>
      </c>
      <c r="D48" s="7" t="s">
        <v>94</v>
      </c>
      <c r="E48" s="100">
        <v>0</v>
      </c>
    </row>
    <row r="49" spans="3:5" ht="15.75" x14ac:dyDescent="0.25">
      <c r="C49" s="99" t="s">
        <v>80</v>
      </c>
      <c r="D49" s="7" t="s">
        <v>95</v>
      </c>
      <c r="E49" s="100">
        <v>0</v>
      </c>
    </row>
    <row r="50" spans="3:5" ht="15.75" x14ac:dyDescent="0.25">
      <c r="C50" s="99" t="s">
        <v>82</v>
      </c>
      <c r="D50" s="7" t="s">
        <v>96</v>
      </c>
      <c r="E50" s="100">
        <v>0</v>
      </c>
    </row>
    <row r="51" spans="3:5" ht="15.75" x14ac:dyDescent="0.25">
      <c r="C51" s="99" t="s">
        <v>84</v>
      </c>
      <c r="D51" s="7" t="s">
        <v>97</v>
      </c>
      <c r="E51" s="100">
        <v>0</v>
      </c>
    </row>
    <row r="52" spans="3:5" ht="15.75" x14ac:dyDescent="0.25">
      <c r="C52" s="102" t="s">
        <v>98</v>
      </c>
      <c r="D52" s="9" t="s">
        <v>99</v>
      </c>
      <c r="E52" s="101"/>
    </row>
    <row r="53" spans="3:5" ht="15.75" x14ac:dyDescent="0.25">
      <c r="C53" s="99" t="s">
        <v>78</v>
      </c>
      <c r="D53" s="7" t="s">
        <v>100</v>
      </c>
      <c r="E53" s="101"/>
    </row>
    <row r="54" spans="3:5" ht="16.5" thickBot="1" x14ac:dyDescent="0.3">
      <c r="C54" s="103" t="s">
        <v>80</v>
      </c>
      <c r="D54" s="104" t="s">
        <v>101</v>
      </c>
      <c r="E54" s="105"/>
    </row>
  </sheetData>
  <mergeCells count="3">
    <mergeCell ref="C3:E3"/>
    <mergeCell ref="C4:E4"/>
    <mergeCell ref="I16:J16"/>
  </mergeCells>
  <pageMargins left="0.25" right="0.25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S32"/>
  <sheetViews>
    <sheetView topLeftCell="H1" workbookViewId="0">
      <selection activeCell="T24" sqref="T24"/>
    </sheetView>
  </sheetViews>
  <sheetFormatPr defaultRowHeight="15" x14ac:dyDescent="0.25"/>
  <cols>
    <col min="1" max="1" width="9.140625" style="3"/>
    <col min="2" max="2" width="2.5703125" style="3" customWidth="1"/>
    <col min="3" max="3" width="15.42578125" style="3" customWidth="1"/>
    <col min="4" max="4" width="3.7109375" style="3" customWidth="1"/>
    <col min="5" max="5" width="9.7109375" style="3" bestFit="1" customWidth="1"/>
    <col min="6" max="6" width="4.140625" style="3" customWidth="1"/>
    <col min="7" max="7" width="18" style="3" bestFit="1" customWidth="1"/>
    <col min="8" max="8" width="14.85546875" style="3" customWidth="1"/>
    <col min="9" max="9" width="4" style="3" customWidth="1"/>
    <col min="10" max="10" width="9.7109375" style="3" bestFit="1" customWidth="1"/>
    <col min="11" max="11" width="3.5703125" style="3" customWidth="1"/>
    <col min="12" max="12" width="20" style="3" customWidth="1"/>
    <col min="13" max="13" width="15.85546875" style="3" customWidth="1"/>
    <col min="14" max="14" width="2.85546875" style="3" customWidth="1"/>
    <col min="15" max="15" width="13.140625" style="3" customWidth="1"/>
    <col min="16" max="16" width="2.5703125" style="3" bestFit="1" customWidth="1"/>
    <col min="17" max="17" width="20.140625" style="3" bestFit="1" customWidth="1"/>
    <col min="18" max="18" width="5.140625" style="3" customWidth="1"/>
    <col min="19" max="16384" width="9.140625" style="3"/>
  </cols>
  <sheetData>
    <row r="3" spans="2:18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8" ht="27" customHeight="1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06" t="s">
        <v>107</v>
      </c>
    </row>
    <row r="6" spans="2:18" ht="15" customHeight="1" x14ac:dyDescent="0.25">
      <c r="B6" s="1"/>
      <c r="C6" s="196" t="s">
        <v>113</v>
      </c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8"/>
    </row>
    <row r="7" spans="2:18" x14ac:dyDescent="0.25">
      <c r="B7" s="1"/>
      <c r="C7" s="199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1"/>
    </row>
    <row r="8" spans="2:18" ht="10.5" customHeight="1" thickBot="1" x14ac:dyDescent="0.3">
      <c r="B8" s="1"/>
      <c r="C8" s="202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4"/>
    </row>
    <row r="9" spans="2:18" ht="15" customHeight="1" x14ac:dyDescent="0.25">
      <c r="B9" s="1"/>
      <c r="C9" s="215" t="s">
        <v>32</v>
      </c>
      <c r="D9" s="216"/>
      <c r="E9" s="216"/>
      <c r="F9" s="216"/>
      <c r="G9" s="216"/>
      <c r="H9" s="217">
        <f>SUM('Proforma A'!E14)</f>
        <v>3147.79</v>
      </c>
      <c r="I9" s="217"/>
      <c r="J9" s="217"/>
      <c r="K9" s="213" t="s">
        <v>16</v>
      </c>
      <c r="L9" s="218"/>
      <c r="M9" s="221" t="s">
        <v>107</v>
      </c>
      <c r="N9" s="222"/>
      <c r="O9" s="222"/>
      <c r="P9" s="222"/>
      <c r="Q9" s="223"/>
      <c r="R9" s="16"/>
    </row>
    <row r="10" spans="2:18" x14ac:dyDescent="0.25">
      <c r="B10" s="1"/>
      <c r="C10" s="205" t="s">
        <v>33</v>
      </c>
      <c r="D10" s="206"/>
      <c r="E10" s="206"/>
      <c r="F10" s="206"/>
      <c r="G10" s="206"/>
      <c r="H10" s="187">
        <f>SUM('Proforma A'!E38)</f>
        <v>9375.6123000000007</v>
      </c>
      <c r="I10" s="187"/>
      <c r="J10" s="187"/>
      <c r="K10" s="219" t="s">
        <v>16</v>
      </c>
      <c r="L10" s="220"/>
      <c r="M10" s="224"/>
      <c r="N10" s="225"/>
      <c r="O10" s="225"/>
      <c r="P10" s="225"/>
      <c r="Q10" s="226"/>
      <c r="R10" s="16"/>
    </row>
    <row r="11" spans="2:18" ht="15.75" thickBot="1" x14ac:dyDescent="0.3">
      <c r="B11" s="1"/>
      <c r="C11" s="205" t="s">
        <v>40</v>
      </c>
      <c r="D11" s="206"/>
      <c r="E11" s="206"/>
      <c r="F11" s="206"/>
      <c r="G11" s="206"/>
      <c r="H11" s="12">
        <f>SUM('[1]Proforma A'!J17)</f>
        <v>440.69060000000002</v>
      </c>
      <c r="I11" s="187">
        <f>SUM(H11:H13)</f>
        <v>6208.0622999999996</v>
      </c>
      <c r="J11" s="187"/>
      <c r="K11" s="209" t="s">
        <v>16</v>
      </c>
      <c r="L11" s="210"/>
      <c r="M11" s="31"/>
      <c r="N11" s="32"/>
      <c r="O11" s="32" t="s">
        <v>107</v>
      </c>
      <c r="P11" s="32"/>
      <c r="Q11" s="33"/>
      <c r="R11" s="16"/>
    </row>
    <row r="12" spans="2:18" x14ac:dyDescent="0.25">
      <c r="B12" s="1"/>
      <c r="C12" s="205" t="s">
        <v>34</v>
      </c>
      <c r="D12" s="206"/>
      <c r="E12" s="206"/>
      <c r="F12" s="206"/>
      <c r="G12" s="206"/>
      <c r="H12" s="12">
        <f>SUM('Proforma A'!E34)</f>
        <v>2430.7143000000001</v>
      </c>
      <c r="I12" s="187"/>
      <c r="J12" s="187"/>
      <c r="K12" s="211"/>
      <c r="L12" s="212"/>
      <c r="M12" s="28"/>
      <c r="N12" s="29"/>
      <c r="O12" s="29"/>
      <c r="P12" s="29"/>
      <c r="Q12" s="30"/>
      <c r="R12" s="16"/>
    </row>
    <row r="13" spans="2:18" x14ac:dyDescent="0.25">
      <c r="B13" s="1"/>
      <c r="C13" s="205" t="s">
        <v>140</v>
      </c>
      <c r="D13" s="206"/>
      <c r="E13" s="206"/>
      <c r="F13" s="206"/>
      <c r="G13" s="206"/>
      <c r="H13" s="12">
        <f>SUM('Proforma A'!E21+'Proforma A'!J17)</f>
        <v>3336.6574000000001</v>
      </c>
      <c r="I13" s="187"/>
      <c r="J13" s="187"/>
      <c r="K13" s="213"/>
      <c r="L13" s="214"/>
      <c r="M13" s="28"/>
      <c r="N13" s="29"/>
      <c r="O13" s="29"/>
      <c r="P13" s="29"/>
      <c r="Q13" s="30"/>
      <c r="R13" s="16"/>
    </row>
    <row r="14" spans="2:18" x14ac:dyDescent="0.25">
      <c r="B14" s="1"/>
      <c r="C14" s="205" t="s">
        <v>35</v>
      </c>
      <c r="D14" s="206"/>
      <c r="E14" s="206"/>
      <c r="F14" s="206"/>
      <c r="G14" s="206"/>
      <c r="H14" s="12">
        <f>SUM(H10-H9)</f>
        <v>6227.8223000000007</v>
      </c>
      <c r="I14" s="207" t="s">
        <v>16</v>
      </c>
      <c r="J14" s="208"/>
      <c r="K14" s="24"/>
      <c r="L14" s="25"/>
      <c r="M14" s="28"/>
      <c r="N14" s="29"/>
      <c r="O14" s="29"/>
      <c r="P14" s="29"/>
      <c r="Q14" s="30"/>
      <c r="R14" s="16"/>
    </row>
    <row r="15" spans="2:18" x14ac:dyDescent="0.25">
      <c r="B15" s="1"/>
      <c r="C15" s="235" t="s">
        <v>141</v>
      </c>
      <c r="D15" s="236"/>
      <c r="E15" s="236"/>
      <c r="F15" s="236"/>
      <c r="G15" s="236"/>
      <c r="H15" s="12">
        <f>SUM('Proforma A'!E37*20%)</f>
        <v>1875.1224600000003</v>
      </c>
      <c r="I15" s="228" t="s">
        <v>107</v>
      </c>
      <c r="J15" s="229"/>
      <c r="K15" s="228" t="s">
        <v>107</v>
      </c>
      <c r="L15" s="229"/>
      <c r="M15" s="28"/>
      <c r="N15" s="29"/>
      <c r="O15" s="29"/>
      <c r="P15" s="29"/>
      <c r="Q15" s="30"/>
      <c r="R15" s="16"/>
    </row>
    <row r="16" spans="2:18" x14ac:dyDescent="0.25">
      <c r="B16" s="1"/>
      <c r="C16" s="230" t="s">
        <v>36</v>
      </c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16"/>
    </row>
    <row r="17" spans="2:19" x14ac:dyDescent="0.25">
      <c r="B17" s="1"/>
      <c r="C17" s="230" t="s">
        <v>40</v>
      </c>
      <c r="D17" s="231"/>
      <c r="E17" s="231"/>
      <c r="F17" s="231"/>
      <c r="G17" s="231"/>
      <c r="H17" s="232" t="s">
        <v>37</v>
      </c>
      <c r="I17" s="232"/>
      <c r="J17" s="232"/>
      <c r="K17" s="232"/>
      <c r="L17" s="232"/>
      <c r="M17" s="232" t="s">
        <v>121</v>
      </c>
      <c r="N17" s="187"/>
      <c r="O17" s="187"/>
      <c r="P17" s="187"/>
      <c r="Q17" s="187"/>
      <c r="R17" s="16"/>
      <c r="S17" s="11"/>
    </row>
    <row r="18" spans="2:19" x14ac:dyDescent="0.25">
      <c r="B18" s="1"/>
      <c r="C18" s="17">
        <f>SUM(H11)</f>
        <v>440.69060000000002</v>
      </c>
      <c r="D18" s="13" t="s">
        <v>29</v>
      </c>
      <c r="E18" s="12">
        <f>SUM(I11)</f>
        <v>6208.0622999999996</v>
      </c>
      <c r="F18" s="4" t="s">
        <v>8</v>
      </c>
      <c r="G18" s="4">
        <f>C18/E18</f>
        <v>7.0986819832655354E-2</v>
      </c>
      <c r="H18" s="12">
        <f>SUM(H12)</f>
        <v>2430.7143000000001</v>
      </c>
      <c r="I18" s="15" t="s">
        <v>29</v>
      </c>
      <c r="J18" s="12">
        <f>SUM(I11)</f>
        <v>6208.0622999999996</v>
      </c>
      <c r="K18" s="12" t="s">
        <v>8</v>
      </c>
      <c r="L18" s="4">
        <f>SUM(H18/J18)</f>
        <v>0.3915415442915256</v>
      </c>
      <c r="M18" s="12">
        <f>H13</f>
        <v>3336.6574000000001</v>
      </c>
      <c r="N18" s="15" t="s">
        <v>29</v>
      </c>
      <c r="O18" s="12">
        <f>I11</f>
        <v>6208.0622999999996</v>
      </c>
      <c r="P18" s="12" t="s">
        <v>8</v>
      </c>
      <c r="Q18" s="4">
        <f>SUM(M18/O18)</f>
        <v>0.53747163587581914</v>
      </c>
      <c r="R18" s="16"/>
    </row>
    <row r="19" spans="2:19" x14ac:dyDescent="0.25">
      <c r="B19" s="1"/>
      <c r="C19" s="233" t="s">
        <v>41</v>
      </c>
      <c r="D19" s="234"/>
      <c r="E19" s="234"/>
      <c r="F19" s="234"/>
      <c r="G19" s="234"/>
      <c r="H19" s="234" t="s">
        <v>42</v>
      </c>
      <c r="I19" s="234"/>
      <c r="J19" s="234"/>
      <c r="K19" s="234"/>
      <c r="L19" s="234"/>
      <c r="M19" s="234" t="s">
        <v>38</v>
      </c>
      <c r="N19" s="234"/>
      <c r="O19" s="234"/>
      <c r="P19" s="234"/>
      <c r="Q19" s="234"/>
      <c r="R19" s="16"/>
    </row>
    <row r="20" spans="2:19" x14ac:dyDescent="0.25">
      <c r="B20" s="1"/>
      <c r="C20" s="233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16"/>
    </row>
    <row r="21" spans="2:19" x14ac:dyDescent="0.25">
      <c r="B21" s="1"/>
      <c r="C21" s="17">
        <f>SUM(H15)</f>
        <v>1875.1224600000003</v>
      </c>
      <c r="D21" s="14" t="s">
        <v>39</v>
      </c>
      <c r="E21" s="4">
        <f>SUM(G18)</f>
        <v>7.0986819832655354E-2</v>
      </c>
      <c r="F21" s="14" t="s">
        <v>8</v>
      </c>
      <c r="G21" s="12">
        <f>SUM(C21*E21)</f>
        <v>133.1089802321855</v>
      </c>
      <c r="H21" s="12">
        <f>SUM(H15)</f>
        <v>1875.1224600000003</v>
      </c>
      <c r="I21" s="14" t="s">
        <v>39</v>
      </c>
      <c r="J21" s="4">
        <f>SUM(L18)</f>
        <v>0.3915415442915256</v>
      </c>
      <c r="K21" s="12" t="s">
        <v>8</v>
      </c>
      <c r="L21" s="12">
        <f>SUM(H21*J21)</f>
        <v>734.18834372412459</v>
      </c>
      <c r="M21" s="12">
        <f>SUM(H15)</f>
        <v>1875.1224600000003</v>
      </c>
      <c r="N21" s="14" t="s">
        <v>39</v>
      </c>
      <c r="O21" s="4">
        <f>SUM(Q18)</f>
        <v>0.53747163587581914</v>
      </c>
      <c r="P21" s="12" t="s">
        <v>8</v>
      </c>
      <c r="Q21" s="12">
        <f>SUM(M21*O21)</f>
        <v>1007.8251360436903</v>
      </c>
      <c r="R21" s="16"/>
    </row>
    <row r="22" spans="2:19" x14ac:dyDescent="0.25">
      <c r="B22" s="1"/>
      <c r="C22" s="191">
        <f>SUM(G21)</f>
        <v>133.1089802321855</v>
      </c>
      <c r="D22" s="192" t="s">
        <v>39</v>
      </c>
      <c r="E22" s="5">
        <f>SUM('Recovery Sheet'!U8)</f>
        <v>73600</v>
      </c>
      <c r="F22" s="193" t="s">
        <v>8</v>
      </c>
      <c r="G22" s="187">
        <f>SUM(C22*E22/E23)</f>
        <v>2449205.236272213</v>
      </c>
      <c r="H22" s="187">
        <f>SUM(L21)</f>
        <v>734.18834372412459</v>
      </c>
      <c r="I22" s="187" t="s">
        <v>39</v>
      </c>
      <c r="J22" s="5">
        <f>SUM(E22)</f>
        <v>73600</v>
      </c>
      <c r="K22" s="187" t="s">
        <v>8</v>
      </c>
      <c r="L22" s="187">
        <f>SUM(H22*J22/J23)</f>
        <v>13509065.524523893</v>
      </c>
      <c r="M22" s="187">
        <f>SUM(Q21)</f>
        <v>1007.8251360436903</v>
      </c>
      <c r="N22" s="187" t="s">
        <v>39</v>
      </c>
      <c r="O22" s="5">
        <f>SUM(J22)</f>
        <v>73600</v>
      </c>
      <c r="P22" s="187" t="s">
        <v>8</v>
      </c>
      <c r="Q22" s="187">
        <f>SUM(M22*O22/O23)</f>
        <v>18543982.503203902</v>
      </c>
      <c r="R22" s="16"/>
    </row>
    <row r="23" spans="2:19" x14ac:dyDescent="0.25">
      <c r="B23" s="1"/>
      <c r="C23" s="191"/>
      <c r="D23" s="192"/>
      <c r="E23" s="14">
        <v>4</v>
      </c>
      <c r="F23" s="193"/>
      <c r="G23" s="187"/>
      <c r="H23" s="187"/>
      <c r="I23" s="187"/>
      <c r="J23" s="14">
        <v>4</v>
      </c>
      <c r="K23" s="187"/>
      <c r="L23" s="187"/>
      <c r="M23" s="187"/>
      <c r="N23" s="187"/>
      <c r="O23" s="14">
        <v>4</v>
      </c>
      <c r="P23" s="187"/>
      <c r="Q23" s="187"/>
      <c r="R23" s="16"/>
    </row>
    <row r="24" spans="2:19" x14ac:dyDescent="0.25">
      <c r="B24" s="1"/>
      <c r="C24" s="17">
        <f>SUM(G22)</f>
        <v>2449205.236272213</v>
      </c>
      <c r="D24" s="14" t="s">
        <v>39</v>
      </c>
      <c r="E24" s="2">
        <v>0.1</v>
      </c>
      <c r="F24" s="14" t="s">
        <v>8</v>
      </c>
      <c r="G24" s="12">
        <f>SUM(C24*E24)</f>
        <v>244920.52362722132</v>
      </c>
      <c r="H24" s="12">
        <f>SUM(L22)</f>
        <v>13509065.524523893</v>
      </c>
      <c r="I24" s="14" t="s">
        <v>39</v>
      </c>
      <c r="J24" s="2">
        <v>0.25</v>
      </c>
      <c r="K24" s="12" t="s">
        <v>8</v>
      </c>
      <c r="L24" s="12">
        <f>SUM(H24*J24)</f>
        <v>3377266.3811309733</v>
      </c>
      <c r="M24" s="12">
        <f>SUM(Q22)</f>
        <v>18543982.503203902</v>
      </c>
      <c r="N24" s="14" t="s">
        <v>39</v>
      </c>
      <c r="O24" s="2">
        <v>1</v>
      </c>
      <c r="P24" s="12" t="s">
        <v>8</v>
      </c>
      <c r="Q24" s="12">
        <f>SUM(M24*O24)</f>
        <v>18543982.503203902</v>
      </c>
      <c r="R24" s="16"/>
    </row>
    <row r="25" spans="2:19" ht="17.25" customHeight="1" x14ac:dyDescent="0.25">
      <c r="B25" s="1"/>
      <c r="C25" s="17">
        <f>SUM(G24)</f>
        <v>244920.52362722132</v>
      </c>
      <c r="D25" s="14" t="s">
        <v>39</v>
      </c>
      <c r="E25" s="2">
        <v>0.2</v>
      </c>
      <c r="F25" s="12" t="s">
        <v>8</v>
      </c>
      <c r="G25" s="12">
        <f>SUM(C25*E25)</f>
        <v>48984.104725444267</v>
      </c>
      <c r="H25" s="12">
        <f>SUM(L24)</f>
        <v>3377266.3811309733</v>
      </c>
      <c r="I25" s="14" t="s">
        <v>39</v>
      </c>
      <c r="J25" s="2">
        <v>0.2</v>
      </c>
      <c r="K25" s="12" t="s">
        <v>8</v>
      </c>
      <c r="L25" s="12">
        <f>SUM(H25*J25)</f>
        <v>675453.27622619469</v>
      </c>
      <c r="M25" s="12">
        <f>SUM(Q22)</f>
        <v>18543982.503203902</v>
      </c>
      <c r="N25" s="14" t="s">
        <v>39</v>
      </c>
      <c r="O25" s="2">
        <v>0.2</v>
      </c>
      <c r="P25" s="12" t="s">
        <v>8</v>
      </c>
      <c r="Q25" s="12">
        <f>SUM(M25*O25)</f>
        <v>3708796.5006407807</v>
      </c>
      <c r="R25" s="227" t="s">
        <v>112</v>
      </c>
    </row>
    <row r="26" spans="2:19" x14ac:dyDescent="0.25">
      <c r="B26" s="1"/>
      <c r="C26" s="18"/>
      <c r="D26" s="14"/>
      <c r="E26" s="14"/>
      <c r="F26" s="14" t="s">
        <v>8</v>
      </c>
      <c r="G26" s="6">
        <f>SUM(G24+G25)</f>
        <v>293904.62835266558</v>
      </c>
      <c r="H26" s="12"/>
      <c r="I26" s="12"/>
      <c r="J26" s="12" t="s">
        <v>8</v>
      </c>
      <c r="K26" s="12"/>
      <c r="L26" s="6">
        <f>L24+L25</f>
        <v>4052719.6573571679</v>
      </c>
      <c r="M26" s="12"/>
      <c r="N26" s="12"/>
      <c r="O26" s="12"/>
      <c r="P26" s="12"/>
      <c r="Q26" s="6">
        <f>SUM(Q24+Q25)</f>
        <v>22252779.003844682</v>
      </c>
      <c r="R26" s="227"/>
    </row>
    <row r="27" spans="2:19" x14ac:dyDescent="0.25">
      <c r="B27" s="1"/>
      <c r="C27" s="188" t="s">
        <v>15</v>
      </c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90"/>
      <c r="Q27" s="27">
        <f>G26+L26+Q26</f>
        <v>26599403.289554514</v>
      </c>
      <c r="R27" s="16"/>
    </row>
    <row r="28" spans="2:19" ht="15.75" thickBot="1" x14ac:dyDescent="0.3">
      <c r="B28" s="1"/>
      <c r="C28" s="20" t="s">
        <v>107</v>
      </c>
      <c r="D28" s="21"/>
      <c r="E28" s="21"/>
      <c r="F28" s="21"/>
      <c r="G28" s="194" t="s">
        <v>107</v>
      </c>
      <c r="H28" s="194"/>
      <c r="I28" s="194"/>
      <c r="J28" s="194"/>
      <c r="K28" s="194"/>
      <c r="L28" s="195"/>
      <c r="M28" s="185" t="s">
        <v>107</v>
      </c>
      <c r="N28" s="186"/>
      <c r="O28" s="186"/>
      <c r="P28" s="22"/>
      <c r="Q28" s="23">
        <v>0</v>
      </c>
      <c r="R28" s="19"/>
    </row>
    <row r="29" spans="2:19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2" spans="2:19" x14ac:dyDescent="0.25">
      <c r="L32" s="3" t="s">
        <v>107</v>
      </c>
    </row>
  </sheetData>
  <mergeCells count="41">
    <mergeCell ref="R25:R26"/>
    <mergeCell ref="N22:N23"/>
    <mergeCell ref="K22:K23"/>
    <mergeCell ref="I15:J15"/>
    <mergeCell ref="P22:P23"/>
    <mergeCell ref="C16:Q16"/>
    <mergeCell ref="C17:G17"/>
    <mergeCell ref="H17:L17"/>
    <mergeCell ref="C19:G20"/>
    <mergeCell ref="H19:L20"/>
    <mergeCell ref="M19:Q20"/>
    <mergeCell ref="Q22:Q23"/>
    <mergeCell ref="M17:Q17"/>
    <mergeCell ref="K15:L15"/>
    <mergeCell ref="C15:G15"/>
    <mergeCell ref="C6:R8"/>
    <mergeCell ref="C11:G11"/>
    <mergeCell ref="C12:G12"/>
    <mergeCell ref="I14:J14"/>
    <mergeCell ref="C13:G13"/>
    <mergeCell ref="I11:J13"/>
    <mergeCell ref="K11:L13"/>
    <mergeCell ref="C14:G14"/>
    <mergeCell ref="C9:G9"/>
    <mergeCell ref="H9:J9"/>
    <mergeCell ref="C10:G10"/>
    <mergeCell ref="H10:J10"/>
    <mergeCell ref="K9:L9"/>
    <mergeCell ref="K10:L10"/>
    <mergeCell ref="M9:Q10"/>
    <mergeCell ref="M28:O28"/>
    <mergeCell ref="I22:I23"/>
    <mergeCell ref="L22:L23"/>
    <mergeCell ref="M22:M23"/>
    <mergeCell ref="C27:P27"/>
    <mergeCell ref="C22:C23"/>
    <mergeCell ref="D22:D23"/>
    <mergeCell ref="F22:F23"/>
    <mergeCell ref="G22:G23"/>
    <mergeCell ref="H22:H23"/>
    <mergeCell ref="G28:L28"/>
  </mergeCells>
  <pageMargins left="0.25" right="0.25" top="0.75" bottom="0.75" header="0.3" footer="0.3"/>
  <pageSetup paperSize="5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Recovery Sheet</vt:lpstr>
      <vt:lpstr>Proforma A</vt:lpstr>
      <vt:lpstr>Deficiency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2023-04-20T08:04:36Z</dcterms:modified>
</cp:coreProperties>
</file>