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defaultThemeVersion="124226"/>
  <xr:revisionPtr revIDLastSave="0" documentId="13_ncr:1_{BD9803CF-E3EA-422C-A159-B78261F9489D}" xr6:coauthVersionLast="47" xr6:coauthVersionMax="47" xr10:uidLastSave="{00000000-0000-0000-0000-000000000000}"/>
  <bookViews>
    <workbookView xWindow="-120" yWindow="-120" windowWidth="21840" windowHeight="13140" firstSheet="7" activeTab="7" xr2:uid="{00000000-000D-0000-FFFF-FFFF00000000}"/>
  </bookViews>
  <sheets>
    <sheet name="Basic" sheetId="8" r:id="rId1"/>
    <sheet name="EV Calc." sheetId="3" r:id="rId2"/>
    <sheet name="Sheet2" sheetId="6" state="hidden" r:id="rId3"/>
    <sheet name="Projected P &amp; L" sheetId="4" r:id="rId4"/>
    <sheet name="Sheet1" sheetId="5" state="hidden" r:id="rId5"/>
    <sheet name="Historical P&amp;L(Lakhs)" sheetId="9" r:id="rId6"/>
    <sheet name="Historical P&amp;L" sheetId="16" r:id="rId7"/>
    <sheet name="Projected P&amp;L" sheetId="10" r:id="rId8"/>
    <sheet name="Maintenance" sheetId="14" r:id="rId9"/>
    <sheet name="Loan Schedule" sheetId="12" r:id="rId10"/>
    <sheet name="Depreciation" sheetId="13" r:id="rId11"/>
    <sheet name="WACC" sheetId="2" r:id="rId12"/>
    <sheet name="Claims Calculation" sheetId="1" r:id="rId13"/>
    <sheet name="EV" sheetId="15" r:id="rId14"/>
  </sheets>
  <externalReferences>
    <externalReference r:id="rId15"/>
  </externalReferences>
  <definedNames>
    <definedName name="LTGR">[1]DCF!#REF!</definedName>
    <definedName name="WACC">[1]DCF!$D$21</definedName>
  </definedNames>
  <calcPr calcId="181029" iterate="1"/>
</workbook>
</file>

<file path=xl/calcChain.xml><?xml version="1.0" encoding="utf-8"?>
<calcChain xmlns="http://schemas.openxmlformats.org/spreadsheetml/2006/main">
  <c r="D16" i="10" l="1"/>
  <c r="E16" i="10"/>
  <c r="F16" i="10"/>
  <c r="G16" i="10"/>
  <c r="C16" i="10"/>
  <c r="D31" i="16"/>
  <c r="E31" i="16"/>
  <c r="F31" i="16"/>
  <c r="G31" i="16"/>
  <c r="G32" i="16" s="1"/>
  <c r="C31" i="16"/>
  <c r="C32" i="16" s="1"/>
  <c r="C15" i="10"/>
  <c r="D15" i="10" s="1"/>
  <c r="E15" i="10" s="1"/>
  <c r="F15" i="10" s="1"/>
  <c r="G15" i="10" s="1"/>
  <c r="D19" i="16"/>
  <c r="E19" i="16"/>
  <c r="F19" i="16"/>
  <c r="G19" i="16"/>
  <c r="C19" i="16"/>
  <c r="D18" i="16"/>
  <c r="E18" i="16"/>
  <c r="F18" i="16"/>
  <c r="G18" i="16"/>
  <c r="C18" i="16"/>
  <c r="D16" i="16"/>
  <c r="E16" i="16"/>
  <c r="F16" i="16"/>
  <c r="G16" i="16"/>
  <c r="C16" i="16"/>
  <c r="D15" i="16"/>
  <c r="E15" i="16"/>
  <c r="F15" i="16"/>
  <c r="G15" i="16"/>
  <c r="C15" i="16"/>
  <c r="E12" i="16"/>
  <c r="F12" i="16"/>
  <c r="E10" i="16"/>
  <c r="D9" i="16"/>
  <c r="D12" i="16" s="1"/>
  <c r="E9" i="16"/>
  <c r="F9" i="16"/>
  <c r="F10" i="16" s="1"/>
  <c r="G9" i="16"/>
  <c r="G12" i="16" s="1"/>
  <c r="C9" i="16"/>
  <c r="C12" i="16" s="1"/>
  <c r="D6" i="16"/>
  <c r="E6" i="16" s="1"/>
  <c r="F6" i="16" s="1"/>
  <c r="G6" i="16" s="1"/>
  <c r="F32" i="16"/>
  <c r="E32" i="16"/>
  <c r="D32" i="16"/>
  <c r="D11" i="16"/>
  <c r="C11" i="16"/>
  <c r="G14" i="16"/>
  <c r="F14" i="16"/>
  <c r="E14" i="16"/>
  <c r="D14" i="16"/>
  <c r="C14" i="16"/>
  <c r="D3" i="13"/>
  <c r="C6" i="10"/>
  <c r="S35" i="14"/>
  <c r="E34" i="14"/>
  <c r="F34" i="14" s="1"/>
  <c r="G34" i="14" s="1"/>
  <c r="H34" i="14" s="1"/>
  <c r="I34" i="14" s="1"/>
  <c r="J34" i="14" s="1"/>
  <c r="K34" i="14" s="1"/>
  <c r="L34" i="14" s="1"/>
  <c r="M34" i="14" s="1"/>
  <c r="N34" i="14" s="1"/>
  <c r="O34" i="14" s="1"/>
  <c r="P34" i="14" s="1"/>
  <c r="Q34" i="14" s="1"/>
  <c r="R34" i="14" s="1"/>
  <c r="S34" i="14" s="1"/>
  <c r="E17" i="14"/>
  <c r="F33" i="14"/>
  <c r="G33" i="14" s="1"/>
  <c r="H33" i="14" s="1"/>
  <c r="I33" i="14" s="1"/>
  <c r="J33" i="14" s="1"/>
  <c r="K33" i="14" s="1"/>
  <c r="L33" i="14" s="1"/>
  <c r="M33" i="14" s="1"/>
  <c r="N33" i="14" s="1"/>
  <c r="O33" i="14" s="1"/>
  <c r="P33" i="14" s="1"/>
  <c r="Q33" i="14" s="1"/>
  <c r="R33" i="14" s="1"/>
  <c r="S33" i="14" s="1"/>
  <c r="D13" i="16" l="1"/>
  <c r="C13" i="16"/>
  <c r="G13" i="16"/>
  <c r="C10" i="16"/>
  <c r="D10" i="16"/>
  <c r="F13" i="16"/>
  <c r="G10" i="16"/>
  <c r="E13" i="16"/>
  <c r="C15" i="15"/>
  <c r="D15" i="15" s="1"/>
  <c r="E15" i="15" s="1"/>
  <c r="F15" i="15" s="1"/>
  <c r="G15" i="15" s="1"/>
  <c r="D6" i="15"/>
  <c r="E6" i="15" s="1"/>
  <c r="F6" i="15" s="1"/>
  <c r="G6" i="15" s="1"/>
  <c r="E18" i="14"/>
  <c r="E19" i="14" s="1"/>
  <c r="E20" i="14" s="1"/>
  <c r="E21" i="14" s="1"/>
  <c r="E22" i="14" s="1"/>
  <c r="E23" i="14" s="1"/>
  <c r="E24" i="14" s="1"/>
  <c r="E25" i="14" s="1"/>
  <c r="E26" i="14" s="1"/>
  <c r="E27" i="14" s="1"/>
  <c r="E28" i="14" s="1"/>
  <c r="E29" i="14" s="1"/>
  <c r="E30" i="14" s="1"/>
  <c r="E31" i="14" s="1"/>
  <c r="F31" i="14" s="1"/>
  <c r="D18" i="14"/>
  <c r="D19" i="14" s="1"/>
  <c r="D20" i="14" s="1"/>
  <c r="D21" i="14" s="1"/>
  <c r="D22" i="14" s="1"/>
  <c r="D23" i="14" s="1"/>
  <c r="D24" i="14" s="1"/>
  <c r="D25" i="14" s="1"/>
  <c r="D26" i="14" s="1"/>
  <c r="D27" i="14" s="1"/>
  <c r="D28" i="14" s="1"/>
  <c r="D29" i="14" s="1"/>
  <c r="D30" i="14" s="1"/>
  <c r="D31" i="14" s="1"/>
  <c r="D9" i="10"/>
  <c r="E9" i="10"/>
  <c r="F9" i="10"/>
  <c r="G9" i="10"/>
  <c r="C9" i="10"/>
  <c r="D7" i="14"/>
  <c r="E8" i="14"/>
  <c r="E7" i="14" s="1"/>
  <c r="E6" i="14"/>
  <c r="F6" i="14" s="1"/>
  <c r="G6" i="14" s="1"/>
  <c r="H6" i="14" s="1"/>
  <c r="I6" i="14" s="1"/>
  <c r="J6" i="14" s="1"/>
  <c r="K6" i="14" s="1"/>
  <c r="G25" i="10"/>
  <c r="F25" i="10"/>
  <c r="E25" i="10"/>
  <c r="D25" i="10"/>
  <c r="C25" i="10"/>
  <c r="E8" i="13"/>
  <c r="D8" i="13"/>
  <c r="C8" i="13"/>
  <c r="C9" i="13" s="1"/>
  <c r="C10" i="13" s="1"/>
  <c r="C11" i="13" s="1"/>
  <c r="C12" i="13" s="1"/>
  <c r="D4" i="12"/>
  <c r="D3" i="12"/>
  <c r="C12" i="12"/>
  <c r="C10" i="9"/>
  <c r="C18" i="9" s="1"/>
  <c r="C20" i="9" s="1"/>
  <c r="C22" i="9" s="1"/>
  <c r="D7" i="10"/>
  <c r="E7" i="10" s="1"/>
  <c r="F7" i="10" s="1"/>
  <c r="G7" i="10" s="1"/>
  <c r="F10" i="9"/>
  <c r="G10" i="9"/>
  <c r="D17" i="9"/>
  <c r="E17" i="9"/>
  <c r="F17" i="9"/>
  <c r="G17" i="9"/>
  <c r="C17" i="9"/>
  <c r="D10" i="9"/>
  <c r="D18" i="9" s="1"/>
  <c r="D20" i="9" s="1"/>
  <c r="D22" i="9" s="1"/>
  <c r="E10" i="9"/>
  <c r="F8" i="14" l="1"/>
  <c r="F8" i="13"/>
  <c r="C21" i="10" s="1"/>
  <c r="D21" i="10" s="1"/>
  <c r="D6" i="12"/>
  <c r="D7" i="12" s="1"/>
  <c r="D12" i="12" s="1"/>
  <c r="D13" i="12" s="1"/>
  <c r="E12" i="12"/>
  <c r="E9" i="13"/>
  <c r="E10" i="13" s="1"/>
  <c r="E11" i="13" s="1"/>
  <c r="E12" i="13" s="1"/>
  <c r="F7" i="13"/>
  <c r="E18" i="9"/>
  <c r="E20" i="9" s="1"/>
  <c r="E22" i="9" s="1"/>
  <c r="G18" i="9"/>
  <c r="G20" i="9" s="1"/>
  <c r="G22" i="9" s="1"/>
  <c r="F18" i="9"/>
  <c r="F20" i="9" s="1"/>
  <c r="F22" i="9" s="1"/>
  <c r="G8" i="14" l="1"/>
  <c r="F7" i="14"/>
  <c r="E21" i="10"/>
  <c r="F12" i="12"/>
  <c r="G12" i="12" s="1"/>
  <c r="C13" i="12" s="1"/>
  <c r="E13" i="12" s="1"/>
  <c r="F13" i="12" s="1"/>
  <c r="G13" i="12" s="1"/>
  <c r="C14" i="12" s="1"/>
  <c r="D14" i="12"/>
  <c r="H8" i="14" l="1"/>
  <c r="G7" i="14"/>
  <c r="C14" i="10" s="1"/>
  <c r="C17" i="10" s="1"/>
  <c r="F21" i="10"/>
  <c r="E14" i="12"/>
  <c r="F14" i="12" s="1"/>
  <c r="G14" i="12" s="1"/>
  <c r="C15" i="12" s="1"/>
  <c r="D15" i="12"/>
  <c r="I8" i="14" l="1"/>
  <c r="H7" i="14"/>
  <c r="D14" i="10" s="1"/>
  <c r="D17" i="10" s="1"/>
  <c r="G21" i="10"/>
  <c r="E15" i="12"/>
  <c r="F15" i="12"/>
  <c r="G15" i="12" s="1"/>
  <c r="C16" i="12" s="1"/>
  <c r="D16" i="12"/>
  <c r="J8" i="14" l="1"/>
  <c r="I7" i="14"/>
  <c r="E14" i="10" s="1"/>
  <c r="E17" i="10" s="1"/>
  <c r="E16" i="12"/>
  <c r="F16" i="12" s="1"/>
  <c r="G16" i="12" s="1"/>
  <c r="K8" i="14" l="1"/>
  <c r="K7" i="14" s="1"/>
  <c r="G14" i="10" s="1"/>
  <c r="G17" i="10" s="1"/>
  <c r="J7" i="14"/>
  <c r="F14" i="10" s="1"/>
  <c r="F17" i="10" s="1"/>
  <c r="D29" i="4" l="1"/>
  <c r="E29" i="4" s="1"/>
  <c r="F29" i="4" s="1"/>
  <c r="G29" i="4" s="1"/>
  <c r="F22" i="4" l="1"/>
  <c r="G22" i="4" s="1"/>
  <c r="H22" i="4" s="1"/>
  <c r="D16" i="4"/>
  <c r="E16" i="4" s="1"/>
  <c r="F16" i="4" s="1"/>
  <c r="G16" i="4" s="1"/>
  <c r="H16" i="4" s="1"/>
  <c r="H14" i="4"/>
  <c r="G14" i="4"/>
  <c r="F14" i="4"/>
  <c r="E14" i="4"/>
  <c r="D14" i="4"/>
  <c r="C14" i="4"/>
  <c r="C10" i="4"/>
  <c r="D3" i="4"/>
  <c r="E3" i="4" s="1"/>
  <c r="F3" i="4" s="1"/>
  <c r="G3" i="4" s="1"/>
  <c r="H3" i="4" s="1"/>
  <c r="C2" i="4"/>
  <c r="C4" i="4" s="1"/>
  <c r="B2" i="4"/>
  <c r="H4" i="4" s="1"/>
  <c r="G4" i="4" l="1"/>
  <c r="E4" i="4"/>
  <c r="F4" i="4"/>
  <c r="D4" i="4"/>
  <c r="F22" i="3"/>
  <c r="G22" i="3" s="1"/>
  <c r="H22" i="3" s="1"/>
  <c r="D16" i="3" l="1"/>
  <c r="H14" i="3"/>
  <c r="G14" i="3"/>
  <c r="F14" i="3"/>
  <c r="E14" i="3"/>
  <c r="D14" i="3"/>
  <c r="C14" i="3"/>
  <c r="D6" i="2"/>
  <c r="C11" i="15" s="1"/>
  <c r="C33" i="3" l="1"/>
  <c r="E16" i="3"/>
  <c r="C8" i="1"/>
  <c r="D31" i="3"/>
  <c r="D33" i="3" s="1"/>
  <c r="C10" i="3"/>
  <c r="J6" i="1"/>
  <c r="C2" i="3"/>
  <c r="D3" i="3"/>
  <c r="E3" i="3" s="1"/>
  <c r="F3" i="3" s="1"/>
  <c r="G3" i="3" s="1"/>
  <c r="H3" i="3" s="1"/>
  <c r="B2" i="3"/>
  <c r="H4" i="3" s="1"/>
  <c r="D17" i="15" l="1"/>
  <c r="C17" i="15"/>
  <c r="E17" i="15"/>
  <c r="G17" i="15"/>
  <c r="F17" i="15"/>
  <c r="E4" i="3"/>
  <c r="C4" i="3"/>
  <c r="G4" i="3"/>
  <c r="F4" i="3"/>
  <c r="D4" i="3"/>
  <c r="F16" i="3"/>
  <c r="E31" i="3"/>
  <c r="G16" i="3" l="1"/>
  <c r="H16" i="3" s="1"/>
  <c r="E33" i="3"/>
  <c r="F31" i="3"/>
  <c r="G31" i="3" l="1"/>
  <c r="F33" i="3"/>
  <c r="H31" i="3" l="1"/>
  <c r="H33" i="3" s="1"/>
  <c r="G33" i="3"/>
  <c r="E12" i="1" l="1"/>
  <c r="F12" i="1" s="1"/>
  <c r="G12" i="1" s="1"/>
  <c r="H12" i="1" s="1"/>
  <c r="H14" i="1"/>
  <c r="H16" i="1" l="1"/>
  <c r="H15" i="1"/>
  <c r="G14" i="1"/>
  <c r="D14" i="1"/>
  <c r="E14" i="1"/>
  <c r="F14" i="1"/>
  <c r="H17" i="1" l="1"/>
  <c r="G10" i="10" s="1"/>
  <c r="G11" i="10" s="1"/>
  <c r="G19" i="10" s="1"/>
  <c r="G20" i="10" s="1"/>
  <c r="F16" i="1"/>
  <c r="F15" i="1"/>
  <c r="D15" i="1"/>
  <c r="D16" i="1"/>
  <c r="E16" i="1"/>
  <c r="E15" i="1"/>
  <c r="G15" i="1"/>
  <c r="G16" i="1"/>
  <c r="G7" i="15" l="1"/>
  <c r="G9" i="15" s="1"/>
  <c r="G19" i="15" s="1"/>
  <c r="G23" i="10"/>
  <c r="H6" i="3"/>
  <c r="H8" i="3" s="1"/>
  <c r="H20" i="3" s="1"/>
  <c r="H24" i="3" s="1"/>
  <c r="H26" i="3" s="1"/>
  <c r="H29" i="3" s="1"/>
  <c r="H35" i="3" s="1"/>
  <c r="H6" i="4"/>
  <c r="H8" i="4" s="1"/>
  <c r="H20" i="4" s="1"/>
  <c r="H24" i="4" s="1"/>
  <c r="H26" i="4" s="1"/>
  <c r="F17" i="1"/>
  <c r="E10" i="10" s="1"/>
  <c r="E11" i="10" s="1"/>
  <c r="E19" i="10" s="1"/>
  <c r="E20" i="10" s="1"/>
  <c r="G17" i="1"/>
  <c r="F10" i="10" s="1"/>
  <c r="F11" i="10" s="1"/>
  <c r="F19" i="10" s="1"/>
  <c r="F20" i="10" s="1"/>
  <c r="D17" i="1"/>
  <c r="C10" i="10" s="1"/>
  <c r="C11" i="10" s="1"/>
  <c r="C19" i="10" s="1"/>
  <c r="C20" i="10" s="1"/>
  <c r="E17" i="1"/>
  <c r="D10" i="10" s="1"/>
  <c r="D11" i="10" s="1"/>
  <c r="D19" i="10" s="1"/>
  <c r="D20" i="10" s="1"/>
  <c r="G27" i="10" l="1"/>
  <c r="G28" i="10" s="1"/>
  <c r="G30" i="10" s="1"/>
  <c r="G31" i="10" s="1"/>
  <c r="G24" i="10"/>
  <c r="D23" i="10"/>
  <c r="D7" i="15"/>
  <c r="D9" i="15" s="1"/>
  <c r="D19" i="15" s="1"/>
  <c r="C7" i="15"/>
  <c r="C9" i="15" s="1"/>
  <c r="C19" i="15" s="1"/>
  <c r="C23" i="10"/>
  <c r="F23" i="10"/>
  <c r="F7" i="15"/>
  <c r="F9" i="15" s="1"/>
  <c r="F19" i="15" s="1"/>
  <c r="E7" i="15"/>
  <c r="E9" i="15" s="1"/>
  <c r="E19" i="15" s="1"/>
  <c r="E23" i="10"/>
  <c r="E6" i="3"/>
  <c r="E8" i="3" s="1"/>
  <c r="E20" i="3" s="1"/>
  <c r="E24" i="3" s="1"/>
  <c r="E26" i="3" s="1"/>
  <c r="E29" i="3" s="1"/>
  <c r="E35" i="3" s="1"/>
  <c r="E6" i="4"/>
  <c r="E8" i="4" s="1"/>
  <c r="E20" i="4" s="1"/>
  <c r="E24" i="4" s="1"/>
  <c r="E26" i="4" s="1"/>
  <c r="F6" i="3"/>
  <c r="F8" i="3" s="1"/>
  <c r="F20" i="3" s="1"/>
  <c r="F24" i="3" s="1"/>
  <c r="F26" i="3" s="1"/>
  <c r="F6" i="4"/>
  <c r="F8" i="4" s="1"/>
  <c r="F20" i="4" s="1"/>
  <c r="F24" i="4" s="1"/>
  <c r="F26" i="4" s="1"/>
  <c r="G6" i="3"/>
  <c r="G8" i="3" s="1"/>
  <c r="G20" i="3" s="1"/>
  <c r="G24" i="3" s="1"/>
  <c r="G26" i="3" s="1"/>
  <c r="G29" i="3" s="1"/>
  <c r="G35" i="3" s="1"/>
  <c r="G6" i="4"/>
  <c r="G8" i="4" s="1"/>
  <c r="G20" i="4" s="1"/>
  <c r="G24" i="4" s="1"/>
  <c r="G26" i="4" s="1"/>
  <c r="D6" i="3"/>
  <c r="D6" i="4"/>
  <c r="H31" i="4"/>
  <c r="H27" i="4"/>
  <c r="F29" i="3"/>
  <c r="F35" i="3" s="1"/>
  <c r="D27" i="10" l="1"/>
  <c r="D28" i="10" s="1"/>
  <c r="D30" i="10" s="1"/>
  <c r="D31" i="10" s="1"/>
  <c r="D24" i="10"/>
  <c r="F27" i="10"/>
  <c r="F28" i="10" s="1"/>
  <c r="F30" i="10" s="1"/>
  <c r="F31" i="10" s="1"/>
  <c r="F24" i="10"/>
  <c r="E27" i="10"/>
  <c r="E28" i="10" s="1"/>
  <c r="E30" i="10" s="1"/>
  <c r="E31" i="10" s="1"/>
  <c r="E24" i="10"/>
  <c r="C27" i="10"/>
  <c r="C28" i="10" s="1"/>
  <c r="C30" i="10" s="1"/>
  <c r="C31" i="10" s="1"/>
  <c r="C24" i="10"/>
  <c r="C21" i="15"/>
  <c r="D8" i="4"/>
  <c r="D20" i="4" s="1"/>
  <c r="D24" i="4" s="1"/>
  <c r="D26" i="4" s="1"/>
  <c r="D31" i="4" s="1"/>
  <c r="C6" i="4"/>
  <c r="C8" i="4" s="1"/>
  <c r="C20" i="4" s="1"/>
  <c r="C24" i="4" s="1"/>
  <c r="C26" i="4" s="1"/>
  <c r="D8" i="3"/>
  <c r="D20" i="3" s="1"/>
  <c r="D24" i="3" s="1"/>
  <c r="D26" i="3" s="1"/>
  <c r="D29" i="3" s="1"/>
  <c r="D35" i="3" s="1"/>
  <c r="C6" i="3"/>
  <c r="C8" i="3" s="1"/>
  <c r="C20" i="3" s="1"/>
  <c r="C24" i="3" s="1"/>
  <c r="C26" i="3" s="1"/>
  <c r="C29" i="3" s="1"/>
  <c r="C35" i="3" s="1"/>
  <c r="G31" i="4"/>
  <c r="G27" i="4"/>
  <c r="E31" i="4"/>
  <c r="E27" i="4"/>
  <c r="H36" i="4"/>
  <c r="H39" i="4" s="1"/>
  <c r="H40" i="4" s="1"/>
  <c r="H32" i="4"/>
  <c r="F31" i="4"/>
  <c r="F27" i="4"/>
  <c r="C31" i="4"/>
  <c r="C27" i="4"/>
  <c r="C37" i="3" l="1"/>
  <c r="D27" i="4"/>
  <c r="F32" i="4"/>
  <c r="F36" i="4"/>
  <c r="F39" i="4" s="1"/>
  <c r="F40" i="4" s="1"/>
  <c r="E36" i="4"/>
  <c r="E39" i="4" s="1"/>
  <c r="E40" i="4" s="1"/>
  <c r="E32" i="4"/>
  <c r="C36" i="4"/>
  <c r="C39" i="4" s="1"/>
  <c r="C40" i="4" s="1"/>
  <c r="C32" i="4"/>
  <c r="D36" i="4"/>
  <c r="D39" i="4" s="1"/>
  <c r="D40" i="4" s="1"/>
  <c r="D32" i="4"/>
  <c r="G32" i="4"/>
  <c r="G36" i="4"/>
  <c r="G39" i="4" s="1"/>
  <c r="G40" i="4" s="1"/>
  <c r="G8" i="13"/>
  <c r="D9" i="13" s="1"/>
  <c r="G9" i="13" s="1"/>
  <c r="D10" i="13" s="1"/>
  <c r="F9" i="13"/>
  <c r="F10" i="13" s="1"/>
  <c r="F11" i="13" s="1"/>
  <c r="F12" i="13" s="1"/>
  <c r="G10" i="13" l="1"/>
  <c r="D11" i="13" s="1"/>
  <c r="G11" i="13" s="1"/>
  <c r="D12" i="13" s="1"/>
  <c r="G12" i="13" s="1"/>
</calcChain>
</file>

<file path=xl/sharedStrings.xml><?xml version="1.0" encoding="utf-8"?>
<sst xmlns="http://schemas.openxmlformats.org/spreadsheetml/2006/main" count="218" uniqueCount="155">
  <si>
    <t>(Amount in Crs)</t>
  </si>
  <si>
    <t>Particulars</t>
  </si>
  <si>
    <t>Amount</t>
  </si>
  <si>
    <t>Particular</t>
  </si>
  <si>
    <t>% Expected Recovery</t>
  </si>
  <si>
    <t>Gross Expected Recovery</t>
  </si>
  <si>
    <t>Recovery Cost</t>
  </si>
  <si>
    <t>Legal Cost</t>
  </si>
  <si>
    <t>Discount Factor</t>
  </si>
  <si>
    <t>Net Recovery</t>
  </si>
  <si>
    <t>M/S SEW KRISHNA BAHRAMPUR HIGHWAYS LIMITED</t>
  </si>
  <si>
    <t>Calculation of Claims</t>
  </si>
  <si>
    <t>Year</t>
  </si>
  <si>
    <t>Annuity Payments</t>
  </si>
  <si>
    <t>Payment to NHAI</t>
  </si>
  <si>
    <t>Total Revenue</t>
  </si>
  <si>
    <t>Summary of claims submitted to IE</t>
  </si>
  <si>
    <t>Net Claims</t>
  </si>
  <si>
    <t>WACC</t>
  </si>
  <si>
    <t>Period</t>
  </si>
  <si>
    <t>Annual Net Recovery of Claims by SKBHL</t>
  </si>
  <si>
    <t>Other Expenses</t>
  </si>
  <si>
    <t>Total Expenses</t>
  </si>
  <si>
    <t>EBITDA</t>
  </si>
  <si>
    <t>Free Cash Flow to firm</t>
  </si>
  <si>
    <t>PV of FCFF</t>
  </si>
  <si>
    <t>EV of SKBHL</t>
  </si>
  <si>
    <t>https://kunaldesai.blog/nifty-returns/</t>
  </si>
  <si>
    <t>Nifty Fifty 20 year market return</t>
  </si>
  <si>
    <t>Company Risk premium</t>
  </si>
  <si>
    <t>Major Maintaince Expenditure</t>
  </si>
  <si>
    <t>Routine Maintenance</t>
  </si>
  <si>
    <t>Independent Engineer Salary</t>
  </si>
  <si>
    <t>Employee Expenses</t>
  </si>
  <si>
    <t>Capex as per Industry Norms</t>
  </si>
  <si>
    <t>Dep &amp; Amortization</t>
  </si>
  <si>
    <t>EBIT</t>
  </si>
  <si>
    <t>EBIT Margin %</t>
  </si>
  <si>
    <t>EBITDA Margin %</t>
  </si>
  <si>
    <t>Finance Cost</t>
  </si>
  <si>
    <t>Profit before taxes</t>
  </si>
  <si>
    <t>Taxes</t>
  </si>
  <si>
    <t>PAT</t>
  </si>
  <si>
    <t>PAT Margin %</t>
  </si>
  <si>
    <t>In January 2010, NHAI had invited interested applicants through International Competitive
Bidding (ICB) process to participate in the Design, Engineering, Construction, Development,
Finance, Operation and Maintenance for Four-laning of Krishnagar - Baharampore Section of
NH- 34 (km. 115.000 to km. 193.000) in the State of West Bengal under NHDP Phase III on
BOT (Annuity) basis on DBFOT Pattern (herein referred as Project) for pre-agreed concession
period.
SEW Infrastructure Ltd (SIL) emerged as L1 for the Project based on the lowest annuity sought
from NHAI in consideration of the grant of Concession. Letter of Award (LoA) was issued to
SIL on February 21, 2011 (copy of LOA is attached in Annexure 2). As per the LoA, the project
will receive an annuity of Rs 61.20 crore in semi-annual instalments from the COD for an
operating period of 12.50 Years.</t>
  </si>
  <si>
    <t>Length</t>
  </si>
  <si>
    <t>Client</t>
  </si>
  <si>
    <t>NHAI</t>
  </si>
  <si>
    <t>Concessionaire</t>
  </si>
  <si>
    <t>SKBHL</t>
  </si>
  <si>
    <t>EPC Contractor</t>
  </si>
  <si>
    <t>SEWInfrastructure Ltd.</t>
  </si>
  <si>
    <t>Independent Engineer</t>
  </si>
  <si>
    <t>Y.J.Engg. &amp; FeedbackServices</t>
  </si>
  <si>
    <t>Design Consultant</t>
  </si>
  <si>
    <t>Sheladia Associates Inc.</t>
  </si>
  <si>
    <t>Construction Period</t>
  </si>
  <si>
    <t>910 days</t>
  </si>
  <si>
    <t>ConcessionPeriod</t>
  </si>
  <si>
    <t>Appointed Date</t>
  </si>
  <si>
    <t>Scheduled Completion</t>
  </si>
  <si>
    <t>Targeted Completion</t>
  </si>
  <si>
    <t>Estimated Completion</t>
  </si>
  <si>
    <t>15-May-2019(for 65.018 km)</t>
  </si>
  <si>
    <t>PCOD Recommended</t>
  </si>
  <si>
    <t>13-Nov-2019 (for 65.018 km)</t>
  </si>
  <si>
    <t>PCOD Granted</t>
  </si>
  <si>
    <t>10-Feb-2020 (for 65.018 km)</t>
  </si>
  <si>
    <t>Tolling Commencement</t>
  </si>
  <si>
    <t>1stAnnuity Receipt</t>
  </si>
  <si>
    <t>Revised Length</t>
  </si>
  <si>
    <t>72.018 km</t>
  </si>
  <si>
    <t>Routine R&amp;M</t>
  </si>
  <si>
    <t>119351 per month per km</t>
  </si>
  <si>
    <t>Profit for the period</t>
  </si>
  <si>
    <t>Less: Tax expense</t>
  </si>
  <si>
    <t>Profit before tax</t>
  </si>
  <si>
    <t>Add: Exceptional items</t>
  </si>
  <si>
    <t>Profit before exceptional items and tax</t>
  </si>
  <si>
    <t>Total expenses</t>
  </si>
  <si>
    <t>Other expenses</t>
  </si>
  <si>
    <t>Depreciation &amp; Amortization</t>
  </si>
  <si>
    <t>Employee Benefit Expenses</t>
  </si>
  <si>
    <t>Contract Expenses</t>
  </si>
  <si>
    <t>Expenses</t>
  </si>
  <si>
    <t>Total Income</t>
  </si>
  <si>
    <t>-</t>
  </si>
  <si>
    <t>Other Income</t>
  </si>
  <si>
    <t>Revenue from Operations</t>
  </si>
  <si>
    <t>Historical Profit &amp; Loss Statement</t>
  </si>
  <si>
    <t>M/s SKBHL</t>
  </si>
  <si>
    <t>Projected Profit &amp; Loss Statement</t>
  </si>
  <si>
    <t>In INR Lakhs</t>
  </si>
  <si>
    <t>In INR Crores</t>
  </si>
  <si>
    <t>15 years from the appointed date i.e.10.02.2012</t>
  </si>
  <si>
    <t>Concession end date</t>
  </si>
  <si>
    <t>(As per data provided by IIFCL)</t>
  </si>
  <si>
    <t>Loan Amortization</t>
  </si>
  <si>
    <t>loan amount</t>
  </si>
  <si>
    <t>time</t>
  </si>
  <si>
    <t>Interest monthly rate</t>
  </si>
  <si>
    <t>Monthly Payment</t>
  </si>
  <si>
    <t>Number of payments</t>
  </si>
  <si>
    <t>Beigning balance</t>
  </si>
  <si>
    <t>Payment amount</t>
  </si>
  <si>
    <t>Principle payment</t>
  </si>
  <si>
    <t>Ending balance</t>
  </si>
  <si>
    <t>Depreciation</t>
  </si>
  <si>
    <t>Dep amount</t>
  </si>
  <si>
    <t>Closing Balance</t>
  </si>
  <si>
    <t>There is an outstanding loan amounting to Rs. 595.08 crore as per information shared with us. Loan amortization model is made using 11.8% interest rate. It is assumed that the loan will get over the FY-2028</t>
  </si>
  <si>
    <t>Opening Balance</t>
  </si>
  <si>
    <t>Depreciation %</t>
  </si>
  <si>
    <t>Interest payment</t>
  </si>
  <si>
    <t>(In Cr)</t>
  </si>
  <si>
    <t>PBT</t>
  </si>
  <si>
    <t>Tax Expense</t>
  </si>
  <si>
    <t>Tax Rate</t>
  </si>
  <si>
    <t>Employee Benefit</t>
  </si>
  <si>
    <t>Depreciation of Computer, Office equipments and vehicles</t>
  </si>
  <si>
    <t>Other Expense</t>
  </si>
  <si>
    <t>Modification Loss</t>
  </si>
  <si>
    <t xml:space="preserve">Audit fees </t>
  </si>
  <si>
    <t xml:space="preserve">Legal and Professional Expenses </t>
  </si>
  <si>
    <t xml:space="preserve">Interest &amp; Penalty </t>
  </si>
  <si>
    <t>Major Maintenance</t>
  </si>
  <si>
    <t>Provision for doubtful debts</t>
  </si>
  <si>
    <t>Others</t>
  </si>
  <si>
    <t>ROC Fee &amp; Charges</t>
  </si>
  <si>
    <t>Increment</t>
  </si>
  <si>
    <t>of Revenue</t>
  </si>
  <si>
    <t>~78 km (km 115 to km 193)</t>
  </si>
  <si>
    <t>Design Length</t>
  </si>
  <si>
    <t>76.36 km</t>
  </si>
  <si>
    <t>(after 3.962 km to be descoped)</t>
  </si>
  <si>
    <t>R&amp;P Maintainence Expense for 12 months</t>
  </si>
  <si>
    <t>R&amp;P Maintainence Agreement</t>
  </si>
  <si>
    <t>Rate/per Km per month</t>
  </si>
  <si>
    <t>Growth Rate</t>
  </si>
  <si>
    <t>Length in KMs</t>
  </si>
  <si>
    <t>Rate per KM</t>
  </si>
  <si>
    <t>(Revised)</t>
  </si>
  <si>
    <t xml:space="preserve">MM </t>
  </si>
  <si>
    <t>Valuation Date</t>
  </si>
  <si>
    <t>Enterprise Valuation</t>
  </si>
  <si>
    <t>Total Expenditure</t>
  </si>
  <si>
    <t>EBITDA %</t>
  </si>
  <si>
    <t>EBIT %</t>
  </si>
  <si>
    <t>PBT %</t>
  </si>
  <si>
    <t>Profit After Tax</t>
  </si>
  <si>
    <t>Profit Before Tax</t>
  </si>
  <si>
    <t>PAT %</t>
  </si>
  <si>
    <t>EBITDA Margin</t>
  </si>
  <si>
    <t>EBIT Margin</t>
  </si>
  <si>
    <t>PAT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</si>
</sst>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0">
    <numFmt numFmtId="6" formatCode="&quot;₹&quot;\ #,##0;[Red]&quot;₹&quot;\ \-#,##0"/>
    <numFmt numFmtId="43" formatCode="_ * #,##0.00_ ;_ * \-#,##0.00_ ;_ * &quot;-&quot;??_ ;_ @_ "/>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dd/mm/yyyy;@"/>
    <numFmt numFmtId="169" formatCode="0.00_)"/>
    <numFmt numFmtId="170" formatCode="0.0%"/>
    <numFmt numFmtId="171" formatCode="[$-409]d\-mmm\-yy;@"/>
    <numFmt numFmtId="172" formatCode="0.000"/>
    <numFmt numFmtId="173" formatCode="0.0_)\%;\(0.0\)\%;0.0_)\%;@_)_%"/>
    <numFmt numFmtId="174" formatCode="#,##0.0_)_%;\(#,##0.0\)_%;0.0_)_%;@_)_%"/>
    <numFmt numFmtId="175" formatCode="#,##0.0_);\(#,##0.0\);#,##0.0_);@_)"/>
    <numFmt numFmtId="176" formatCode="&quot;Rs.&quot;_(#,##0.00_);&quot;Rs.&quot;\(#,##0.00\);&quot;Rs.&quot;_(0.00_);@_)"/>
    <numFmt numFmtId="177" formatCode="#,##0.00_);\(#,##0.00\);0.00_);@_)"/>
    <numFmt numFmtId="178" formatCode="#,##0.00\ _$;[Red]\-#,##0.00\ _$"/>
    <numFmt numFmtId="179" formatCode="_(* #,##0.00_);_(* \(#,##0.00\);_(* \-??_);_(@_)"/>
    <numFmt numFmtId="180" formatCode="\€_(#,##0.00_);\€\(#,##0.00\);\€_(0.00_);@_)"/>
    <numFmt numFmtId="181" formatCode="#,##0_)\x;\(#,##0\)\x;0_)\x;@_)_x"/>
    <numFmt numFmtId="182" formatCode="#,##0_)_x;\(#,##0\)_x;0_)_x;@_)_x"/>
    <numFmt numFmtId="183" formatCode="dd\-mm\-yy"/>
    <numFmt numFmtId="184" formatCode="&quot; \&quot;#,##0\ ;&quot; \-&quot;#,##0\ ;&quot; \- &quot;;@\ "/>
    <numFmt numFmtId="185" formatCode="&quot; \&quot;#,##0.00\ ;&quot; \-&quot;#,##0.00\ ;&quot; \-&quot;#\ ;@\ "/>
    <numFmt numFmtId="186" formatCode="#,##0\ ;&quot; -&quot;#,##0\ ;&quot; - &quot;;@\ "/>
    <numFmt numFmtId="187" formatCode="#,##0.00\ ;&quot; -&quot;#,##0.00\ ;&quot; -&quot;#\ ;@\ "/>
    <numFmt numFmtId="188" formatCode="#,##0,;\-#,##0,"/>
    <numFmt numFmtId="189" formatCode="#,##0;\(#,##0\);&quot; - &quot;"/>
    <numFmt numFmtId="190" formatCode="&quot;Rs.&quot;#,##0.00"/>
    <numFmt numFmtId="191" formatCode="_(* #,##0.0_);_(* \(#,##0.00\);_(* &quot;-&quot;??_);_(@_)"/>
    <numFmt numFmtId="192" formatCode="General_)"/>
    <numFmt numFmtId="193" formatCode="&quot;fl&quot;#,##0_);\(&quot;fl&quot;#,##0\)"/>
    <numFmt numFmtId="194" formatCode="&quot;fl&quot;#,##0_);[Red]\(&quot;fl&quot;#,##0\)"/>
    <numFmt numFmtId="195" formatCode="&quot;fl&quot;#,##0.00_);\(&quot;fl&quot;#,##0.00\)"/>
    <numFmt numFmtId="196" formatCode="\\#,##0.00;[Red]&quot;-\&quot;#,##0.00"/>
    <numFmt numFmtId="197" formatCode="&quot;\&quot;#,##0.00;[Red]\-&quot;\&quot;#,##0.00"/>
    <numFmt numFmtId="198" formatCode="_-* #,##0\ _P_t_s_-;\-* #,##0\ _P_t_s_-;_-* &quot;-&quot;\ _P_t_s_-;_-@_-"/>
    <numFmt numFmtId="199" formatCode="#,##0.00\ ;&quot; (&quot;#,##0.00\);&quot; -&quot;#\ ;@\ "/>
    <numFmt numFmtId="200" formatCode="0.00\ ;\(0.00\)"/>
    <numFmt numFmtId="201" formatCode="_ &quot;Rs.&quot;\ * #,##0_ ;_ &quot;Rs.&quot;\ * \-#,##0_ ;_ &quot;Rs.&quot;\ * &quot;-&quot;_ ;_ @_ "/>
    <numFmt numFmtId="202" formatCode="0.0"/>
    <numFmt numFmtId="203" formatCode="\5\ \-\ \6"/>
    <numFmt numFmtId="204" formatCode="\$#,##0\ ;&quot;($&quot;#,##0\)"/>
    <numFmt numFmtId="205" formatCode="&quot;Rs.&quot;#,##0\ ;\(&quot;Rs.&quot;#,##0\)"/>
    <numFmt numFmtId="206" formatCode="_(* #,##0_);_(* \(#,##0\);_(* &quot;-&quot;??_);_(@_)"/>
    <numFmt numFmtId="207" formatCode="_ [$€]* #,##0.00_ ;_ [$€]* \-#,##0.00_ ;_ [$€]* &quot;-&quot;??_ ;_ @_ "/>
    <numFmt numFmtId="208" formatCode="00000"/>
    <numFmt numFmtId="209" formatCode="#,##0.0"/>
    <numFmt numFmtId="210" formatCode="#,##0.0_);\(#,##0.0\)"/>
    <numFmt numFmtId="211" formatCode="&quot;Rs.&quot;\ #,##0.00;[Red]&quot;Rs.&quot;\ \-#,##0.00"/>
    <numFmt numFmtId="212" formatCode="#,##0\ &quot;F&quot;;[Red]\-#,##0\ &quot;F&quot;"/>
    <numFmt numFmtId="213" formatCode="#,##0.00\ &quot;F&quot;;[Red]\-#,##0.00\ &quot;F&quot;"/>
    <numFmt numFmtId="214" formatCode="#,##0.0\ \P;[Red]\-#,##0.0\ \P"/>
    <numFmt numFmtId="215" formatCode="#,##0\ ;\(#,##0\)"/>
    <numFmt numFmtId="216" formatCode="0.0000%"/>
    <numFmt numFmtId="217" formatCode="0_)"/>
    <numFmt numFmtId="218" formatCode="0.00;[Red]0.00"/>
    <numFmt numFmtId="219" formatCode="_(* #,##0.0000000_);_(* \(#,##0.0000000\);_(* &quot;-&quot;??_);_(@_)"/>
    <numFmt numFmtId="220" formatCode="#,##0;&quot;(&quot;&quot;-&quot;&quot;)&quot;#,##0"/>
    <numFmt numFmtId="221" formatCode="\60\4\7\:"/>
    <numFmt numFmtId="222" formatCode="&quot;fl&quot;#,##0.00_);[Red]\(&quot;fl&quot;#,##0.00\)"/>
    <numFmt numFmtId="223" formatCode="_(&quot;fl&quot;* #,##0_);_(&quot;fl&quot;* \(#,##0\);_(&quot;fl&quot;* &quot;-&quot;_);_(@_)"/>
    <numFmt numFmtId="224" formatCode="_ &quot;Rs.&quot;\ * #,##0.00_ ;_ &quot;Rs.&quot;\ * \-#,##0.00_ ;_ &quot;Rs.&quot;\ * &quot;-&quot;??_ ;_ @_ "/>
    <numFmt numFmtId="225" formatCode="_-&quot;Rs.&quot;* #,##0_-;\-&quot;Rs.&quot;* #,##0_-;_-&quot;Rs.&quot;* &quot;-&quot;_-;_-@_-"/>
    <numFmt numFmtId="226" formatCode="_-&quot;Rs.&quot;* #,##0.00_-;\-&quot;Rs.&quot;* #,##0.00_-;_-&quot;Rs.&quot;* &quot;-&quot;??_-;_-@_-"/>
    <numFmt numFmtId="227" formatCode="0.0000"/>
    <numFmt numFmtId="228" formatCode="&quot;FY&quot;\ 0\ &quot;E&quot;"/>
    <numFmt numFmtId="229" formatCode="_ * #,##0_ ;_ * \-#,##0_ ;_ * &quot;-&quot;??_ ;_ @_ "/>
    <numFmt numFmtId="230" formatCode="_(* #,##0.00_);_(* \(#,##0.00\);_(* &quot;-&quot;??_);_(@_)"/>
    <numFmt numFmtId="231" formatCode="[$-4009]mmm\ yyyy"/>
  </numFmts>
  <fonts count="139">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font>
    <font>
      <b/>
      <sz val="11"/>
      <name val="Calibri"/>
      <family val="2"/>
      <scheme val="minor"/>
    </font>
    <font>
      <sz val="10"/>
      <name val="Arial"/>
      <family val="2"/>
    </font>
    <font>
      <i/>
      <sz val="10"/>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sz val="10"/>
      <name val="Helv"/>
      <charset val="204"/>
    </font>
    <font>
      <b/>
      <sz val="10"/>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palatino"/>
    </font>
    <font>
      <sz val="10"/>
      <name val="MS Sans Serif"/>
      <family val="2"/>
    </font>
    <font>
      <sz val="11"/>
      <color indexed="8"/>
      <name val="Calibri"/>
      <family val="2"/>
    </font>
    <font>
      <sz val="11"/>
      <color indexed="9"/>
      <name val="Calibri"/>
      <family val="2"/>
    </font>
    <font>
      <sz val="10"/>
      <name val="Helv"/>
    </font>
    <font>
      <sz val="14"/>
      <name val="AngsanaUPC"/>
      <family val="1"/>
    </font>
    <font>
      <sz val="8"/>
      <name val="Times New Roman"/>
      <family val="1"/>
    </font>
    <font>
      <sz val="11"/>
      <color indexed="20"/>
      <name val="Calibri"/>
      <family val="2"/>
    </font>
    <font>
      <sz val="12"/>
      <name val="Tms Rmn"/>
    </font>
    <font>
      <b/>
      <sz val="7"/>
      <name val="Zurich Cn BT"/>
    </font>
    <font>
      <sz val="7"/>
      <name val="Swis721 BlkCn BT"/>
      <family val="2"/>
    </font>
    <font>
      <sz val="12"/>
      <name val="System"/>
      <family val="1"/>
      <charset val="129"/>
    </font>
    <font>
      <sz val="12"/>
      <name val="¹ÙÅÁÃ¼"/>
    </font>
    <font>
      <sz val="12"/>
      <name val="¹UAAA¼"/>
      <family val="1"/>
      <charset val="129"/>
    </font>
    <font>
      <sz val="12"/>
      <name val="¹ÙÅÁÃ¼"/>
      <family val="1"/>
      <charset val="129"/>
    </font>
    <font>
      <sz val="10"/>
      <name val="±¼¸²Ã¼"/>
      <family val="3"/>
      <charset val="129"/>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name val="Times New Roman"/>
      <family val="1"/>
    </font>
    <font>
      <b/>
      <sz val="11"/>
      <color indexed="52"/>
      <name val="Calibri"/>
      <family val="2"/>
    </font>
    <font>
      <b/>
      <sz val="10"/>
      <name val="Helv"/>
    </font>
    <font>
      <b/>
      <sz val="11"/>
      <color indexed="9"/>
      <name val="Calibri"/>
      <family val="2"/>
    </font>
    <font>
      <sz val="11"/>
      <color indexed="12"/>
      <name val="Arial"/>
      <family val="2"/>
    </font>
    <font>
      <b/>
      <sz val="8"/>
      <name val="Arial"/>
      <family val="2"/>
    </font>
    <font>
      <sz val="10"/>
      <name val="Courier"/>
      <family val="3"/>
    </font>
    <font>
      <sz val="10"/>
      <color indexed="8"/>
      <name val="Tahoma"/>
      <family val="2"/>
    </font>
    <font>
      <sz val="10"/>
      <color indexed="22"/>
      <name val="MS Sans Serif"/>
      <family val="2"/>
    </font>
    <font>
      <b/>
      <u/>
      <sz val="10"/>
      <color indexed="16"/>
      <name val="Arial"/>
      <family val="2"/>
    </font>
    <font>
      <sz val="10"/>
      <name val="MS Serif"/>
      <family val="1"/>
    </font>
    <font>
      <b/>
      <sz val="10"/>
      <name val="Times New Roman"/>
      <family val="1"/>
    </font>
    <font>
      <sz val="12"/>
      <name val="Helv"/>
    </font>
    <font>
      <sz val="10"/>
      <color indexed="8"/>
      <name val="Arial"/>
      <family val="2"/>
    </font>
    <font>
      <b/>
      <sz val="10"/>
      <name val="Tms Rmn"/>
    </font>
    <font>
      <sz val="10"/>
      <name val="Times New Roman"/>
      <family val="1"/>
    </font>
    <font>
      <sz val="24"/>
      <color indexed="13"/>
      <name val="SWISS"/>
      <family val="2"/>
    </font>
    <font>
      <sz val="10"/>
      <color indexed="16"/>
      <name val="MS Serif"/>
      <family val="1"/>
    </font>
    <font>
      <i/>
      <sz val="11"/>
      <color indexed="23"/>
      <name val="Calibri"/>
      <family val="2"/>
    </font>
    <font>
      <sz val="10"/>
      <name val="Century Schoolbook"/>
      <family val="1"/>
    </font>
    <font>
      <i/>
      <sz val="6"/>
      <name val="Times New Roman"/>
      <family val="1"/>
    </font>
    <font>
      <b/>
      <sz val="14"/>
      <name val="SWISS"/>
      <family val="2"/>
    </font>
    <font>
      <sz val="10"/>
      <color indexed="10"/>
      <name val="Arial"/>
      <family val="2"/>
    </font>
    <font>
      <sz val="11"/>
      <color indexed="17"/>
      <name val="Calibri"/>
      <family val="2"/>
    </font>
    <font>
      <u/>
      <sz val="10"/>
      <name val="Arial"/>
      <family val="2"/>
    </font>
    <font>
      <b/>
      <u/>
      <sz val="1"/>
      <color indexed="8"/>
      <name val="Courier"/>
      <family val="3"/>
    </font>
    <font>
      <b/>
      <sz val="15"/>
      <color indexed="56"/>
      <name val="Calibri"/>
      <family val="2"/>
    </font>
    <font>
      <b/>
      <sz val="13"/>
      <color indexed="56"/>
      <name val="Calibri"/>
      <family val="2"/>
    </font>
    <font>
      <b/>
      <sz val="11"/>
      <color indexed="56"/>
      <name val="Calibri"/>
      <family val="2"/>
    </font>
    <font>
      <b/>
      <sz val="8"/>
      <name val="MS Sans Serif"/>
      <family val="2"/>
    </font>
    <font>
      <u/>
      <sz val="9"/>
      <color indexed="12"/>
      <name val="Arial"/>
      <family val="2"/>
    </font>
    <font>
      <sz val="11"/>
      <color indexed="62"/>
      <name val="Calibri"/>
      <family val="2"/>
    </font>
    <font>
      <b/>
      <sz val="14"/>
      <name val="Helv"/>
    </font>
    <font>
      <sz val="11"/>
      <color indexed="52"/>
      <name val="Calibri"/>
      <family val="2"/>
    </font>
    <font>
      <sz val="10"/>
      <color indexed="17"/>
      <name val="Arial"/>
      <family val="2"/>
    </font>
    <font>
      <sz val="11"/>
      <color indexed="60"/>
      <name val="Calibri"/>
      <family val="2"/>
    </font>
    <font>
      <sz val="7"/>
      <name val="Small Fonts"/>
      <family val="2"/>
    </font>
    <font>
      <sz val="11"/>
      <name val="Tahoma"/>
      <family val="2"/>
    </font>
    <font>
      <sz val="11"/>
      <name val="Trebuchet MS"/>
      <family val="2"/>
    </font>
    <font>
      <sz val="10"/>
      <color indexed="8"/>
      <name val="MS Sans Serif"/>
      <family val="2"/>
    </font>
    <font>
      <sz val="10"/>
      <name val="Verdana"/>
      <family val="2"/>
    </font>
    <font>
      <u/>
      <sz val="18"/>
      <name val="Times New Roman"/>
      <family val="1"/>
    </font>
    <font>
      <sz val="14"/>
      <name val="Arial"/>
      <family val="2"/>
    </font>
    <font>
      <sz val="14"/>
      <name val="–¾’©"/>
    </font>
    <font>
      <b/>
      <sz val="11"/>
      <color indexed="63"/>
      <name val="Calibri"/>
      <family val="2"/>
    </font>
    <font>
      <b/>
      <sz val="10"/>
      <color indexed="8"/>
      <name val="Arial"/>
      <family val="2"/>
    </font>
    <font>
      <b/>
      <sz val="10"/>
      <color indexed="8"/>
      <name val="Times New Roman"/>
      <family val="1"/>
    </font>
    <font>
      <b/>
      <sz val="16"/>
      <color indexed="8"/>
      <name val="Times New Roman"/>
      <family val="1"/>
    </font>
    <font>
      <sz val="11"/>
      <color theme="1"/>
      <name val="Arial"/>
      <family val="2"/>
    </font>
    <font>
      <b/>
      <u/>
      <sz val="10"/>
      <name val="Arial"/>
      <family val="2"/>
    </font>
    <font>
      <b/>
      <sz val="10"/>
      <name val="Arial CE"/>
      <family val="2"/>
      <charset val="238"/>
    </font>
    <font>
      <b/>
      <sz val="10"/>
      <color indexed="8"/>
      <name val="MS Sans Serif"/>
      <family val="2"/>
    </font>
    <font>
      <b/>
      <sz val="10"/>
      <name val="MS Sans Serif"/>
      <family val="2"/>
    </font>
    <font>
      <b/>
      <sz val="8"/>
      <color indexed="38"/>
      <name val="Arial"/>
      <family val="2"/>
    </font>
    <font>
      <sz val="8"/>
      <color indexed="61"/>
      <name val="Arial"/>
      <family val="2"/>
    </font>
    <font>
      <b/>
      <i/>
      <sz val="10"/>
      <color indexed="32"/>
      <name val="Arial"/>
      <family val="2"/>
    </font>
    <font>
      <b/>
      <sz val="10"/>
      <color indexed="16"/>
      <name val="Arial"/>
      <family val="2"/>
    </font>
    <font>
      <b/>
      <sz val="10"/>
      <color indexed="61"/>
      <name val="Arial"/>
      <family val="2"/>
    </font>
    <font>
      <b/>
      <i/>
      <sz val="10"/>
      <color indexed="20"/>
      <name val="Arial"/>
      <family val="2"/>
    </font>
    <font>
      <b/>
      <i/>
      <sz val="10"/>
      <name val="Arial"/>
      <family val="2"/>
    </font>
    <font>
      <sz val="8"/>
      <name val="Wingdings"/>
      <charset val="2"/>
    </font>
    <font>
      <sz val="8"/>
      <name val="Helv"/>
    </font>
    <font>
      <u/>
      <sz val="9"/>
      <color indexed="20"/>
      <name val="Arial"/>
      <family val="2"/>
    </font>
    <font>
      <u/>
      <sz val="9"/>
      <color indexed="36"/>
      <name val="Arial"/>
      <family val="2"/>
    </font>
    <font>
      <sz val="8"/>
      <name val="MS Sans Serif"/>
      <family val="2"/>
    </font>
    <font>
      <b/>
      <sz val="8"/>
      <color indexed="8"/>
      <name val="Helv"/>
    </font>
    <font>
      <b/>
      <sz val="11"/>
      <name val="Times New Roman"/>
      <family val="1"/>
    </font>
    <font>
      <sz val="24"/>
      <color indexed="13"/>
      <name val="Helv"/>
    </font>
    <font>
      <b/>
      <sz val="18"/>
      <color indexed="56"/>
      <name val="Cambria"/>
      <family val="2"/>
    </font>
    <font>
      <b/>
      <sz val="11"/>
      <color indexed="8"/>
      <name val="Calibri"/>
      <family val="2"/>
    </font>
    <font>
      <sz val="8"/>
      <color indexed="10"/>
      <name val="Arial Narrow"/>
      <family val="2"/>
    </font>
    <font>
      <sz val="11"/>
      <color indexed="10"/>
      <name val="Calibri"/>
      <family val="2"/>
    </font>
    <font>
      <sz val="8"/>
      <name val="Arial"/>
      <family val="2"/>
      <charset val="204"/>
    </font>
    <font>
      <sz val="11"/>
      <name val="뼻뮝"/>
      <family val="3"/>
      <charset val="129"/>
    </font>
    <font>
      <sz val="12"/>
      <name val="바탕체"/>
      <family val="1"/>
      <charset val="129"/>
    </font>
    <font>
      <sz val="11"/>
      <name val="굴림"/>
      <family val="3"/>
      <charset val="129"/>
    </font>
    <font>
      <sz val="12"/>
      <name val="新細明體"/>
      <family val="1"/>
    </font>
    <font>
      <sz val="12"/>
      <name val="宋体"/>
      <charset val="134"/>
    </font>
    <font>
      <b/>
      <sz val="12"/>
      <color theme="0"/>
      <name val="Calibri"/>
      <family val="2"/>
      <scheme val="minor"/>
    </font>
    <font>
      <b/>
      <sz val="11"/>
      <color rgb="FF000000"/>
      <name val="Calibri"/>
      <family val="2"/>
      <scheme val="minor"/>
    </font>
    <font>
      <sz val="11"/>
      <color rgb="FFC00000"/>
      <name val="Calibri"/>
      <family val="2"/>
      <scheme val="minor"/>
    </font>
    <font>
      <b/>
      <sz val="12"/>
      <color rgb="FFC00000"/>
      <name val="Calibri"/>
      <family val="2"/>
      <scheme val="minor"/>
    </font>
    <font>
      <u/>
      <sz val="11"/>
      <color theme="10"/>
      <name val="Calibri"/>
      <family val="2"/>
      <scheme val="minor"/>
    </font>
    <font>
      <i/>
      <sz val="10"/>
      <color theme="1"/>
      <name val="Calibri"/>
      <family val="2"/>
      <scheme val="minor"/>
    </font>
    <font>
      <sz val="11"/>
      <name val="Calibri"/>
      <family val="2"/>
    </font>
    <font>
      <b/>
      <sz val="11"/>
      <color theme="0"/>
      <name val="Calibri"/>
      <family val="2"/>
    </font>
    <font>
      <b/>
      <sz val="11"/>
      <name val="Calibri"/>
      <family val="2"/>
    </font>
    <font>
      <sz val="9"/>
      <name val="Calibri"/>
      <family val="2"/>
    </font>
  </fonts>
  <fills count="5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4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bgColor indexed="12"/>
      </patternFill>
    </fill>
    <fill>
      <patternFill patternType="solid">
        <fgColor indexed="10"/>
        <bgColor indexed="8"/>
      </patternFill>
    </fill>
    <fill>
      <patternFill patternType="solid">
        <fgColor indexed="13"/>
        <bgColor indexed="13"/>
      </patternFill>
    </fill>
    <fill>
      <patternFill patternType="solid">
        <fgColor indexed="15"/>
      </patternFill>
    </fill>
    <fill>
      <patternFill patternType="solid">
        <fgColor indexed="13"/>
      </patternFill>
    </fill>
    <fill>
      <patternFill patternType="solid">
        <fgColor indexed="12"/>
      </patternFill>
    </fill>
    <fill>
      <patternFill patternType="solid">
        <fgColor indexed="26"/>
      </patternFill>
    </fill>
    <fill>
      <patternFill patternType="solid">
        <fgColor indexed="22"/>
        <bgColor indexed="22"/>
      </patternFill>
    </fill>
    <fill>
      <patternFill patternType="solid">
        <fgColor indexed="9"/>
        <bgColor indexed="9"/>
      </patternFill>
    </fill>
    <fill>
      <patternFill patternType="solid">
        <fgColor indexed="9"/>
      </patternFill>
    </fill>
    <fill>
      <patternFill patternType="solid">
        <fgColor indexed="43"/>
        <bgColor indexed="64"/>
      </patternFill>
    </fill>
    <fill>
      <patternFill patternType="mediumGray">
        <fgColor indexed="22"/>
      </patternFill>
    </fill>
    <fill>
      <patternFill patternType="solid">
        <fgColor indexed="26"/>
        <bgColor indexed="41"/>
      </patternFill>
    </fill>
    <fill>
      <patternFill patternType="solid">
        <fgColor indexed="26"/>
        <bgColor indexed="31"/>
      </patternFill>
    </fill>
    <fill>
      <patternFill patternType="solid">
        <fgColor indexed="22"/>
        <bgColor indexed="26"/>
      </patternFill>
    </fill>
    <fill>
      <patternFill patternType="solid">
        <fgColor indexed="22"/>
        <bgColor indexed="29"/>
      </patternFill>
    </fill>
    <fill>
      <patternFill patternType="solid">
        <fgColor indexed="41"/>
        <bgColor indexed="64"/>
      </patternFill>
    </fill>
    <fill>
      <patternFill patternType="darkVertical"/>
    </fill>
    <fill>
      <patternFill patternType="solid">
        <fgColor rgb="FF00206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4"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hair">
        <color indexed="8"/>
      </top>
      <bottom style="hair">
        <color indexed="8"/>
      </bottom>
      <diagonal/>
    </border>
    <border>
      <left/>
      <right/>
      <top/>
      <bottom style="medium">
        <color indexed="18"/>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8"/>
      </bottom>
      <diagonal/>
    </border>
    <border>
      <left style="thin">
        <color indexed="8"/>
      </left>
      <right style="thin">
        <color indexed="8"/>
      </right>
      <top style="thin">
        <color indexed="8"/>
      </top>
      <bottom style="thin">
        <color indexed="8"/>
      </bottom>
      <diagonal/>
    </border>
    <border>
      <left/>
      <right/>
      <top style="double">
        <color indexed="64"/>
      </top>
      <bottom style="double">
        <color indexed="64"/>
      </bottom>
      <diagonal/>
    </border>
    <border>
      <left/>
      <right/>
      <top/>
      <bottom style="dotted">
        <color indexed="64"/>
      </bottom>
      <diagonal/>
    </border>
    <border>
      <left style="thin">
        <color indexed="8"/>
      </left>
      <right style="thin">
        <color indexed="8"/>
      </right>
      <top style="double">
        <color indexed="8"/>
      </top>
      <bottom style="thin">
        <color indexed="8"/>
      </bottom>
      <diagonal/>
    </border>
    <border>
      <left style="thin">
        <color indexed="8"/>
      </left>
      <right style="thin">
        <color indexed="8"/>
      </right>
      <top/>
      <bottom style="hair">
        <color indexed="8"/>
      </bottom>
      <diagonal/>
    </border>
    <border>
      <left style="thin">
        <color indexed="64"/>
      </left>
      <right style="thin">
        <color indexed="64"/>
      </right>
      <top/>
      <bottom style="hair">
        <color indexed="64"/>
      </bottom>
      <diagonal/>
    </border>
    <border>
      <left/>
      <right/>
      <top style="medium">
        <color indexed="8"/>
      </top>
      <bottom style="medium">
        <color indexed="8"/>
      </bottom>
      <diagonal/>
    </border>
    <border>
      <left/>
      <right/>
      <top style="medium">
        <color indexed="64"/>
      </top>
      <bottom style="medium">
        <color indexed="64"/>
      </bottom>
      <diagonal/>
    </border>
    <border>
      <left/>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medium">
        <color indexed="64"/>
      </left>
      <right style="thin">
        <color indexed="64"/>
      </right>
      <top/>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653">
    <xf numFmtId="0" fontId="0" fillId="0" borderId="0"/>
    <xf numFmtId="43"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6" fillId="0" borderId="0"/>
    <xf numFmtId="0" fontId="6" fillId="0" borderId="0"/>
    <xf numFmtId="0" fontId="6" fillId="0" borderId="0"/>
    <xf numFmtId="0" fontId="6" fillId="0" borderId="0" applyFont="0" applyFill="0" applyBorder="0" applyAlignment="0" applyProtection="0"/>
    <xf numFmtId="170" fontId="6" fillId="0" borderId="0" applyFont="0" applyFill="0" applyBorder="0" applyAlignment="0" applyProtection="0"/>
    <xf numFmtId="0" fontId="1" fillId="0" borderId="0" applyFont="0" applyFill="0" applyBorder="0" applyAlignment="0" applyProtection="0"/>
    <xf numFmtId="170" fontId="6" fillId="0" borderId="0" applyFont="0" applyFill="0" applyBorder="0" applyAlignment="0" applyProtection="0"/>
    <xf numFmtId="9" fontId="6" fillId="0" borderId="0" applyFont="0" applyFill="0" applyBorder="0" applyAlignment="0" applyProtection="0"/>
    <xf numFmtId="170" fontId="6" fillId="0" borderId="0" applyFont="0" applyFill="0" applyBorder="0" applyAlignment="0" applyProtection="0"/>
    <xf numFmtId="168" fontId="1" fillId="0" borderId="0" applyFont="0" applyFill="0" applyBorder="0" applyAlignment="0" applyProtection="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3" fontId="6" fillId="0" borderId="0" applyFont="0" applyFill="0" applyBorder="0" applyAlignment="0" applyProtection="0"/>
    <xf numFmtId="174" fontId="6" fillId="0" borderId="0" applyFont="0" applyFill="0" applyBorder="0" applyAlignment="0" applyProtection="0"/>
    <xf numFmtId="0" fontId="6" fillId="0" borderId="0"/>
    <xf numFmtId="0" fontId="6" fillId="0" borderId="0"/>
    <xf numFmtId="0" fontId="6" fillId="3" borderId="0"/>
    <xf numFmtId="0" fontId="8" fillId="4" borderId="0"/>
    <xf numFmtId="0" fontId="9" fillId="5" borderId="0"/>
    <xf numFmtId="0" fontId="10" fillId="6" borderId="0"/>
    <xf numFmtId="0" fontId="11" fillId="0" borderId="0"/>
    <xf numFmtId="0" fontId="12" fillId="0" borderId="0"/>
    <xf numFmtId="0" fontId="13" fillId="0" borderId="0"/>
    <xf numFmtId="175" fontId="6" fillId="0" borderId="0" applyFont="0" applyFill="0" applyBorder="0" applyAlignment="0" applyProtection="0"/>
    <xf numFmtId="0" fontId="6" fillId="0" borderId="0"/>
    <xf numFmtId="176" fontId="6" fillId="0" borderId="0" applyFont="0" applyFill="0" applyBorder="0" applyAlignment="0" applyProtection="0"/>
    <xf numFmtId="177" fontId="6" fillId="0" borderId="0" applyFont="0" applyFill="0" applyBorder="0" applyAlignment="0" applyProtection="0"/>
    <xf numFmtId="4" fontId="6" fillId="7" borderId="0"/>
    <xf numFmtId="0" fontId="6" fillId="0" borderId="0"/>
    <xf numFmtId="0" fontId="6" fillId="0" borderId="0"/>
    <xf numFmtId="0" fontId="14" fillId="0" borderId="0"/>
    <xf numFmtId="178" fontId="6" fillId="0" borderId="0" applyFont="0" applyFill="0" applyBorder="0" applyAlignment="0" applyProtection="0"/>
    <xf numFmtId="179" fontId="6" fillId="0" borderId="0" applyFont="0" applyFill="0" applyBorder="0" applyAlignment="0" applyProtection="0"/>
    <xf numFmtId="0" fontId="6" fillId="0" borderId="0"/>
    <xf numFmtId="180" fontId="6" fillId="0" borderId="0" applyFont="0" applyFill="0" applyBorder="0" applyAlignment="0" applyProtection="0"/>
    <xf numFmtId="0" fontId="15" fillId="0" borderId="0" applyNumberFormat="0" applyFill="0" applyBorder="0" applyAlignment="0" applyProtection="0"/>
    <xf numFmtId="0" fontId="14" fillId="0" borderId="0"/>
    <xf numFmtId="0" fontId="7" fillId="8" borderId="0"/>
    <xf numFmtId="0" fontId="16" fillId="0" borderId="0" applyNumberFormat="0" applyFill="0" applyBorder="0" applyAlignment="0" applyProtection="0"/>
    <xf numFmtId="0" fontId="6" fillId="9" borderId="0" applyNumberFormat="0" applyFont="0" applyAlignment="0" applyProtection="0"/>
    <xf numFmtId="181" fontId="6" fillId="0" borderId="0" applyFont="0" applyFill="0" applyBorder="0" applyAlignment="0" applyProtection="0"/>
    <xf numFmtId="182" fontId="6" fillId="0" borderId="0" applyFont="0" applyFill="0" applyBorder="0" applyProtection="0">
      <alignment horizontal="right"/>
    </xf>
    <xf numFmtId="0" fontId="6" fillId="0" borderId="0" applyNumberFormat="0" applyFill="0" applyBorder="0" applyAlignment="0" applyProtection="0"/>
    <xf numFmtId="0" fontId="6" fillId="3" borderId="0"/>
    <xf numFmtId="0" fontId="8" fillId="4" borderId="0"/>
    <xf numFmtId="0" fontId="9" fillId="5" borderId="0"/>
    <xf numFmtId="0" fontId="10" fillId="6" borderId="0"/>
    <xf numFmtId="0" fontId="11" fillId="0" borderId="0"/>
    <xf numFmtId="0" fontId="12" fillId="0" borderId="0"/>
    <xf numFmtId="0" fontId="13"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14" fillId="0" borderId="0"/>
    <xf numFmtId="0" fontId="14" fillId="0" borderId="0"/>
    <xf numFmtId="0" fontId="6" fillId="0" borderId="0"/>
    <xf numFmtId="0" fontId="6" fillId="0" borderId="0"/>
    <xf numFmtId="0" fontId="6" fillId="0" borderId="0"/>
    <xf numFmtId="0" fontId="6" fillId="0" borderId="0"/>
    <xf numFmtId="0" fontId="17" fillId="0" borderId="0" applyNumberFormat="0" applyFill="0" applyBorder="0" applyProtection="0">
      <alignment vertical="top"/>
    </xf>
    <xf numFmtId="0" fontId="18" fillId="0" borderId="5" applyNumberFormat="0" applyFill="0" applyAlignment="0" applyProtection="0"/>
    <xf numFmtId="0" fontId="19" fillId="0" borderId="6" applyNumberFormat="0" applyFill="0" applyProtection="0">
      <alignment horizontal="center"/>
    </xf>
    <xf numFmtId="0" fontId="19" fillId="0" borderId="0" applyNumberFormat="0" applyFill="0" applyBorder="0" applyProtection="0">
      <alignment horizontal="left"/>
    </xf>
    <xf numFmtId="0" fontId="20" fillId="0" borderId="0" applyNumberFormat="0" applyFill="0" applyBorder="0" applyProtection="0">
      <alignment horizontal="centerContinuous"/>
    </xf>
    <xf numFmtId="0" fontId="21" fillId="0" borderId="0" applyNumberFormat="0" applyAlignment="0" applyProtection="0"/>
    <xf numFmtId="0" fontId="6" fillId="0" borderId="0"/>
    <xf numFmtId="0" fontId="6" fillId="0" borderId="0"/>
    <xf numFmtId="0" fontId="6" fillId="0" borderId="0"/>
    <xf numFmtId="1" fontId="22" fillId="0" borderId="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183" fontId="6" fillId="0" borderId="0" applyProtection="0">
      <protection locked="0"/>
    </xf>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5" fillId="0" borderId="0">
      <protection locked="0"/>
    </xf>
    <xf numFmtId="9" fontId="26" fillId="0" borderId="0"/>
    <xf numFmtId="9" fontId="26" fillId="0" borderId="0"/>
    <xf numFmtId="0" fontId="24"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7" borderId="0" applyNumberFormat="0" applyBorder="0" applyAlignment="0" applyProtection="0"/>
    <xf numFmtId="0" fontId="13" fillId="0" borderId="0" applyNumberFormat="0" applyAlignment="0"/>
    <xf numFmtId="184" fontId="6" fillId="0" borderId="0" applyFill="0" applyBorder="0" applyAlignment="0" applyProtection="0"/>
    <xf numFmtId="185" fontId="6" fillId="0" borderId="0" applyFill="0" applyBorder="0" applyAlignment="0" applyProtection="0"/>
    <xf numFmtId="0" fontId="27" fillId="0" borderId="0">
      <alignment horizontal="center" wrapText="1"/>
      <protection locked="0"/>
    </xf>
    <xf numFmtId="186" fontId="6" fillId="0" borderId="0" applyFill="0" applyBorder="0" applyAlignment="0" applyProtection="0"/>
    <xf numFmtId="187" fontId="6" fillId="0" borderId="0" applyFill="0" applyBorder="0" applyAlignment="0" applyProtection="0"/>
    <xf numFmtId="188" fontId="6" fillId="0" borderId="0" applyFont="0" applyFill="0" applyBorder="0" applyAlignment="0" applyProtection="0"/>
    <xf numFmtId="0" fontId="28" fillId="11" borderId="0" applyNumberFormat="0" applyBorder="0" applyAlignment="0" applyProtection="0"/>
    <xf numFmtId="0" fontId="29" fillId="0" borderId="0" applyNumberFormat="0" applyFill="0" applyBorder="0" applyAlignment="0" applyProtection="0"/>
    <xf numFmtId="189" fontId="30" fillId="0" borderId="0" applyAlignment="0"/>
    <xf numFmtId="189" fontId="31" fillId="0" borderId="0" applyAlignment="0">
      <alignment horizontal="right"/>
    </xf>
    <xf numFmtId="0" fontId="32" fillId="0" borderId="0"/>
    <xf numFmtId="0" fontId="33" fillId="0" borderId="0"/>
    <xf numFmtId="0" fontId="34" fillId="0" borderId="0"/>
    <xf numFmtId="0" fontId="32" fillId="0" borderId="0"/>
    <xf numFmtId="0" fontId="32" fillId="0" borderId="0"/>
    <xf numFmtId="0" fontId="35" fillId="0" borderId="0"/>
    <xf numFmtId="0" fontId="34" fillId="0" borderId="0"/>
    <xf numFmtId="0" fontId="35" fillId="0" borderId="0"/>
    <xf numFmtId="0" fontId="34" fillId="0" borderId="0"/>
    <xf numFmtId="0" fontId="35" fillId="0" borderId="0"/>
    <xf numFmtId="0" fontId="34" fillId="0" borderId="0"/>
    <xf numFmtId="0" fontId="36" fillId="0" borderId="0"/>
    <xf numFmtId="190" fontId="13" fillId="0" borderId="0" applyFill="0"/>
    <xf numFmtId="190" fontId="13" fillId="0" borderId="0">
      <alignment horizontal="center"/>
    </xf>
    <xf numFmtId="0" fontId="13" fillId="0" borderId="0" applyFill="0">
      <alignment horizontal="center"/>
    </xf>
    <xf numFmtId="190" fontId="37" fillId="0" borderId="7" applyFill="0"/>
    <xf numFmtId="0" fontId="6" fillId="0" borderId="0" applyFont="0" applyAlignment="0"/>
    <xf numFmtId="0" fontId="38" fillId="0" borderId="0" applyFill="0">
      <alignment vertical="top"/>
    </xf>
    <xf numFmtId="0" fontId="37" fillId="0" borderId="0" applyFill="0">
      <alignment horizontal="left" vertical="top"/>
    </xf>
    <xf numFmtId="190" fontId="39" fillId="0" borderId="8" applyFill="0"/>
    <xf numFmtId="0" fontId="6" fillId="0" borderId="0" applyNumberFormat="0" applyFont="0" applyAlignment="0"/>
    <xf numFmtId="0" fontId="38" fillId="0" borderId="0" applyFill="0">
      <alignment wrapText="1"/>
    </xf>
    <xf numFmtId="0" fontId="37" fillId="0" borderId="0" applyFill="0">
      <alignment horizontal="left" vertical="top" wrapText="1"/>
    </xf>
    <xf numFmtId="190" fontId="40" fillId="0" borderId="0" applyFill="0"/>
    <xf numFmtId="0" fontId="41" fillId="0" borderId="0" applyNumberFormat="0" applyFont="0" applyAlignment="0">
      <alignment horizontal="center"/>
    </xf>
    <xf numFmtId="0" fontId="42" fillId="0" borderId="0" applyFill="0">
      <alignment vertical="top" wrapText="1"/>
    </xf>
    <xf numFmtId="0" fontId="39" fillId="0" borderId="0" applyFill="0">
      <alignment horizontal="left" vertical="top" wrapText="1"/>
    </xf>
    <xf numFmtId="190" fontId="6" fillId="0" borderId="0" applyFill="0"/>
    <xf numFmtId="0" fontId="41" fillId="0" borderId="0" applyNumberFormat="0" applyFont="0" applyAlignment="0">
      <alignment horizontal="center"/>
    </xf>
    <xf numFmtId="0" fontId="43" fillId="0" borderId="0" applyFill="0">
      <alignment vertical="center" wrapText="1"/>
    </xf>
    <xf numFmtId="0" fontId="44" fillId="0" borderId="0">
      <alignment horizontal="left" vertical="center" wrapText="1"/>
    </xf>
    <xf numFmtId="190" fontId="45" fillId="0" borderId="0" applyFill="0"/>
    <xf numFmtId="0" fontId="41" fillId="0" borderId="0" applyNumberFormat="0" applyFont="0" applyAlignment="0">
      <alignment horizontal="center"/>
    </xf>
    <xf numFmtId="0" fontId="7" fillId="0" borderId="0" applyFill="0">
      <alignment horizontal="center" vertical="center" wrapText="1"/>
    </xf>
    <xf numFmtId="0" fontId="6" fillId="0" borderId="0" applyFill="0">
      <alignment horizontal="center" vertical="center" wrapText="1"/>
    </xf>
    <xf numFmtId="190" fontId="46" fillId="0" borderId="0" applyFill="0"/>
    <xf numFmtId="0" fontId="41"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190" fontId="49" fillId="0" borderId="0" applyFill="0"/>
    <xf numFmtId="0" fontId="41" fillId="0" borderId="0" applyNumberFormat="0" applyFont="0" applyAlignment="0">
      <alignment horizontal="center"/>
    </xf>
    <xf numFmtId="0" fontId="50" fillId="0" borderId="0">
      <alignment horizontal="center" wrapText="1"/>
    </xf>
    <xf numFmtId="0" fontId="46" fillId="0" borderId="0" applyFill="0">
      <alignment horizontal="center" wrapText="1"/>
    </xf>
    <xf numFmtId="191" fontId="51" fillId="0" borderId="0" applyFill="0" applyBorder="0" applyAlignment="0"/>
    <xf numFmtId="192" fontId="51" fillId="0" borderId="0" applyFill="0" applyBorder="0" applyAlignment="0"/>
    <xf numFmtId="172" fontId="51" fillId="0" borderId="0" applyFill="0" applyBorder="0" applyAlignment="0"/>
    <xf numFmtId="193" fontId="51" fillId="0" borderId="0" applyFill="0" applyBorder="0" applyAlignment="0"/>
    <xf numFmtId="194" fontId="51" fillId="0" borderId="0" applyFill="0" applyBorder="0" applyAlignment="0"/>
    <xf numFmtId="191" fontId="51" fillId="0" borderId="0" applyFill="0" applyBorder="0" applyAlignment="0"/>
    <xf numFmtId="195" fontId="51" fillId="0" borderId="0" applyFill="0" applyBorder="0" applyAlignment="0"/>
    <xf numFmtId="192" fontId="51" fillId="0" borderId="0" applyFill="0" applyBorder="0" applyAlignment="0"/>
    <xf numFmtId="0" fontId="52" fillId="28" borderId="9" applyNumberFormat="0" applyAlignment="0" applyProtection="0"/>
    <xf numFmtId="0" fontId="53" fillId="0" borderId="0"/>
    <xf numFmtId="0" fontId="54" fillId="29" borderId="10" applyNumberFormat="0" applyAlignment="0" applyProtection="0"/>
    <xf numFmtId="0" fontId="55" fillId="0" borderId="0">
      <alignment horizontal="right"/>
    </xf>
    <xf numFmtId="0" fontId="56" fillId="0" borderId="3">
      <alignment horizontal="center"/>
    </xf>
    <xf numFmtId="196" fontId="6" fillId="0" borderId="0"/>
    <xf numFmtId="197" fontId="6" fillId="0" borderId="0"/>
    <xf numFmtId="197" fontId="6" fillId="0" borderId="0"/>
    <xf numFmtId="196" fontId="6" fillId="0" borderId="0"/>
    <xf numFmtId="197" fontId="6" fillId="0" borderId="0"/>
    <xf numFmtId="197" fontId="6" fillId="0" borderId="0"/>
    <xf numFmtId="196" fontId="6" fillId="0" borderId="0"/>
    <xf numFmtId="197" fontId="6" fillId="0" borderId="0"/>
    <xf numFmtId="197" fontId="6" fillId="0" borderId="0"/>
    <xf numFmtId="196" fontId="6" fillId="0" borderId="0"/>
    <xf numFmtId="197" fontId="6" fillId="0" borderId="0"/>
    <xf numFmtId="197" fontId="6" fillId="0" borderId="0"/>
    <xf numFmtId="196" fontId="6" fillId="0" borderId="0"/>
    <xf numFmtId="197" fontId="6" fillId="0" borderId="0"/>
    <xf numFmtId="197" fontId="6" fillId="0" borderId="0"/>
    <xf numFmtId="196" fontId="6" fillId="0" borderId="0"/>
    <xf numFmtId="197" fontId="6" fillId="0" borderId="0"/>
    <xf numFmtId="197" fontId="6" fillId="0" borderId="0"/>
    <xf numFmtId="196" fontId="6" fillId="0" borderId="0"/>
    <xf numFmtId="197" fontId="6" fillId="0" borderId="0"/>
    <xf numFmtId="197" fontId="6" fillId="0" borderId="0"/>
    <xf numFmtId="196" fontId="6" fillId="0" borderId="0"/>
    <xf numFmtId="197" fontId="6" fillId="0" borderId="0"/>
    <xf numFmtId="197" fontId="6" fillId="0" borderId="0"/>
    <xf numFmtId="191" fontId="51" fillId="0" borderId="0" applyFont="0" applyFill="0" applyBorder="0" applyAlignment="0" applyProtection="0"/>
    <xf numFmtId="198"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6" fontId="1" fillId="0" borderId="0" applyFont="0" applyFill="0" applyBorder="0" applyAlignment="0" applyProtection="0"/>
    <xf numFmtId="180" fontId="1" fillId="0" borderId="0" applyFont="0" applyFill="0" applyBorder="0" applyAlignment="0" applyProtection="0"/>
    <xf numFmtId="43" fontId="6" fillId="0" borderId="0" applyFont="0" applyFill="0" applyBorder="0" applyAlignment="0" applyProtection="0"/>
    <xf numFmtId="17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3" fillId="0" borderId="0" applyFont="0" applyFill="0" applyBorder="0" applyAlignment="0" applyProtection="0"/>
    <xf numFmtId="166"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ill="0" applyBorder="0" applyAlignment="0" applyProtection="0"/>
    <xf numFmtId="43" fontId="6" fillId="0" borderId="0" applyFont="0" applyFill="0" applyBorder="0" applyAlignment="0" applyProtection="0"/>
    <xf numFmtId="43" fontId="57" fillId="0" borderId="0" applyFont="0" applyFill="0" applyBorder="0" applyAlignment="0" applyProtection="0"/>
    <xf numFmtId="43" fontId="5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6" fontId="1" fillId="0" borderId="0" applyFont="0" applyFill="0" applyBorder="0" applyAlignment="0" applyProtection="0"/>
    <xf numFmtId="192" fontId="6" fillId="0" borderId="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99" fontId="6" fillId="0" borderId="0" applyFill="0" applyBorder="0" applyAlignment="0" applyProtection="0"/>
    <xf numFmtId="43" fontId="6" fillId="0" borderId="0" applyFont="0" applyFill="0" applyBorder="0" applyAlignment="0" applyProtection="0"/>
    <xf numFmtId="199" fontId="6" fillId="0" borderId="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200" fontId="6" fillId="0" borderId="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6" fontId="1" fillId="0" borderId="0" applyFont="0" applyFill="0" applyBorder="0" applyAlignment="0" applyProtection="0"/>
    <xf numFmtId="3" fontId="6" fillId="0" borderId="0" applyFill="0" applyBorder="0" applyAlignment="0" applyProtection="0"/>
    <xf numFmtId="3" fontId="59" fillId="0" borderId="0" applyFont="0" applyFill="0" applyBorder="0" applyAlignment="0" applyProtection="0"/>
    <xf numFmtId="0" fontId="60" fillId="0" borderId="0"/>
    <xf numFmtId="0" fontId="61" fillId="0" borderId="0" applyNumberFormat="0" applyAlignment="0">
      <alignment horizontal="left"/>
    </xf>
    <xf numFmtId="201" fontId="62" fillId="0" borderId="11" applyBorder="0"/>
    <xf numFmtId="192" fontId="51" fillId="0" borderId="0" applyFont="0" applyFill="0" applyBorder="0" applyAlignment="0" applyProtection="0"/>
    <xf numFmtId="202" fontId="6" fillId="0" borderId="0" applyFont="0" applyFill="0" applyBorder="0" applyAlignment="0" applyProtection="0"/>
    <xf numFmtId="203" fontId="6" fillId="0" borderId="0">
      <protection locked="0"/>
    </xf>
    <xf numFmtId="204" fontId="6" fillId="0" borderId="0" applyFill="0" applyBorder="0" applyAlignment="0" applyProtection="0"/>
    <xf numFmtId="205" fontId="59" fillId="0" borderId="0" applyFont="0" applyFill="0" applyBorder="0" applyAlignment="0" applyProtection="0"/>
    <xf numFmtId="0" fontId="33" fillId="0" borderId="0" applyFont="0" applyFill="0" applyBorder="0" applyAlignment="0" applyProtection="0"/>
    <xf numFmtId="171" fontId="63" fillId="0" borderId="0"/>
    <xf numFmtId="171" fontId="63" fillId="0" borderId="12"/>
    <xf numFmtId="0" fontId="6" fillId="0" borderId="0" applyFill="0" applyBorder="0" applyAlignment="0" applyProtection="0"/>
    <xf numFmtId="15" fontId="22" fillId="0" borderId="0"/>
    <xf numFmtId="14" fontId="64" fillId="0" borderId="0" applyFill="0" applyBorder="0" applyAlignment="0"/>
    <xf numFmtId="15" fontId="22" fillId="0" borderId="0"/>
    <xf numFmtId="0" fontId="23" fillId="0" borderId="0" applyNumberFormat="0" applyFont="0" applyFill="0" applyBorder="0" applyAlignment="0" applyProtection="0"/>
    <xf numFmtId="171" fontId="57" fillId="0" borderId="0"/>
    <xf numFmtId="38" fontId="22" fillId="0" borderId="13">
      <alignment vertical="center"/>
    </xf>
    <xf numFmtId="165" fontId="6" fillId="0" borderId="0" applyFont="0" applyFill="0" applyBorder="0" applyAlignment="0" applyProtection="0"/>
    <xf numFmtId="167" fontId="6" fillId="0" borderId="0" applyFont="0" applyFill="0" applyBorder="0" applyAlignment="0" applyProtection="0"/>
    <xf numFmtId="206" fontId="65" fillId="0" borderId="14" applyNumberFormat="0" applyFont="0"/>
    <xf numFmtId="171" fontId="57" fillId="0" borderId="12"/>
    <xf numFmtId="171" fontId="57" fillId="0" borderId="12"/>
    <xf numFmtId="0" fontId="66" fillId="0" borderId="0">
      <alignment horizontal="left" vertical="center" wrapText="1"/>
    </xf>
    <xf numFmtId="0" fontId="29" fillId="0" borderId="0" applyNumberFormat="0" applyFill="0" applyBorder="0" applyAlignment="0" applyProtection="0"/>
    <xf numFmtId="171" fontId="67" fillId="30" borderId="0"/>
    <xf numFmtId="191" fontId="51" fillId="0" borderId="0" applyFill="0" applyBorder="0" applyAlignment="0"/>
    <xf numFmtId="192" fontId="51" fillId="0" borderId="0" applyFill="0" applyBorder="0" applyAlignment="0"/>
    <xf numFmtId="191" fontId="51" fillId="0" borderId="0" applyFill="0" applyBorder="0" applyAlignment="0"/>
    <xf numFmtId="195" fontId="51" fillId="0" borderId="0" applyFill="0" applyBorder="0" applyAlignment="0"/>
    <xf numFmtId="192" fontId="51" fillId="0" borderId="0" applyFill="0" applyBorder="0" applyAlignment="0"/>
    <xf numFmtId="0" fontId="68" fillId="0" borderId="0" applyNumberFormat="0" applyAlignment="0">
      <alignment horizontal="left"/>
    </xf>
    <xf numFmtId="0" fontId="64" fillId="31" borderId="0" applyNumberFormat="0">
      <alignment horizontal="left" vertical="top"/>
    </xf>
    <xf numFmtId="207" fontId="6" fillId="0" borderId="0" applyFont="0" applyFill="0" applyBorder="0" applyAlignment="0" applyProtection="0">
      <alignment vertical="top"/>
    </xf>
    <xf numFmtId="207" fontId="6" fillId="0" borderId="0" applyFont="0" applyFill="0" applyBorder="0" applyAlignment="0" applyProtection="0">
      <alignment vertical="top"/>
    </xf>
    <xf numFmtId="2" fontId="23" fillId="0" borderId="0" applyFill="0" applyBorder="0" applyAlignment="0" applyProtection="0"/>
    <xf numFmtId="0" fontId="23" fillId="0" borderId="0"/>
    <xf numFmtId="0" fontId="69" fillId="0" borderId="0" applyNumberFormat="0" applyFill="0" applyBorder="0" applyAlignment="0" applyProtection="0"/>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08" fontId="6" fillId="0" borderId="0">
      <protection locked="0"/>
    </xf>
    <xf numFmtId="2" fontId="6" fillId="0" borderId="0" applyFill="0" applyBorder="0" applyAlignment="0" applyProtection="0"/>
    <xf numFmtId="2" fontId="70" fillId="0" borderId="0" applyFont="0" applyFill="0" applyBorder="0" applyAlignment="0" applyProtection="0">
      <alignment vertical="top"/>
    </xf>
    <xf numFmtId="0" fontId="71" fillId="0" borderId="0" applyNumberFormat="0" applyFill="0" applyBorder="0" applyAlignment="0" applyProtection="0"/>
    <xf numFmtId="171" fontId="72" fillId="0" borderId="15"/>
    <xf numFmtId="171" fontId="72" fillId="0" borderId="12"/>
    <xf numFmtId="171" fontId="72" fillId="32" borderId="12"/>
    <xf numFmtId="209" fontId="73" fillId="0" borderId="16">
      <alignment horizontal="right"/>
    </xf>
    <xf numFmtId="209" fontId="73" fillId="0" borderId="17">
      <alignment horizontal="right"/>
    </xf>
    <xf numFmtId="0" fontId="74" fillId="12" borderId="0" applyNumberFormat="0" applyBorder="0" applyAlignment="0" applyProtection="0"/>
    <xf numFmtId="38" fontId="13" fillId="3" borderId="0" applyNumberFormat="0" applyBorder="0" applyAlignment="0" applyProtection="0"/>
    <xf numFmtId="169" fontId="75" fillId="0" borderId="0"/>
    <xf numFmtId="0" fontId="76" fillId="0" borderId="0">
      <protection locked="0"/>
    </xf>
    <xf numFmtId="0" fontId="6" fillId="0" borderId="0">
      <alignment horizontal="left"/>
    </xf>
    <xf numFmtId="0" fontId="39" fillId="0" borderId="18" applyNumberFormat="0" applyAlignment="0" applyProtection="0"/>
    <xf numFmtId="0" fontId="39" fillId="0" borderId="19" applyNumberFormat="0" applyAlignment="0" applyProtection="0">
      <alignment horizontal="left" vertical="center"/>
    </xf>
    <xf numFmtId="0" fontId="39" fillId="0" borderId="20">
      <alignment horizontal="left" vertical="center"/>
    </xf>
    <xf numFmtId="0" fontId="39" fillId="0" borderId="2">
      <alignment horizontal="left" vertical="center"/>
    </xf>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80" fillId="0" borderId="4">
      <alignment horizontal="center"/>
    </xf>
    <xf numFmtId="0" fontId="80" fillId="0" borderId="0">
      <alignment horizontal="center"/>
    </xf>
    <xf numFmtId="0" fontId="4" fillId="0" borderId="0" applyNumberFormat="0" applyFill="0" applyBorder="0" applyAlignment="0" applyProtection="0">
      <alignment vertical="top"/>
      <protection locked="0"/>
    </xf>
    <xf numFmtId="0" fontId="81" fillId="0" borderId="0" applyNumberFormat="0" applyFill="0" applyBorder="0" applyAlignment="0" applyProtection="0"/>
    <xf numFmtId="0" fontId="81" fillId="0" borderId="0" applyNumberFormat="0" applyFill="0" applyBorder="0" applyAlignment="0" applyProtection="0">
      <alignment vertical="top"/>
      <protection locked="0"/>
    </xf>
    <xf numFmtId="0" fontId="6" fillId="0" borderId="0" applyNumberFormat="0" applyFill="0" applyBorder="0" applyAlignment="0" applyProtection="0"/>
    <xf numFmtId="10" fontId="13" fillId="7" borderId="1" applyNumberFormat="0" applyBorder="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0" fontId="82" fillId="15" borderId="9" applyNumberFormat="0" applyAlignment="0" applyProtection="0"/>
    <xf numFmtId="210" fontId="63" fillId="33" borderId="0"/>
    <xf numFmtId="171" fontId="83" fillId="34" borderId="12"/>
    <xf numFmtId="191" fontId="51" fillId="0" borderId="0" applyFill="0" applyBorder="0" applyAlignment="0"/>
    <xf numFmtId="192" fontId="51" fillId="0" borderId="0" applyFill="0" applyBorder="0" applyAlignment="0"/>
    <xf numFmtId="191" fontId="51" fillId="0" borderId="0" applyFill="0" applyBorder="0" applyAlignment="0"/>
    <xf numFmtId="195" fontId="51" fillId="0" borderId="0" applyFill="0" applyBorder="0" applyAlignment="0"/>
    <xf numFmtId="192" fontId="51" fillId="0" borderId="0" applyFill="0" applyBorder="0" applyAlignment="0"/>
    <xf numFmtId="0" fontId="84" fillId="0" borderId="24" applyNumberFormat="0" applyFill="0" applyAlignment="0" applyProtection="0"/>
    <xf numFmtId="210" fontId="6" fillId="35" borderId="0"/>
    <xf numFmtId="170" fontId="85" fillId="0" borderId="0"/>
    <xf numFmtId="40" fontId="22" fillId="0" borderId="0" applyFont="0" applyFill="0" applyBorder="0" applyAlignment="0" applyProtection="0"/>
    <xf numFmtId="38" fontId="22" fillId="0" borderId="0" applyFont="0" applyFill="0" applyBorder="0" applyAlignment="0" applyProtection="0"/>
    <xf numFmtId="40" fontId="22" fillId="0" borderId="0" applyFont="0" applyFill="0" applyBorder="0" applyAlignment="0" applyProtection="0"/>
    <xf numFmtId="38" fontId="22" fillId="0" borderId="0" applyFont="0" applyFill="0" applyBorder="0" applyAlignment="0" applyProtection="0"/>
    <xf numFmtId="40" fontId="22" fillId="0" borderId="0" applyFont="0" applyFill="0" applyBorder="0" applyAlignment="0" applyProtection="0"/>
    <xf numFmtId="0" fontId="6" fillId="0" borderId="4"/>
    <xf numFmtId="0"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213" fontId="22" fillId="0" borderId="0" applyFont="0" applyFill="0" applyBorder="0" applyAlignment="0" applyProtection="0"/>
    <xf numFmtId="212" fontId="22" fillId="0" borderId="0" applyFont="0" applyFill="0" applyBorder="0" applyAlignment="0" applyProtection="0"/>
    <xf numFmtId="213" fontId="22" fillId="0" borderId="0" applyFont="0" applyFill="0" applyBorder="0" applyAlignment="0" applyProtection="0"/>
    <xf numFmtId="214" fontId="6" fillId="0" borderId="25" applyBorder="0" applyAlignment="0" applyProtection="0">
      <alignment horizontal="center"/>
    </xf>
    <xf numFmtId="0" fontId="86" fillId="9" borderId="0" applyNumberFormat="0" applyBorder="0" applyAlignment="0" applyProtection="0"/>
    <xf numFmtId="0" fontId="66" fillId="0" borderId="0"/>
    <xf numFmtId="215" fontId="87" fillId="0" borderId="0"/>
    <xf numFmtId="37" fontId="87" fillId="0" borderId="0"/>
    <xf numFmtId="172" fontId="6" fillId="0" borderId="0"/>
    <xf numFmtId="172"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66" fillId="0" borderId="0"/>
    <xf numFmtId="216" fontId="1" fillId="0" borderId="0"/>
    <xf numFmtId="217" fontId="25" fillId="0" borderId="0"/>
    <xf numFmtId="171" fontId="1" fillId="0" borderId="0"/>
    <xf numFmtId="217" fontId="25" fillId="0" borderId="0"/>
    <xf numFmtId="217" fontId="25" fillId="0" borderId="0"/>
    <xf numFmtId="217" fontId="25" fillId="0" borderId="0"/>
    <xf numFmtId="171" fontId="1" fillId="0" borderId="0"/>
    <xf numFmtId="209" fontId="1" fillId="0" borderId="0"/>
    <xf numFmtId="217" fontId="25" fillId="0" borderId="0"/>
    <xf numFmtId="209" fontId="1" fillId="0" borderId="0"/>
    <xf numFmtId="171" fontId="1" fillId="0" borderId="0"/>
    <xf numFmtId="217" fontId="25" fillId="0" borderId="0"/>
    <xf numFmtId="43" fontId="6" fillId="0" borderId="0"/>
    <xf numFmtId="0" fontId="23" fillId="0" borderId="0"/>
    <xf numFmtId="218" fontId="25" fillId="0" borderId="0"/>
    <xf numFmtId="219" fontId="6" fillId="0" borderId="0"/>
    <xf numFmtId="218" fontId="25" fillId="0" borderId="0"/>
    <xf numFmtId="218" fontId="25" fillId="0" borderId="0"/>
    <xf numFmtId="0" fontId="6" fillId="0" borderId="0"/>
    <xf numFmtId="0" fontId="6" fillId="0" borderId="0"/>
    <xf numFmtId="171" fontId="6" fillId="0" borderId="0"/>
    <xf numFmtId="0" fontId="2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8" fillId="0" borderId="0"/>
    <xf numFmtId="171" fontId="6" fillId="0" borderId="0"/>
    <xf numFmtId="217" fontId="2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6" fillId="0" borderId="0"/>
    <xf numFmtId="0" fontId="89" fillId="0" borderId="0"/>
    <xf numFmtId="6" fontId="57" fillId="0" borderId="0"/>
    <xf numFmtId="219"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1"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171" fontId="1" fillId="0" borderId="0"/>
    <xf numFmtId="0" fontId="6" fillId="0" borderId="0"/>
    <xf numFmtId="171" fontId="1" fillId="0" borderId="0"/>
    <xf numFmtId="220" fontId="92" fillId="0" borderId="0" applyFont="0" applyFill="0" applyBorder="0" applyAlignment="0" applyProtection="0">
      <alignment horizontal="centerContinuous"/>
    </xf>
    <xf numFmtId="0" fontId="93" fillId="0" borderId="0"/>
    <xf numFmtId="0" fontId="6" fillId="36" borderId="26" applyNumberFormat="0" applyFont="0" applyAlignment="0" applyProtection="0"/>
    <xf numFmtId="40" fontId="94" fillId="0" borderId="0" applyFont="0" applyFill="0" applyBorder="0" applyAlignment="0" applyProtection="0"/>
    <xf numFmtId="38" fontId="94" fillId="0" borderId="0" applyFont="0" applyFill="0" applyBorder="0" applyAlignment="0" applyProtection="0"/>
    <xf numFmtId="0" fontId="95" fillId="28" borderId="27" applyNumberFormat="0" applyAlignment="0" applyProtection="0"/>
    <xf numFmtId="3" fontId="96" fillId="2" borderId="0" applyBorder="0"/>
    <xf numFmtId="17" fontId="96" fillId="37" borderId="0" applyBorder="0">
      <alignment horizontal="right"/>
    </xf>
    <xf numFmtId="0" fontId="96" fillId="38" borderId="0" applyBorder="0"/>
    <xf numFmtId="0" fontId="97" fillId="39" borderId="0" applyBorder="0">
      <alignment horizontal="centerContinuous"/>
    </xf>
    <xf numFmtId="0" fontId="98" fillId="2" borderId="0" applyBorder="0">
      <alignment horizontal="centerContinuous"/>
    </xf>
    <xf numFmtId="14" fontId="27" fillId="0" borderId="0">
      <alignment horizontal="center" wrapText="1"/>
      <protection locked="0"/>
    </xf>
    <xf numFmtId="194" fontId="51" fillId="0" borderId="0" applyFont="0" applyFill="0" applyBorder="0" applyAlignment="0" applyProtection="0"/>
    <xf numFmtId="221" fontId="51"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1" fillId="0" borderId="0" applyFont="0" applyFill="0" applyBorder="0" applyAlignment="0" applyProtection="0"/>
    <xf numFmtId="9" fontId="9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58"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3" fillId="0" borderId="0"/>
    <xf numFmtId="9" fontId="58" fillId="0" borderId="0" applyFont="0" applyFill="0" applyBorder="0" applyAlignment="0" applyProtection="0"/>
    <xf numFmtId="9" fontId="6" fillId="0" borderId="0" applyFill="0" applyBorder="0" applyAlignment="0" applyProtection="0"/>
    <xf numFmtId="9" fontId="15" fillId="0" borderId="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28" applyNumberFormat="0" applyBorder="0"/>
    <xf numFmtId="3" fontId="6" fillId="0" borderId="0">
      <protection locked="0"/>
    </xf>
    <xf numFmtId="0" fontId="100" fillId="0" borderId="0">
      <alignment wrapText="1"/>
      <protection locked="0"/>
    </xf>
    <xf numFmtId="0" fontId="6" fillId="0" borderId="0">
      <protection locked="0"/>
    </xf>
    <xf numFmtId="3" fontId="15" fillId="40" borderId="0">
      <protection locked="0"/>
    </xf>
    <xf numFmtId="0" fontId="6" fillId="0" borderId="0"/>
    <xf numFmtId="0" fontId="101" fillId="0" borderId="0" applyFont="0"/>
    <xf numFmtId="191" fontId="51" fillId="0" borderId="0" applyFill="0" applyBorder="0" applyAlignment="0"/>
    <xf numFmtId="192" fontId="51" fillId="0" borderId="0" applyFill="0" applyBorder="0" applyAlignment="0"/>
    <xf numFmtId="191" fontId="51" fillId="0" borderId="0" applyFill="0" applyBorder="0" applyAlignment="0"/>
    <xf numFmtId="195" fontId="51" fillId="0" borderId="0" applyFill="0" applyBorder="0" applyAlignment="0"/>
    <xf numFmtId="192" fontId="51" fillId="0" borderId="0" applyFill="0" applyBorder="0" applyAlignment="0"/>
    <xf numFmtId="202" fontId="64" fillId="0" borderId="0"/>
    <xf numFmtId="0" fontId="102" fillId="0" borderId="29"/>
    <xf numFmtId="0" fontId="22" fillId="0" borderId="0" applyNumberFormat="0" applyFont="0" applyFill="0" applyBorder="0" applyAlignment="0" applyProtection="0">
      <alignment horizontal="left"/>
    </xf>
    <xf numFmtId="15" fontId="22" fillId="0" borderId="0" applyFont="0" applyFill="0" applyBorder="0" applyAlignment="0" applyProtection="0"/>
    <xf numFmtId="4" fontId="22" fillId="0" borderId="0" applyFont="0" applyFill="0" applyBorder="0" applyAlignment="0" applyProtection="0"/>
    <xf numFmtId="0" fontId="103" fillId="0" borderId="4">
      <alignment horizontal="center"/>
    </xf>
    <xf numFmtId="3" fontId="22" fillId="0" borderId="0" applyFont="0" applyFill="0" applyBorder="0" applyAlignment="0" applyProtection="0"/>
    <xf numFmtId="0" fontId="22" fillId="41" borderId="0" applyNumberFormat="0" applyFont="0" applyBorder="0" applyAlignment="0" applyProtection="0"/>
    <xf numFmtId="3" fontId="104" fillId="2" borderId="0"/>
    <xf numFmtId="0" fontId="105" fillId="2" borderId="0">
      <alignment horizontal="left" indent="7"/>
    </xf>
    <xf numFmtId="0" fontId="104" fillId="2" borderId="0">
      <alignment horizontal="left" indent="6"/>
    </xf>
    <xf numFmtId="3" fontId="15" fillId="0" borderId="7" applyFill="0"/>
    <xf numFmtId="0" fontId="56" fillId="42" borderId="1" applyNumberFormat="0" applyBorder="0" applyAlignment="0">
      <alignment horizontal="right"/>
    </xf>
    <xf numFmtId="0" fontId="106" fillId="43" borderId="0"/>
    <xf numFmtId="0" fontId="15" fillId="0" borderId="0" applyFill="0"/>
    <xf numFmtId="3" fontId="15" fillId="0" borderId="8" applyFill="0"/>
    <xf numFmtId="0" fontId="6" fillId="44" borderId="0" applyNumberFormat="0" applyFont="0" applyBorder="0" applyAlignment="0"/>
    <xf numFmtId="0" fontId="106" fillId="45" borderId="0">
      <alignment horizontal="left" indent="2"/>
    </xf>
    <xf numFmtId="0" fontId="106" fillId="0" borderId="0" applyFill="0">
      <alignment horizontal="left" indent="2"/>
    </xf>
    <xf numFmtId="3" fontId="15" fillId="0" borderId="0" applyFill="0"/>
    <xf numFmtId="0" fontId="6" fillId="46" borderId="0" applyNumberFormat="0" applyFont="0" applyBorder="0" applyAlignment="0"/>
    <xf numFmtId="0" fontId="107" fillId="46" borderId="0">
      <alignment horizontal="left" indent="4"/>
    </xf>
    <xf numFmtId="0" fontId="108" fillId="46" borderId="0">
      <alignment horizontal="left" indent="4"/>
    </xf>
    <xf numFmtId="3" fontId="7" fillId="0" borderId="0" applyFill="0"/>
    <xf numFmtId="0" fontId="6" fillId="0" borderId="0" applyNumberFormat="0" applyFont="0" applyBorder="0" applyAlignment="0"/>
    <xf numFmtId="0" fontId="109" fillId="0" borderId="0">
      <alignment horizontal="left" indent="6"/>
    </xf>
    <xf numFmtId="0" fontId="109" fillId="0" borderId="0" applyFill="0">
      <alignment horizontal="left" indent="6"/>
    </xf>
    <xf numFmtId="190" fontId="45" fillId="0" borderId="0" applyFill="0"/>
    <xf numFmtId="0" fontId="6" fillId="0" borderId="0" applyNumberFormat="0" applyFont="0" applyBorder="0" applyAlignment="0"/>
    <xf numFmtId="0" fontId="110" fillId="0" borderId="0">
      <alignment horizontal="left" indent="7"/>
    </xf>
    <xf numFmtId="209" fontId="110" fillId="0" borderId="0" applyFill="0">
      <alignment horizontal="left" indent="7"/>
    </xf>
    <xf numFmtId="190" fontId="46" fillId="0" borderId="0" applyFill="0"/>
    <xf numFmtId="0" fontId="6" fillId="0" borderId="0" applyNumberFormat="0" applyFont="0" applyBorder="0" applyAlignment="0"/>
    <xf numFmtId="0" fontId="47" fillId="0" borderId="0">
      <alignment horizontal="left" indent="8"/>
    </xf>
    <xf numFmtId="0" fontId="48" fillId="0" borderId="0" applyFill="0">
      <alignment horizontal="left" indent="8"/>
    </xf>
    <xf numFmtId="190" fontId="49" fillId="0" borderId="0" applyFill="0"/>
    <xf numFmtId="0" fontId="6" fillId="0" borderId="0" applyNumberFormat="0" applyFont="0" applyFill="0" applyBorder="0" applyAlignment="0"/>
    <xf numFmtId="0" fontId="50" fillId="0" borderId="0" applyFill="0">
      <alignment horizontal="left" indent="9"/>
    </xf>
    <xf numFmtId="0" fontId="46" fillId="0" borderId="0" applyFill="0">
      <alignment horizontal="left" indent="9"/>
    </xf>
    <xf numFmtId="0" fontId="111" fillId="47" borderId="0" applyNumberFormat="0" applyFont="0" applyBorder="0" applyAlignment="0">
      <alignment horizontal="center"/>
    </xf>
    <xf numFmtId="171" fontId="63" fillId="0" borderId="0"/>
    <xf numFmtId="171" fontId="57" fillId="0" borderId="0"/>
    <xf numFmtId="14" fontId="112" fillId="0" borderId="0" applyNumberFormat="0" applyFill="0" applyBorder="0" applyAlignment="0" applyProtection="0">
      <alignment horizontal="left"/>
    </xf>
    <xf numFmtId="0" fontId="111" fillId="1" borderId="2" applyNumberFormat="0" applyFont="0" applyAlignment="0">
      <alignment horizontal="center"/>
    </xf>
    <xf numFmtId="0" fontId="113" fillId="0" borderId="0" applyNumberFormat="0" applyFill="0" applyBorder="0" applyAlignment="0" applyProtection="0"/>
    <xf numFmtId="0" fontId="114" fillId="0" borderId="0" applyNumberFormat="0" applyFill="0" applyBorder="0" applyAlignment="0" applyProtection="0">
      <alignment vertical="top"/>
      <protection locked="0"/>
    </xf>
    <xf numFmtId="0" fontId="115" fillId="0" borderId="0" applyNumberFormat="0" applyFill="0" applyBorder="0" applyAlignment="0">
      <alignment horizontal="center"/>
    </xf>
    <xf numFmtId="213" fontId="22" fillId="0" borderId="0">
      <alignment horizontal="center"/>
    </xf>
    <xf numFmtId="0" fontId="6" fillId="0" borderId="0"/>
    <xf numFmtId="0" fontId="14" fillId="0" borderId="0"/>
    <xf numFmtId="0" fontId="6" fillId="0" borderId="0"/>
    <xf numFmtId="40" fontId="116" fillId="0" borderId="0" applyBorder="0">
      <alignment horizontal="right"/>
    </xf>
    <xf numFmtId="171" fontId="63" fillId="0" borderId="12"/>
    <xf numFmtId="3" fontId="13" fillId="3" borderId="0">
      <alignment horizontal="center"/>
    </xf>
    <xf numFmtId="49" fontId="64" fillId="0" borderId="0" applyFill="0" applyBorder="0" applyAlignment="0"/>
    <xf numFmtId="222" fontId="51" fillId="0" borderId="0" applyFill="0" applyBorder="0" applyAlignment="0"/>
    <xf numFmtId="223" fontId="51" fillId="0" borderId="0" applyFill="0" applyBorder="0" applyAlignment="0"/>
    <xf numFmtId="40" fontId="117" fillId="0" borderId="0"/>
    <xf numFmtId="171" fontId="118" fillId="35" borderId="0"/>
    <xf numFmtId="0" fontId="119" fillId="0" borderId="0" applyNumberFormat="0" applyFill="0" applyBorder="0" applyAlignment="0" applyProtection="0"/>
    <xf numFmtId="0" fontId="120" fillId="0" borderId="30" applyNumberFormat="0" applyFill="0" applyAlignment="0" applyProtection="0"/>
    <xf numFmtId="171" fontId="83" fillId="0" borderId="15"/>
    <xf numFmtId="171" fontId="83" fillId="0" borderId="12"/>
    <xf numFmtId="165" fontId="6" fillId="0" borderId="0" applyFont="0" applyFill="0" applyBorder="0" applyAlignment="0" applyProtection="0"/>
    <xf numFmtId="167" fontId="6" fillId="0" borderId="0" applyFont="0" applyFill="0" applyBorder="0" applyAlignment="0" applyProtection="0"/>
    <xf numFmtId="0" fontId="121" fillId="0" borderId="0">
      <alignment vertical="top"/>
    </xf>
    <xf numFmtId="201" fontId="6" fillId="0" borderId="0" applyFont="0" applyFill="0" applyBorder="0" applyAlignment="0" applyProtection="0"/>
    <xf numFmtId="224" fontId="6" fillId="0" borderId="0" applyFont="0" applyFill="0" applyBorder="0" applyAlignment="0" applyProtection="0"/>
    <xf numFmtId="171" fontId="91" fillId="0" borderId="31" applyNumberFormat="0" applyBorder="0" applyAlignment="0">
      <alignment horizontal="justify"/>
    </xf>
    <xf numFmtId="164" fontId="6" fillId="0" borderId="0" applyFont="0" applyFill="0" applyBorder="0" applyAlignment="0" applyProtection="0"/>
    <xf numFmtId="166" fontId="6" fillId="0" borderId="0" applyFont="0" applyFill="0" applyBorder="0" applyAlignment="0" applyProtection="0"/>
    <xf numFmtId="0" fontId="122" fillId="0" borderId="0" applyNumberFormat="0" applyFill="0" applyBorder="0" applyAlignment="0" applyProtection="0"/>
    <xf numFmtId="0" fontId="123" fillId="0" borderId="0">
      <alignment horizontal="left"/>
    </xf>
    <xf numFmtId="0" fontId="124" fillId="0" borderId="0"/>
    <xf numFmtId="0" fontId="125" fillId="0" borderId="0" applyFont="0" applyFill="0" applyBorder="0" applyAlignment="0" applyProtection="0"/>
    <xf numFmtId="0" fontId="125" fillId="0" borderId="0" applyFont="0" applyFill="0" applyBorder="0" applyAlignment="0" applyProtection="0"/>
    <xf numFmtId="0" fontId="126" fillId="0" borderId="0"/>
    <xf numFmtId="0" fontId="127" fillId="0" borderId="0"/>
    <xf numFmtId="165" fontId="127" fillId="0" borderId="0" applyFont="0" applyFill="0" applyBorder="0" applyAlignment="0" applyProtection="0"/>
    <xf numFmtId="167" fontId="127" fillId="0" borderId="0" applyFont="0" applyFill="0" applyBorder="0" applyAlignment="0" applyProtection="0"/>
    <xf numFmtId="171" fontId="128" fillId="0" borderId="0"/>
    <xf numFmtId="0" fontId="6" fillId="0" borderId="0" applyFont="0" applyFill="0" applyBorder="0" applyAlignment="0" applyProtection="0"/>
    <xf numFmtId="0" fontId="6" fillId="0" borderId="0" applyFont="0" applyFill="0" applyBorder="0" applyAlignment="0" applyProtection="0"/>
    <xf numFmtId="0" fontId="6" fillId="0" borderId="0"/>
    <xf numFmtId="225" fontId="127" fillId="0" borderId="0" applyFont="0" applyFill="0" applyBorder="0" applyAlignment="0" applyProtection="0"/>
    <xf numFmtId="226" fontId="127" fillId="0" borderId="0" applyFont="0" applyFill="0" applyBorder="0" applyAlignment="0" applyProtection="0"/>
    <xf numFmtId="226" fontId="6" fillId="0" borderId="0" applyFont="0" applyFill="0" applyBorder="0" applyAlignment="0" applyProtection="0"/>
    <xf numFmtId="225" fontId="6" fillId="0" borderId="0" applyFont="0" applyFill="0" applyBorder="0" applyAlignment="0" applyProtection="0"/>
    <xf numFmtId="170" fontId="6"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33" fillId="0" borderId="0" applyNumberFormat="0" applyFill="0" applyBorder="0" applyAlignment="0" applyProtection="0"/>
    <xf numFmtId="43" fontId="1" fillId="0" borderId="0" applyFont="0" applyFill="0" applyBorder="0" applyAlignment="0" applyProtection="0"/>
    <xf numFmtId="230" fontId="1" fillId="0" borderId="0" applyFont="0" applyFill="0" applyBorder="0" applyAlignment="0" applyProtection="0"/>
  </cellStyleXfs>
  <cellXfs count="124">
    <xf numFmtId="0" fontId="0" fillId="0" borderId="0" xfId="0"/>
    <xf numFmtId="0" fontId="2" fillId="48" borderId="0" xfId="0" applyFont="1" applyFill="1" applyAlignment="1">
      <alignment horizontal="left" vertical="center"/>
    </xf>
    <xf numFmtId="0" fontId="0" fillId="0" borderId="0" xfId="0" applyAlignment="1">
      <alignment vertical="center"/>
    </xf>
    <xf numFmtId="0" fontId="3" fillId="0" borderId="0" xfId="0" applyFont="1"/>
    <xf numFmtId="0" fontId="130" fillId="0" borderId="0" xfId="0" applyFont="1"/>
    <xf numFmtId="0" fontId="131" fillId="49" borderId="0" xfId="0" applyFont="1" applyFill="1"/>
    <xf numFmtId="0" fontId="132" fillId="49" borderId="0" xfId="0" applyFont="1" applyFill="1" applyAlignment="1">
      <alignment vertical="center"/>
    </xf>
    <xf numFmtId="0" fontId="2" fillId="48" borderId="0" xfId="0" applyFont="1" applyFill="1"/>
    <xf numFmtId="0" fontId="133" fillId="0" borderId="0" xfId="650"/>
    <xf numFmtId="2" fontId="0" fillId="0" borderId="0" xfId="0" applyNumberFormat="1"/>
    <xf numFmtId="2" fontId="0" fillId="50" borderId="1" xfId="0" applyNumberFormat="1" applyFill="1" applyBorder="1"/>
    <xf numFmtId="0" fontId="0" fillId="50" borderId="1" xfId="0" applyFill="1" applyBorder="1"/>
    <xf numFmtId="2" fontId="0" fillId="0" borderId="1" xfId="0" applyNumberFormat="1" applyBorder="1"/>
    <xf numFmtId="0" fontId="0" fillId="0" borderId="1" xfId="0" applyBorder="1"/>
    <xf numFmtId="0" fontId="2" fillId="48" borderId="1" xfId="0" applyFont="1" applyFill="1" applyBorder="1"/>
    <xf numFmtId="0" fontId="129" fillId="48" borderId="0" xfId="0" applyFont="1" applyFill="1" applyAlignment="1">
      <alignment vertical="center"/>
    </xf>
    <xf numFmtId="0" fontId="134" fillId="0" borderId="0" xfId="0" applyFont="1" applyAlignment="1">
      <alignment horizontal="right"/>
    </xf>
    <xf numFmtId="0" fontId="0" fillId="49" borderId="0" xfId="0" applyFill="1"/>
    <xf numFmtId="228" fontId="2" fillId="48" borderId="1" xfId="0" applyNumberFormat="1" applyFont="1" applyFill="1" applyBorder="1" applyAlignment="1">
      <alignment horizontal="center"/>
    </xf>
    <xf numFmtId="9" fontId="0" fillId="0" borderId="1" xfId="0" applyNumberFormat="1" applyBorder="1"/>
    <xf numFmtId="0" fontId="0" fillId="0" borderId="1" xfId="0" applyBorder="1" applyAlignment="1">
      <alignment horizontal="center" vertical="center"/>
    </xf>
    <xf numFmtId="9" fontId="0" fillId="0" borderId="1" xfId="0" applyNumberFormat="1" applyBorder="1" applyAlignment="1">
      <alignment horizontal="center" vertical="center"/>
    </xf>
    <xf numFmtId="228" fontId="2" fillId="48" borderId="0" xfId="0" applyNumberFormat="1" applyFont="1" applyFill="1" applyAlignment="1">
      <alignment horizontal="center" vertical="center"/>
    </xf>
    <xf numFmtId="9" fontId="0" fillId="0" borderId="0" xfId="0" applyNumberFormat="1"/>
    <xf numFmtId="10" fontId="0" fillId="0" borderId="0" xfId="0" applyNumberFormat="1"/>
    <xf numFmtId="43" fontId="0" fillId="0" borderId="0" xfId="1" applyFont="1" applyBorder="1" applyAlignment="1">
      <alignment vertical="center"/>
    </xf>
    <xf numFmtId="43" fontId="0" fillId="0" borderId="0" xfId="0" applyNumberFormat="1"/>
    <xf numFmtId="43" fontId="0" fillId="0" borderId="0" xfId="1" applyFont="1"/>
    <xf numFmtId="0" fontId="5" fillId="0" borderId="0" xfId="0" applyFont="1"/>
    <xf numFmtId="43" fontId="5" fillId="0" borderId="0" xfId="0" applyNumberFormat="1" applyFont="1"/>
    <xf numFmtId="227" fontId="0" fillId="0" borderId="0" xfId="0" applyNumberFormat="1"/>
    <xf numFmtId="2" fontId="0" fillId="0" borderId="0" xfId="2" applyNumberFormat="1" applyFont="1"/>
    <xf numFmtId="43" fontId="3" fillId="0" borderId="0" xfId="0" applyNumberFormat="1" applyFont="1"/>
    <xf numFmtId="43" fontId="2" fillId="48" borderId="0" xfId="0" applyNumberFormat="1" applyFont="1" applyFill="1"/>
    <xf numFmtId="2" fontId="3" fillId="0" borderId="0" xfId="0" applyNumberFormat="1" applyFont="1"/>
    <xf numFmtId="0" fontId="0" fillId="0" borderId="0" xfId="0" applyAlignment="1">
      <alignment horizontal="center" vertical="center"/>
    </xf>
    <xf numFmtId="15" fontId="0" fillId="0" borderId="0" xfId="0" applyNumberFormat="1" applyAlignment="1">
      <alignment horizontal="center" vertical="center"/>
    </xf>
    <xf numFmtId="0" fontId="0" fillId="0" borderId="0" xfId="0" applyAlignment="1">
      <alignment horizontal="left" vertical="center"/>
    </xf>
    <xf numFmtId="0" fontId="135" fillId="0" borderId="0" xfId="0" applyFont="1"/>
    <xf numFmtId="0" fontId="136" fillId="48" borderId="0" xfId="0" applyFont="1" applyFill="1"/>
    <xf numFmtId="0" fontId="136" fillId="48" borderId="0" xfId="0" applyFont="1" applyFill="1" applyAlignment="1">
      <alignment horizontal="center" vertical="center"/>
    </xf>
    <xf numFmtId="0" fontId="135" fillId="0" borderId="0" xfId="0" applyFont="1" applyAlignment="1">
      <alignment horizontal="right" vertical="center"/>
    </xf>
    <xf numFmtId="0" fontId="135" fillId="0" borderId="35" xfId="0" applyFont="1" applyBorder="1" applyAlignment="1">
      <alignment horizontal="left" vertical="center"/>
    </xf>
    <xf numFmtId="0" fontId="135" fillId="0" borderId="34" xfId="0" applyFont="1" applyBorder="1" applyAlignment="1">
      <alignment horizontal="left" vertical="top"/>
    </xf>
    <xf numFmtId="0" fontId="137" fillId="51" borderId="36" xfId="0" applyFont="1" applyFill="1" applyBorder="1" applyAlignment="1">
      <alignment horizontal="left" vertical="top"/>
    </xf>
    <xf numFmtId="0" fontId="136" fillId="48" borderId="32" xfId="0" applyFont="1" applyFill="1" applyBorder="1" applyAlignment="1">
      <alignment horizontal="center" vertical="center"/>
    </xf>
    <xf numFmtId="4" fontId="135" fillId="0" borderId="1" xfId="0" applyNumberFormat="1" applyFont="1" applyBorder="1" applyAlignment="1">
      <alignment horizontal="right" vertical="center" shrinkToFit="1"/>
    </xf>
    <xf numFmtId="0" fontId="135" fillId="0" borderId="1" xfId="0" applyFont="1" applyBorder="1" applyAlignment="1">
      <alignment horizontal="right" vertical="center"/>
    </xf>
    <xf numFmtId="2" fontId="135" fillId="0" borderId="1" xfId="0" applyNumberFormat="1" applyFont="1" applyBorder="1" applyAlignment="1">
      <alignment horizontal="right" vertical="center" shrinkToFit="1"/>
    </xf>
    <xf numFmtId="0" fontId="135" fillId="0" borderId="1" xfId="0" applyFont="1" applyBorder="1" applyAlignment="1">
      <alignment vertical="center"/>
    </xf>
    <xf numFmtId="4" fontId="137" fillId="51" borderId="1" xfId="0" applyNumberFormat="1" applyFont="1" applyFill="1" applyBorder="1" applyAlignment="1">
      <alignment horizontal="right" vertical="center" shrinkToFit="1"/>
    </xf>
    <xf numFmtId="0" fontId="137" fillId="51" borderId="34" xfId="0" applyFont="1" applyFill="1" applyBorder="1" applyAlignment="1">
      <alignment vertical="center"/>
    </xf>
    <xf numFmtId="0" fontId="137" fillId="51" borderId="34" xfId="0" applyFont="1" applyFill="1" applyBorder="1" applyAlignment="1">
      <alignment horizontal="left" vertical="top"/>
    </xf>
    <xf numFmtId="0" fontId="137" fillId="0" borderId="34" xfId="0" applyFont="1" applyBorder="1" applyAlignment="1">
      <alignment horizontal="left" vertical="top"/>
    </xf>
    <xf numFmtId="0" fontId="136" fillId="52" borderId="0" xfId="0" applyFont="1" applyFill="1"/>
    <xf numFmtId="0" fontId="136" fillId="48" borderId="33" xfId="0" applyFont="1" applyFill="1" applyBorder="1" applyAlignment="1">
      <alignment horizontal="left" vertical="center"/>
    </xf>
    <xf numFmtId="0" fontId="3" fillId="51" borderId="2" xfId="0" applyFont="1" applyFill="1" applyBorder="1"/>
    <xf numFmtId="2" fontId="3" fillId="51" borderId="2" xfId="0" applyNumberFormat="1" applyFont="1" applyFill="1" applyBorder="1"/>
    <xf numFmtId="229" fontId="0" fillId="53" borderId="1" xfId="1" applyNumberFormat="1" applyFont="1" applyFill="1" applyBorder="1"/>
    <xf numFmtId="0" fontId="0" fillId="53" borderId="1" xfId="0" applyFill="1" applyBorder="1"/>
    <xf numFmtId="10" fontId="0" fillId="53" borderId="1" xfId="2" applyNumberFormat="1" applyFont="1" applyFill="1" applyBorder="1"/>
    <xf numFmtId="9" fontId="0" fillId="0" borderId="0" xfId="2" applyFont="1"/>
    <xf numFmtId="0" fontId="2" fillId="48" borderId="1" xfId="0" applyFont="1" applyFill="1" applyBorder="1" applyAlignment="1">
      <alignment horizontal="center" vertical="center"/>
    </xf>
    <xf numFmtId="0" fontId="2" fillId="48" borderId="1" xfId="0" applyFont="1" applyFill="1" applyBorder="1" applyAlignment="1">
      <alignment horizontal="center" vertical="center" wrapText="1"/>
    </xf>
    <xf numFmtId="0" fontId="0" fillId="0" borderId="1" xfId="0" applyBorder="1" applyAlignment="1">
      <alignment vertical="center"/>
    </xf>
    <xf numFmtId="10" fontId="0" fillId="0" borderId="1" xfId="0" applyNumberFormat="1" applyBorder="1" applyAlignment="1">
      <alignment horizontal="center" vertical="center"/>
    </xf>
    <xf numFmtId="167" fontId="0" fillId="0" borderId="1" xfId="0" applyNumberFormat="1" applyBorder="1" applyAlignment="1">
      <alignment horizontal="center" vertical="center"/>
    </xf>
    <xf numFmtId="167" fontId="3" fillId="0" borderId="1" xfId="0" applyNumberFormat="1" applyFont="1" applyBorder="1" applyAlignment="1">
      <alignment horizontal="center" vertical="center"/>
    </xf>
    <xf numFmtId="0" fontId="2" fillId="48" borderId="1" xfId="0" applyFont="1" applyFill="1" applyBorder="1" applyAlignment="1">
      <alignment horizontal="left" vertical="center"/>
    </xf>
    <xf numFmtId="43" fontId="0" fillId="0" borderId="1" xfId="1" applyFont="1" applyFill="1" applyBorder="1"/>
    <xf numFmtId="10" fontId="0" fillId="0" borderId="0" xfId="2" applyNumberFormat="1" applyFont="1"/>
    <xf numFmtId="43" fontId="3" fillId="51" borderId="0" xfId="1" applyFont="1" applyFill="1"/>
    <xf numFmtId="14" fontId="0" fillId="0" borderId="0" xfId="0" applyNumberFormat="1" applyAlignment="1">
      <alignment horizontal="center" vertical="center"/>
    </xf>
    <xf numFmtId="229" fontId="0" fillId="0" borderId="0" xfId="1" applyNumberFormat="1" applyFont="1" applyAlignment="1">
      <alignment vertical="center" wrapText="1"/>
    </xf>
    <xf numFmtId="14" fontId="2" fillId="48" borderId="0" xfId="0" applyNumberFormat="1" applyFont="1" applyFill="1" applyAlignment="1">
      <alignment horizontal="center" vertical="center"/>
    </xf>
    <xf numFmtId="43" fontId="0" fillId="0" borderId="0" xfId="1" applyFont="1" applyAlignment="1">
      <alignment horizontal="left" vertical="center"/>
    </xf>
    <xf numFmtId="229" fontId="0" fillId="0" borderId="0" xfId="1" applyNumberFormat="1" applyFont="1" applyAlignment="1">
      <alignment vertical="center"/>
    </xf>
    <xf numFmtId="43" fontId="0" fillId="0" borderId="0" xfId="1" applyFont="1" applyAlignment="1">
      <alignment vertical="center"/>
    </xf>
    <xf numFmtId="229" fontId="0" fillId="0" borderId="0" xfId="0" applyNumberFormat="1" applyAlignment="1">
      <alignment vertical="center"/>
    </xf>
    <xf numFmtId="9" fontId="0" fillId="0" borderId="0" xfId="2" applyFont="1" applyAlignment="1">
      <alignment vertical="center"/>
    </xf>
    <xf numFmtId="43" fontId="0" fillId="0" borderId="0" xfId="1" applyFont="1" applyAlignment="1">
      <alignment vertical="center" wrapText="1"/>
    </xf>
    <xf numFmtId="0" fontId="2" fillId="48" borderId="0" xfId="0" applyFont="1" applyFill="1" applyAlignment="1">
      <alignment vertical="center"/>
    </xf>
    <xf numFmtId="9" fontId="0" fillId="0" borderId="0" xfId="0" applyNumberFormat="1" applyAlignment="1">
      <alignment horizontal="center" vertical="center"/>
    </xf>
    <xf numFmtId="0" fontId="5" fillId="0" borderId="1" xfId="0" applyFont="1" applyBorder="1" applyAlignment="1">
      <alignment horizontal="center" vertical="center"/>
    </xf>
    <xf numFmtId="43" fontId="0" fillId="0" borderId="1" xfId="0" applyNumberFormat="1" applyBorder="1" applyAlignment="1">
      <alignment vertical="center"/>
    </xf>
    <xf numFmtId="0" fontId="5" fillId="51" borderId="1" xfId="0" applyFont="1" applyFill="1" applyBorder="1" applyAlignment="1">
      <alignment horizontal="center" vertical="center"/>
    </xf>
    <xf numFmtId="43" fontId="3" fillId="51" borderId="1" xfId="0" applyNumberFormat="1" applyFont="1" applyFill="1" applyBorder="1" applyAlignment="1">
      <alignment vertical="center"/>
    </xf>
    <xf numFmtId="2" fontId="0" fillId="0" borderId="0" xfId="0" applyNumberFormat="1" applyAlignment="1">
      <alignment horizontal="center" vertical="center"/>
    </xf>
    <xf numFmtId="231" fontId="136" fillId="48" borderId="32" xfId="0" applyNumberFormat="1" applyFont="1" applyFill="1" applyBorder="1" applyAlignment="1">
      <alignment horizontal="center" vertical="center"/>
    </xf>
    <xf numFmtId="10" fontId="0" fillId="0" borderId="0" xfId="2" applyNumberFormat="1" applyFont="1" applyAlignment="1">
      <alignment horizontal="center" vertical="center"/>
    </xf>
    <xf numFmtId="227" fontId="0" fillId="0" borderId="0" xfId="0" applyNumberFormat="1" applyAlignment="1">
      <alignment horizontal="center" vertical="center"/>
    </xf>
    <xf numFmtId="2" fontId="3" fillId="0" borderId="0" xfId="0" applyNumberFormat="1" applyFont="1" applyAlignment="1">
      <alignment horizontal="center" vertical="center"/>
    </xf>
    <xf numFmtId="10" fontId="0" fillId="0" borderId="0" xfId="0" applyNumberFormat="1" applyAlignment="1">
      <alignment horizontal="center" vertical="center"/>
    </xf>
    <xf numFmtId="10" fontId="138" fillId="0" borderId="1" xfId="2" applyNumberFormat="1" applyFont="1" applyBorder="1" applyAlignment="1">
      <alignment horizontal="right" vertical="center" shrinkToFit="1"/>
    </xf>
    <xf numFmtId="43" fontId="135" fillId="0" borderId="1" xfId="1" applyFont="1" applyFill="1" applyBorder="1" applyAlignment="1">
      <alignment horizontal="right" vertical="center" shrinkToFit="1"/>
    </xf>
    <xf numFmtId="43" fontId="135" fillId="0" borderId="1" xfId="1" applyFont="1" applyBorder="1" applyAlignment="1">
      <alignment horizontal="right" vertical="center"/>
    </xf>
    <xf numFmtId="43" fontId="137" fillId="54" borderId="1" xfId="1" applyFont="1" applyFill="1" applyBorder="1" applyAlignment="1">
      <alignment horizontal="right" vertical="center" shrinkToFit="1"/>
    </xf>
    <xf numFmtId="43" fontId="135" fillId="0" borderId="1" xfId="1" applyFont="1" applyBorder="1" applyAlignment="1">
      <alignment horizontal="right" vertical="center" shrinkToFit="1"/>
    </xf>
    <xf numFmtId="43" fontId="137" fillId="54" borderId="1" xfId="0" applyNumberFormat="1" applyFont="1" applyFill="1" applyBorder="1" applyAlignment="1">
      <alignment horizontal="right" vertical="center"/>
    </xf>
    <xf numFmtId="0" fontId="136" fillId="48" borderId="1" xfId="0" applyFont="1" applyFill="1" applyBorder="1" applyAlignment="1">
      <alignment horizontal="left" vertical="center"/>
    </xf>
    <xf numFmtId="231" fontId="136" fillId="48" borderId="1" xfId="0" applyNumberFormat="1" applyFont="1" applyFill="1" applyBorder="1" applyAlignment="1">
      <alignment horizontal="center" vertical="center"/>
    </xf>
    <xf numFmtId="0" fontId="135" fillId="0" borderId="1" xfId="0" applyFont="1" applyBorder="1" applyAlignment="1">
      <alignment horizontal="left" vertical="top"/>
    </xf>
    <xf numFmtId="0" fontId="137" fillId="54" borderId="1" xfId="0" applyFont="1" applyFill="1" applyBorder="1" applyAlignment="1">
      <alignment horizontal="left" vertical="top"/>
    </xf>
    <xf numFmtId="0" fontId="138" fillId="0" borderId="1" xfId="0" applyFont="1" applyBorder="1" applyAlignment="1">
      <alignment horizontal="left" vertical="center"/>
    </xf>
    <xf numFmtId="0" fontId="137" fillId="51" borderId="1" xfId="0" applyFont="1" applyFill="1" applyBorder="1" applyAlignment="1">
      <alignment horizontal="left" vertical="top"/>
    </xf>
    <xf numFmtId="0" fontId="0" fillId="0" borderId="0" xfId="0" applyAlignment="1">
      <alignment horizontal="center" wrapText="1"/>
    </xf>
    <xf numFmtId="0" fontId="2" fillId="52" borderId="37" xfId="0" applyFont="1" applyFill="1" applyBorder="1" applyAlignment="1">
      <alignment horizontal="center" vertical="center"/>
    </xf>
    <xf numFmtId="0" fontId="2" fillId="52" borderId="38" xfId="0" applyFont="1" applyFill="1" applyBorder="1" applyAlignment="1">
      <alignment horizontal="center" vertical="center"/>
    </xf>
    <xf numFmtId="0" fontId="2" fillId="52" borderId="39" xfId="0" applyFont="1" applyFill="1" applyBorder="1" applyAlignment="1">
      <alignment horizontal="center" vertical="center"/>
    </xf>
    <xf numFmtId="0" fontId="2" fillId="52" borderId="40" xfId="0" applyFont="1" applyFill="1" applyBorder="1" applyAlignment="1">
      <alignment horizontal="center" vertical="center"/>
    </xf>
    <xf numFmtId="0" fontId="2" fillId="48" borderId="3" xfId="0" applyFont="1" applyFill="1" applyBorder="1" applyAlignment="1">
      <alignment horizontal="left" vertical="center"/>
    </xf>
    <xf numFmtId="0" fontId="2" fillId="48" borderId="41" xfId="0" applyFont="1" applyFill="1" applyBorder="1" applyAlignment="1">
      <alignment horizontal="left" vertical="center"/>
    </xf>
    <xf numFmtId="0" fontId="135" fillId="0" borderId="0" xfId="0" applyFont="1" applyFill="1"/>
    <xf numFmtId="0" fontId="135" fillId="0" borderId="0" xfId="0" applyFont="1" applyFill="1" applyAlignment="1">
      <alignment horizontal="right" vertical="center"/>
    </xf>
    <xf numFmtId="2" fontId="0" fillId="0" borderId="0" xfId="0" applyNumberFormat="1" applyFill="1" applyAlignment="1">
      <alignment horizontal="center" vertical="center"/>
    </xf>
    <xf numFmtId="0" fontId="0" fillId="0" borderId="0" xfId="0" applyFill="1" applyAlignment="1">
      <alignment horizontal="center" vertical="center"/>
    </xf>
    <xf numFmtId="227" fontId="0" fillId="0" borderId="0" xfId="0" applyNumberFormat="1" applyFill="1" applyAlignment="1">
      <alignment horizontal="center" vertical="center"/>
    </xf>
    <xf numFmtId="0" fontId="0" fillId="0" borderId="0" xfId="0" applyFill="1"/>
    <xf numFmtId="43" fontId="0" fillId="0" borderId="0" xfId="1" applyFont="1" applyFill="1"/>
    <xf numFmtId="2" fontId="0" fillId="0" borderId="0" xfId="0" applyNumberFormat="1" applyFill="1"/>
    <xf numFmtId="43" fontId="0" fillId="0" borderId="0" xfId="0" applyNumberFormat="1" applyFill="1"/>
    <xf numFmtId="0" fontId="3" fillId="51" borderId="0" xfId="0" applyFont="1" applyFill="1" applyBorder="1"/>
    <xf numFmtId="10" fontId="3" fillId="51" borderId="0" xfId="2" applyNumberFormat="1" applyFont="1" applyFill="1" applyBorder="1"/>
    <xf numFmtId="10" fontId="3" fillId="51" borderId="0" xfId="2" applyNumberFormat="1" applyFont="1" applyFill="1"/>
  </cellXfs>
  <cellStyles count="653">
    <cellStyle name="_x0010_" xfId="17" xr:uid="{00000000-0005-0000-0000-000000000000}"/>
    <cellStyle name="_x0010_ 2" xfId="18" xr:uid="{00000000-0005-0000-0000-000001000000}"/>
    <cellStyle name="%" xfId="19" xr:uid="{00000000-0005-0000-0000-000002000000}"/>
    <cellStyle name="% 2" xfId="20" xr:uid="{00000000-0005-0000-0000-000003000000}"/>
    <cellStyle name="%_021208Si mobil slovenia" xfId="21" xr:uid="{00000000-0005-0000-0000-000004000000}"/>
    <cellStyle name="%_Croatia_final110208" xfId="22" xr:uid="{00000000-0005-0000-0000-000005000000}"/>
    <cellStyle name="%_Financial Model" xfId="23" xr:uid="{00000000-0005-0000-0000-000006000000}"/>
    <cellStyle name="%_Financial Model-Telekom Austria_021108" xfId="24" xr:uid="{00000000-0005-0000-0000-000007000000}"/>
    <cellStyle name="%_Liechstein" xfId="25" xr:uid="{00000000-0005-0000-0000-000008000000}"/>
    <cellStyle name="%_other markets150208" xfId="26" xr:uid="{00000000-0005-0000-0000-000009000000}"/>
    <cellStyle name="_%(SignOnly)" xfId="27" xr:uid="{00000000-0005-0000-0000-00000A000000}"/>
    <cellStyle name="_%(SignSpaceOnly)" xfId="28" xr:uid="{00000000-0005-0000-0000-00000B000000}"/>
    <cellStyle name="_020708Mobilekomaustria" xfId="29" xr:uid="{00000000-0005-0000-0000-00000C000000}"/>
    <cellStyle name="_Balance sheet AR -31-Oct-08 RHI Clasil" xfId="30" xr:uid="{00000000-0005-0000-0000-00000D000000}"/>
    <cellStyle name="_Column1" xfId="31" xr:uid="{00000000-0005-0000-0000-00000E000000}"/>
    <cellStyle name="_Column2" xfId="32" xr:uid="{00000000-0005-0000-0000-00000F000000}"/>
    <cellStyle name="_Column3" xfId="33" xr:uid="{00000000-0005-0000-0000-000010000000}"/>
    <cellStyle name="_Column4" xfId="34" xr:uid="{00000000-0005-0000-0000-000011000000}"/>
    <cellStyle name="_Column5" xfId="35" xr:uid="{00000000-0005-0000-0000-000012000000}"/>
    <cellStyle name="_Column6" xfId="36" xr:uid="{00000000-0005-0000-0000-000013000000}"/>
    <cellStyle name="_Column7" xfId="37" xr:uid="{00000000-0005-0000-0000-000014000000}"/>
    <cellStyle name="_Comma" xfId="38" xr:uid="{00000000-0005-0000-0000-000015000000}"/>
    <cellStyle name="_Copy of Financials SCEL" xfId="39" xr:uid="{00000000-0005-0000-0000-000016000000}"/>
    <cellStyle name="_Currency" xfId="40" xr:uid="{00000000-0005-0000-0000-000017000000}"/>
    <cellStyle name="_CurrencySpace" xfId="41" xr:uid="{00000000-0005-0000-0000-000018000000}"/>
    <cellStyle name="_Data" xfId="42" xr:uid="{00000000-0005-0000-0000-000019000000}"/>
    <cellStyle name="_Deferred Tax Workings" xfId="43" xr:uid="{00000000-0005-0000-0000-00001A000000}"/>
    <cellStyle name="_Deferred Tax Workings 2" xfId="44" xr:uid="{00000000-0005-0000-0000-00001B000000}"/>
    <cellStyle name="_Depr Dec'09-final" xfId="45" xr:uid="{00000000-0005-0000-0000-00001C000000}"/>
    <cellStyle name="_DSHP03-FINAL" xfId="46" xr:uid="{00000000-0005-0000-0000-00001D000000}"/>
    <cellStyle name="_DSHP03-FINAL_1" xfId="47" xr:uid="{00000000-0005-0000-0000-00001E000000}"/>
    <cellStyle name="_DSHP03-FINAL_2" xfId="48" xr:uid="{00000000-0005-0000-0000-00001F000000}"/>
    <cellStyle name="_Euro" xfId="49" xr:uid="{00000000-0005-0000-0000-000020000000}"/>
    <cellStyle name="_fixed assets-30 june 08" xfId="50" xr:uid="{00000000-0005-0000-0000-000021000000}"/>
    <cellStyle name="_Formatted Financials_TSI CHN 113" xfId="51" xr:uid="{00000000-0005-0000-0000-000022000000}"/>
    <cellStyle name="_Header" xfId="52" xr:uid="{00000000-0005-0000-0000-000023000000}"/>
    <cellStyle name="_Heading" xfId="53" xr:uid="{00000000-0005-0000-0000-000024000000}"/>
    <cellStyle name="_Highlight" xfId="54" xr:uid="{00000000-0005-0000-0000-000025000000}"/>
    <cellStyle name="_Multiple" xfId="55" xr:uid="{00000000-0005-0000-0000-000026000000}"/>
    <cellStyle name="_MultipleSpace" xfId="56" xr:uid="{00000000-0005-0000-0000-000027000000}"/>
    <cellStyle name="_PL AR - 31 Mar 09-RHI Clasil ( Mar 09)-year end" xfId="57" xr:uid="{00000000-0005-0000-0000-000028000000}"/>
    <cellStyle name="_Row1" xfId="58" xr:uid="{00000000-0005-0000-0000-000029000000}"/>
    <cellStyle name="_Row2" xfId="59" xr:uid="{00000000-0005-0000-0000-00002A000000}"/>
    <cellStyle name="_Row3" xfId="60" xr:uid="{00000000-0005-0000-0000-00002B000000}"/>
    <cellStyle name="_Row4" xfId="61" xr:uid="{00000000-0005-0000-0000-00002C000000}"/>
    <cellStyle name="_Row5" xfId="62" xr:uid="{00000000-0005-0000-0000-00002D000000}"/>
    <cellStyle name="_Row6" xfId="63" xr:uid="{00000000-0005-0000-0000-00002E000000}"/>
    <cellStyle name="_Row7" xfId="64" xr:uid="{00000000-0005-0000-0000-00002F000000}"/>
    <cellStyle name="_Schedule VI- GLSP - BSR" xfId="65" xr:uid="{00000000-0005-0000-0000-000030000000}"/>
    <cellStyle name="_Sieger Financials June 2008 " xfId="66" xr:uid="{00000000-0005-0000-0000-000031000000}"/>
    <cellStyle name="_Sieger Financials June 2008  2" xfId="67" xr:uid="{00000000-0005-0000-0000-000032000000}"/>
    <cellStyle name="_SPCL BS as on 31ST Mar 2010 - Final" xfId="68" xr:uid="{00000000-0005-0000-0000-000033000000}"/>
    <cellStyle name="_SPCL Combined BS as on 30th Sep'09 give to SBI" xfId="69" xr:uid="{00000000-0005-0000-0000-000034000000}"/>
    <cellStyle name="_SPCL Financials PE- 31-Dec-09 to SBI kolkata" xfId="70" xr:uid="{00000000-0005-0000-0000-000035000000}"/>
    <cellStyle name="_SPCL Financials PE- 31-Dec-09 to SBI kolkata 2" xfId="71" xr:uid="{00000000-0005-0000-0000-000036000000}"/>
    <cellStyle name="_SPCL Financials PE- 31-Dec-09 to SBI kolkata Coal &amp; Power" xfId="72" xr:uid="{00000000-0005-0000-0000-000037000000}"/>
    <cellStyle name="_SPCL Financials PE- 31-Dec-09 to SBI kolkata Coal &amp; Power 2" xfId="73" xr:uid="{00000000-0005-0000-0000-000038000000}"/>
    <cellStyle name="_SubHeading" xfId="74" xr:uid="{00000000-0005-0000-0000-000039000000}"/>
    <cellStyle name="_Table" xfId="75" xr:uid="{00000000-0005-0000-0000-00003A000000}"/>
    <cellStyle name="_TableHead" xfId="76" xr:uid="{00000000-0005-0000-0000-00003B000000}"/>
    <cellStyle name="_TableRowHead" xfId="77" xr:uid="{00000000-0005-0000-0000-00003C000000}"/>
    <cellStyle name="_TableSuperHead" xfId="78" xr:uid="{00000000-0005-0000-0000-00003D000000}"/>
    <cellStyle name="_Template mobile (2)" xfId="79" xr:uid="{00000000-0005-0000-0000-00003E000000}"/>
    <cellStyle name="=C:\WINNT\SYSTEM32\COMMAND.COM" xfId="80" xr:uid="{00000000-0005-0000-0000-00003F000000}"/>
    <cellStyle name="=C:\WINNT\SYSTEM32\COMMAND.COM 2" xfId="81" xr:uid="{00000000-0005-0000-0000-000040000000}"/>
    <cellStyle name="=C:\WINNT35\SYSTEM32\COMMAND.COM" xfId="82" xr:uid="{00000000-0005-0000-0000-000041000000}"/>
    <cellStyle name="0" xfId="83" xr:uid="{00000000-0005-0000-0000-000042000000}"/>
    <cellStyle name="20% - Accent1 2" xfId="84" xr:uid="{00000000-0005-0000-0000-000043000000}"/>
    <cellStyle name="20% - Accent2 2" xfId="85" xr:uid="{00000000-0005-0000-0000-000044000000}"/>
    <cellStyle name="20% - Accent3 2" xfId="86" xr:uid="{00000000-0005-0000-0000-000045000000}"/>
    <cellStyle name="20% - Accent4 2" xfId="87" xr:uid="{00000000-0005-0000-0000-000046000000}"/>
    <cellStyle name="20% - Accent5 2" xfId="88" xr:uid="{00000000-0005-0000-0000-000047000000}"/>
    <cellStyle name="20% - Accent6 2" xfId="89" xr:uid="{00000000-0005-0000-0000-000048000000}"/>
    <cellStyle name="2decimal" xfId="90" xr:uid="{00000000-0005-0000-0000-000049000000}"/>
    <cellStyle name="40% - Accent1 2" xfId="91" xr:uid="{00000000-0005-0000-0000-00004A000000}"/>
    <cellStyle name="40% - Accent2 2" xfId="92" xr:uid="{00000000-0005-0000-0000-00004B000000}"/>
    <cellStyle name="40% - Accent3 2" xfId="93" xr:uid="{00000000-0005-0000-0000-00004C000000}"/>
    <cellStyle name="40% - Accent4 2" xfId="94" xr:uid="{00000000-0005-0000-0000-00004D000000}"/>
    <cellStyle name="40% - Accent5 2" xfId="95" xr:uid="{00000000-0005-0000-0000-00004E000000}"/>
    <cellStyle name="40% - Accent6 2" xfId="96" xr:uid="{00000000-0005-0000-0000-00004F000000}"/>
    <cellStyle name="60% - Accent1 2" xfId="97" xr:uid="{00000000-0005-0000-0000-000050000000}"/>
    <cellStyle name="60% - Accent2 2" xfId="98" xr:uid="{00000000-0005-0000-0000-000051000000}"/>
    <cellStyle name="60% - Accent3 2" xfId="99" xr:uid="{00000000-0005-0000-0000-000052000000}"/>
    <cellStyle name="60% - Accent4 2" xfId="100" xr:uid="{00000000-0005-0000-0000-000053000000}"/>
    <cellStyle name="60% - Accent5 2" xfId="101" xr:uid="{00000000-0005-0000-0000-000054000000}"/>
    <cellStyle name="60% - Accent6 2" xfId="102" xr:uid="{00000000-0005-0000-0000-000055000000}"/>
    <cellStyle name="6mal" xfId="103" xr:uid="{00000000-0005-0000-0000-000056000000}"/>
    <cellStyle name="75" xfId="104" xr:uid="{00000000-0005-0000-0000-000057000000}"/>
    <cellStyle name="75 2" xfId="105" xr:uid="{00000000-0005-0000-0000-000058000000}"/>
    <cellStyle name="Accent1 2" xfId="106" xr:uid="{00000000-0005-0000-0000-000059000000}"/>
    <cellStyle name="Accent2 2" xfId="107" xr:uid="{00000000-0005-0000-0000-00005A000000}"/>
    <cellStyle name="Accent3 2" xfId="108" xr:uid="{00000000-0005-0000-0000-00005B000000}"/>
    <cellStyle name="Accent4 2" xfId="109" xr:uid="{00000000-0005-0000-0000-00005C000000}"/>
    <cellStyle name="Accent5 2" xfId="110" xr:uid="{00000000-0005-0000-0000-00005D000000}"/>
    <cellStyle name="Accent6 2" xfId="111" xr:uid="{00000000-0005-0000-0000-00005E000000}"/>
    <cellStyle name="active" xfId="112" xr:uid="{00000000-0005-0000-0000-00005F000000}"/>
    <cellStyle name="ÅëÈ­ [0]_±âÅ¸" xfId="113" xr:uid="{00000000-0005-0000-0000-000060000000}"/>
    <cellStyle name="ÅëÈ­_±âÅ¸" xfId="114" xr:uid="{00000000-0005-0000-0000-000061000000}"/>
    <cellStyle name="args.style" xfId="115" xr:uid="{00000000-0005-0000-0000-000062000000}"/>
    <cellStyle name="ÄÞ¸¶ [0]_±âÅ¸" xfId="116" xr:uid="{00000000-0005-0000-0000-000063000000}"/>
    <cellStyle name="ÄÞ¸¶_±âÅ¸" xfId="117" xr:uid="{00000000-0005-0000-0000-000064000000}"/>
    <cellStyle name="auf tausender" xfId="118" xr:uid="{00000000-0005-0000-0000-000065000000}"/>
    <cellStyle name="Bad 2" xfId="119" xr:uid="{00000000-0005-0000-0000-000066000000}"/>
    <cellStyle name="Body" xfId="120" xr:uid="{00000000-0005-0000-0000-000067000000}"/>
    <cellStyle name="Bold" xfId="121" xr:uid="{00000000-0005-0000-0000-000068000000}"/>
    <cellStyle name="Bold Label" xfId="122" xr:uid="{00000000-0005-0000-0000-000069000000}"/>
    <cellStyle name="C¡IA¨ª_¡ic¨u¡A¨￢I¨￢¡Æ AN¡Æe " xfId="123" xr:uid="{00000000-0005-0000-0000-00006A000000}"/>
    <cellStyle name="Ç¥ÁØ_¿¬°£´©°è¿¹»ó" xfId="124" xr:uid="{00000000-0005-0000-0000-00006B000000}"/>
    <cellStyle name="C￥AØ_¿uº°A¸≫c½CAu_³≫ºI°eE¹´e AßA¤A÷AI " xfId="125" xr:uid="{00000000-0005-0000-0000-00006C000000}"/>
    <cellStyle name="Ç¥ÁØ_»ç¾÷ºÎº° ÃÑ°è " xfId="126" xr:uid="{00000000-0005-0000-0000-00006D000000}"/>
    <cellStyle name="C￥AØ_≫c¾÷ºIº° AN°e " xfId="127" xr:uid="{00000000-0005-0000-0000-00006E000000}"/>
    <cellStyle name="Ç¥ÁØ_0N-HANDLING " xfId="128" xr:uid="{00000000-0005-0000-0000-00006F000000}"/>
    <cellStyle name="C￥AØ_¼±AoAc°i_1_³≫ºI°eE¹´e AßA¤A÷AI " xfId="129" xr:uid="{00000000-0005-0000-0000-000070000000}"/>
    <cellStyle name="Ç¥ÁØ_5-1±¤°í " xfId="130" xr:uid="{00000000-0005-0000-0000-000071000000}"/>
    <cellStyle name="C￥AØ_5-1±¤°i _6RCB1 " xfId="131" xr:uid="{00000000-0005-0000-0000-000072000000}"/>
    <cellStyle name="Ç¥ÁØ_Áý°èÇ¥(2¿ù) " xfId="132" xr:uid="{00000000-0005-0000-0000-000073000000}"/>
    <cellStyle name="C￥AØ_CoAo¹yAI °A¾×¿ⓒ½A " xfId="133" xr:uid="{00000000-0005-0000-0000-000074000000}"/>
    <cellStyle name="Ç¥ÁØ_Sheet1_¿µ¾÷ÇöÈ² " xfId="134" xr:uid="{00000000-0005-0000-0000-000075000000}"/>
    <cellStyle name="C00A" xfId="135" xr:uid="{00000000-0005-0000-0000-000076000000}"/>
    <cellStyle name="C00B" xfId="136" xr:uid="{00000000-0005-0000-0000-000077000000}"/>
    <cellStyle name="C00L" xfId="137" xr:uid="{00000000-0005-0000-0000-000078000000}"/>
    <cellStyle name="C01A" xfId="138" xr:uid="{00000000-0005-0000-0000-000079000000}"/>
    <cellStyle name="C01B" xfId="139" xr:uid="{00000000-0005-0000-0000-00007A000000}"/>
    <cellStyle name="C01H" xfId="140" xr:uid="{00000000-0005-0000-0000-00007B000000}"/>
    <cellStyle name="C01L" xfId="141" xr:uid="{00000000-0005-0000-0000-00007C000000}"/>
    <cellStyle name="C02A" xfId="142" xr:uid="{00000000-0005-0000-0000-00007D000000}"/>
    <cellStyle name="C02B" xfId="143" xr:uid="{00000000-0005-0000-0000-00007E000000}"/>
    <cellStyle name="C02H" xfId="144" xr:uid="{00000000-0005-0000-0000-00007F000000}"/>
    <cellStyle name="C02L" xfId="145" xr:uid="{00000000-0005-0000-0000-000080000000}"/>
    <cellStyle name="C03A" xfId="146" xr:uid="{00000000-0005-0000-0000-000081000000}"/>
    <cellStyle name="C03B" xfId="147" xr:uid="{00000000-0005-0000-0000-000082000000}"/>
    <cellStyle name="C03H" xfId="148" xr:uid="{00000000-0005-0000-0000-000083000000}"/>
    <cellStyle name="C03L" xfId="149" xr:uid="{00000000-0005-0000-0000-000084000000}"/>
    <cellStyle name="C04A" xfId="150" xr:uid="{00000000-0005-0000-0000-000085000000}"/>
    <cellStyle name="C04B" xfId="151" xr:uid="{00000000-0005-0000-0000-000086000000}"/>
    <cellStyle name="C04H" xfId="152" xr:uid="{00000000-0005-0000-0000-000087000000}"/>
    <cellStyle name="C04L" xfId="153" xr:uid="{00000000-0005-0000-0000-000088000000}"/>
    <cellStyle name="C05A" xfId="154" xr:uid="{00000000-0005-0000-0000-000089000000}"/>
    <cellStyle name="C05B" xfId="155" xr:uid="{00000000-0005-0000-0000-00008A000000}"/>
    <cellStyle name="C05H" xfId="156" xr:uid="{00000000-0005-0000-0000-00008B000000}"/>
    <cellStyle name="C05L" xfId="157" xr:uid="{00000000-0005-0000-0000-00008C000000}"/>
    <cellStyle name="C06A" xfId="158" xr:uid="{00000000-0005-0000-0000-00008D000000}"/>
    <cellStyle name="C06B" xfId="159" xr:uid="{00000000-0005-0000-0000-00008E000000}"/>
    <cellStyle name="C06H" xfId="160" xr:uid="{00000000-0005-0000-0000-00008F000000}"/>
    <cellStyle name="C06L" xfId="161" xr:uid="{00000000-0005-0000-0000-000090000000}"/>
    <cellStyle name="C07A" xfId="162" xr:uid="{00000000-0005-0000-0000-000091000000}"/>
    <cellStyle name="C07B" xfId="163" xr:uid="{00000000-0005-0000-0000-000092000000}"/>
    <cellStyle name="C07H" xfId="164" xr:uid="{00000000-0005-0000-0000-000093000000}"/>
    <cellStyle name="C07L" xfId="165" xr:uid="{00000000-0005-0000-0000-000094000000}"/>
    <cellStyle name="Calc Currency (0)" xfId="166" xr:uid="{00000000-0005-0000-0000-000095000000}"/>
    <cellStyle name="Calc Currency (2)" xfId="167" xr:uid="{00000000-0005-0000-0000-000096000000}"/>
    <cellStyle name="Calc Percent (0)" xfId="168" xr:uid="{00000000-0005-0000-0000-000097000000}"/>
    <cellStyle name="Calc Percent (1)" xfId="169" xr:uid="{00000000-0005-0000-0000-000098000000}"/>
    <cellStyle name="Calc Percent (2)" xfId="170" xr:uid="{00000000-0005-0000-0000-000099000000}"/>
    <cellStyle name="Calc Units (0)" xfId="171" xr:uid="{00000000-0005-0000-0000-00009A000000}"/>
    <cellStyle name="Calc Units (1)" xfId="172" xr:uid="{00000000-0005-0000-0000-00009B000000}"/>
    <cellStyle name="Calc Units (2)" xfId="173" xr:uid="{00000000-0005-0000-0000-00009C000000}"/>
    <cellStyle name="Calculation 2" xfId="174" xr:uid="{00000000-0005-0000-0000-00009D000000}"/>
    <cellStyle name="category" xfId="175" xr:uid="{00000000-0005-0000-0000-00009E000000}"/>
    <cellStyle name="Check Cell 2" xfId="176" xr:uid="{00000000-0005-0000-0000-00009F000000}"/>
    <cellStyle name="Column Title" xfId="177" xr:uid="{00000000-0005-0000-0000-0000A0000000}"/>
    <cellStyle name="Column_Title" xfId="178" xr:uid="{00000000-0005-0000-0000-0000A1000000}"/>
    <cellStyle name="Comma" xfId="1" builtinId="3"/>
    <cellStyle name="Comma  - Style1" xfId="179" xr:uid="{00000000-0005-0000-0000-0000A3000000}"/>
    <cellStyle name="Comma  - Style1 2" xfId="180" xr:uid="{00000000-0005-0000-0000-0000A4000000}"/>
    <cellStyle name="Comma  - Style1 3" xfId="181" xr:uid="{00000000-0005-0000-0000-0000A5000000}"/>
    <cellStyle name="Comma  - Style2" xfId="182" xr:uid="{00000000-0005-0000-0000-0000A6000000}"/>
    <cellStyle name="Comma  - Style2 2" xfId="183" xr:uid="{00000000-0005-0000-0000-0000A7000000}"/>
    <cellStyle name="Comma  - Style2 3" xfId="184" xr:uid="{00000000-0005-0000-0000-0000A8000000}"/>
    <cellStyle name="Comma  - Style3" xfId="185" xr:uid="{00000000-0005-0000-0000-0000A9000000}"/>
    <cellStyle name="Comma  - Style3 2" xfId="186" xr:uid="{00000000-0005-0000-0000-0000AA000000}"/>
    <cellStyle name="Comma  - Style3 3" xfId="187" xr:uid="{00000000-0005-0000-0000-0000AB000000}"/>
    <cellStyle name="Comma  - Style4" xfId="188" xr:uid="{00000000-0005-0000-0000-0000AC000000}"/>
    <cellStyle name="Comma  - Style4 2" xfId="189" xr:uid="{00000000-0005-0000-0000-0000AD000000}"/>
    <cellStyle name="Comma  - Style4 3" xfId="190" xr:uid="{00000000-0005-0000-0000-0000AE000000}"/>
    <cellStyle name="Comma  - Style5" xfId="191" xr:uid="{00000000-0005-0000-0000-0000AF000000}"/>
    <cellStyle name="Comma  - Style5 2" xfId="192" xr:uid="{00000000-0005-0000-0000-0000B0000000}"/>
    <cellStyle name="Comma  - Style5 3" xfId="193" xr:uid="{00000000-0005-0000-0000-0000B1000000}"/>
    <cellStyle name="Comma  - Style6" xfId="194" xr:uid="{00000000-0005-0000-0000-0000B2000000}"/>
    <cellStyle name="Comma  - Style6 2" xfId="195" xr:uid="{00000000-0005-0000-0000-0000B3000000}"/>
    <cellStyle name="Comma  - Style6 3" xfId="196" xr:uid="{00000000-0005-0000-0000-0000B4000000}"/>
    <cellStyle name="Comma  - Style7" xfId="197" xr:uid="{00000000-0005-0000-0000-0000B5000000}"/>
    <cellStyle name="Comma  - Style7 2" xfId="198" xr:uid="{00000000-0005-0000-0000-0000B6000000}"/>
    <cellStyle name="Comma  - Style7 3" xfId="199" xr:uid="{00000000-0005-0000-0000-0000B7000000}"/>
    <cellStyle name="Comma  - Style8" xfId="200" xr:uid="{00000000-0005-0000-0000-0000B8000000}"/>
    <cellStyle name="Comma  - Style8 2" xfId="201" xr:uid="{00000000-0005-0000-0000-0000B9000000}"/>
    <cellStyle name="Comma  - Style8 3" xfId="202" xr:uid="{00000000-0005-0000-0000-0000BA000000}"/>
    <cellStyle name="Comma [00]" xfId="203" xr:uid="{00000000-0005-0000-0000-0000BB000000}"/>
    <cellStyle name="Comma [2]" xfId="204" xr:uid="{00000000-0005-0000-0000-0000BC000000}"/>
    <cellStyle name="Comma 10" xfId="9" xr:uid="{00000000-0005-0000-0000-0000BD000000}"/>
    <cellStyle name="Comma 10 10 10" xfId="205" xr:uid="{00000000-0005-0000-0000-0000BE000000}"/>
    <cellStyle name="Comma 10 2" xfId="206" xr:uid="{00000000-0005-0000-0000-0000BF000000}"/>
    <cellStyle name="Comma 10 3" xfId="207" xr:uid="{00000000-0005-0000-0000-0000C0000000}"/>
    <cellStyle name="Comma 10 4" xfId="644" xr:uid="{00000000-0005-0000-0000-0000C1000000}"/>
    <cellStyle name="Comma 10 5" xfId="10" xr:uid="{00000000-0005-0000-0000-0000C2000000}"/>
    <cellStyle name="Comma 10 6" xfId="12" xr:uid="{00000000-0005-0000-0000-0000C3000000}"/>
    <cellStyle name="Comma 10 7" xfId="14" xr:uid="{00000000-0005-0000-0000-0000C4000000}"/>
    <cellStyle name="Comma 11" xfId="208" xr:uid="{00000000-0005-0000-0000-0000C5000000}"/>
    <cellStyle name="Comma 12" xfId="209" xr:uid="{00000000-0005-0000-0000-0000C6000000}"/>
    <cellStyle name="Comma 13" xfId="210" xr:uid="{00000000-0005-0000-0000-0000C7000000}"/>
    <cellStyle name="Comma 14" xfId="211" xr:uid="{00000000-0005-0000-0000-0000C8000000}"/>
    <cellStyle name="Comma 15" xfId="212" xr:uid="{00000000-0005-0000-0000-0000C9000000}"/>
    <cellStyle name="Comma 16" xfId="213" xr:uid="{00000000-0005-0000-0000-0000CA000000}"/>
    <cellStyle name="Comma 17" xfId="214" xr:uid="{00000000-0005-0000-0000-0000CB000000}"/>
    <cellStyle name="Comma 18" xfId="215" xr:uid="{00000000-0005-0000-0000-0000CC000000}"/>
    <cellStyle name="Comma 19" xfId="216" xr:uid="{00000000-0005-0000-0000-0000CD000000}"/>
    <cellStyle name="Comma 2" xfId="15" xr:uid="{00000000-0005-0000-0000-0000CE000000}"/>
    <cellStyle name="Comma 2 2" xfId="217" xr:uid="{00000000-0005-0000-0000-0000CF000000}"/>
    <cellStyle name="Comma 2 2 2" xfId="218" xr:uid="{00000000-0005-0000-0000-0000D0000000}"/>
    <cellStyle name="Comma 2 2 2 2" xfId="219" xr:uid="{00000000-0005-0000-0000-0000D1000000}"/>
    <cellStyle name="Comma 2 2 3" xfId="220" xr:uid="{00000000-0005-0000-0000-0000D2000000}"/>
    <cellStyle name="Comma 2 2 4" xfId="221" xr:uid="{00000000-0005-0000-0000-0000D3000000}"/>
    <cellStyle name="Comma 2 3" xfId="222" xr:uid="{00000000-0005-0000-0000-0000D4000000}"/>
    <cellStyle name="Comma 2 4" xfId="223" xr:uid="{00000000-0005-0000-0000-0000D5000000}"/>
    <cellStyle name="Comma 2 5" xfId="652" xr:uid="{241089F1-066A-4DD5-9AEF-04EBDE1EDFDE}"/>
    <cellStyle name="Comma 2 6" xfId="648" xr:uid="{00000000-0005-0000-0000-0000D6000000}"/>
    <cellStyle name="Comma 2 6 2" xfId="651" xr:uid="{00000000-0005-0000-0000-0000D7000000}"/>
    <cellStyle name="Comma 20" xfId="224" xr:uid="{00000000-0005-0000-0000-0000D8000000}"/>
    <cellStyle name="Comma 21" xfId="225" xr:uid="{00000000-0005-0000-0000-0000D9000000}"/>
    <cellStyle name="Comma 22" xfId="226" xr:uid="{00000000-0005-0000-0000-0000DA000000}"/>
    <cellStyle name="Comma 23" xfId="227" xr:uid="{00000000-0005-0000-0000-0000DB000000}"/>
    <cellStyle name="Comma 24" xfId="228" xr:uid="{00000000-0005-0000-0000-0000DC000000}"/>
    <cellStyle name="Comma 25" xfId="229" xr:uid="{00000000-0005-0000-0000-0000DD000000}"/>
    <cellStyle name="Comma 26" xfId="230" xr:uid="{00000000-0005-0000-0000-0000DE000000}"/>
    <cellStyle name="Comma 27" xfId="231" xr:uid="{00000000-0005-0000-0000-0000DF000000}"/>
    <cellStyle name="Comma 28" xfId="232" xr:uid="{00000000-0005-0000-0000-0000E0000000}"/>
    <cellStyle name="Comma 29" xfId="233" xr:uid="{00000000-0005-0000-0000-0000E1000000}"/>
    <cellStyle name="Comma 3" xfId="234" xr:uid="{00000000-0005-0000-0000-0000E2000000}"/>
    <cellStyle name="Comma 3 2" xfId="235" xr:uid="{00000000-0005-0000-0000-0000E3000000}"/>
    <cellStyle name="Comma 3 2 2" xfId="236" xr:uid="{00000000-0005-0000-0000-0000E4000000}"/>
    <cellStyle name="Comma 3 3" xfId="237" xr:uid="{00000000-0005-0000-0000-0000E5000000}"/>
    <cellStyle name="Comma 3 4" xfId="238" xr:uid="{00000000-0005-0000-0000-0000E6000000}"/>
    <cellStyle name="Comma 3 5" xfId="239" xr:uid="{00000000-0005-0000-0000-0000E7000000}"/>
    <cellStyle name="Comma 30" xfId="240" xr:uid="{00000000-0005-0000-0000-0000E8000000}"/>
    <cellStyle name="Comma 31" xfId="241" xr:uid="{00000000-0005-0000-0000-0000E9000000}"/>
    <cellStyle name="Comma 32" xfId="242" xr:uid="{00000000-0005-0000-0000-0000EA000000}"/>
    <cellStyle name="Comma 33" xfId="243" xr:uid="{00000000-0005-0000-0000-0000EB000000}"/>
    <cellStyle name="Comma 34" xfId="244" xr:uid="{00000000-0005-0000-0000-0000EC000000}"/>
    <cellStyle name="Comma 35" xfId="245" xr:uid="{00000000-0005-0000-0000-0000ED000000}"/>
    <cellStyle name="Comma 36" xfId="246" xr:uid="{00000000-0005-0000-0000-0000EE000000}"/>
    <cellStyle name="Comma 37" xfId="247" xr:uid="{00000000-0005-0000-0000-0000EF000000}"/>
    <cellStyle name="Comma 38" xfId="248" xr:uid="{00000000-0005-0000-0000-0000F0000000}"/>
    <cellStyle name="Comma 39" xfId="249" xr:uid="{00000000-0005-0000-0000-0000F1000000}"/>
    <cellStyle name="Comma 4" xfId="250" xr:uid="{00000000-0005-0000-0000-0000F2000000}"/>
    <cellStyle name="Comma 4 2" xfId="251" xr:uid="{00000000-0005-0000-0000-0000F3000000}"/>
    <cellStyle name="Comma 4 2 2" xfId="252" xr:uid="{00000000-0005-0000-0000-0000F4000000}"/>
    <cellStyle name="Comma 4 3" xfId="253" xr:uid="{00000000-0005-0000-0000-0000F5000000}"/>
    <cellStyle name="Comma 4 4" xfId="254" xr:uid="{00000000-0005-0000-0000-0000F6000000}"/>
    <cellStyle name="Comma 40" xfId="255" xr:uid="{00000000-0005-0000-0000-0000F7000000}"/>
    <cellStyle name="Comma 41" xfId="256" xr:uid="{00000000-0005-0000-0000-0000F8000000}"/>
    <cellStyle name="Comma 42" xfId="257" xr:uid="{00000000-0005-0000-0000-0000F9000000}"/>
    <cellStyle name="Comma 43" xfId="258" xr:uid="{00000000-0005-0000-0000-0000FA000000}"/>
    <cellStyle name="Comma 44" xfId="259" xr:uid="{00000000-0005-0000-0000-0000FB000000}"/>
    <cellStyle name="Comma 45" xfId="260" xr:uid="{00000000-0005-0000-0000-0000FC000000}"/>
    <cellStyle name="Comma 46" xfId="261" xr:uid="{00000000-0005-0000-0000-0000FD000000}"/>
    <cellStyle name="Comma 47" xfId="262" xr:uid="{00000000-0005-0000-0000-0000FE000000}"/>
    <cellStyle name="Comma 47 2" xfId="263" xr:uid="{00000000-0005-0000-0000-0000FF000000}"/>
    <cellStyle name="Comma 48" xfId="264" xr:uid="{00000000-0005-0000-0000-000000010000}"/>
    <cellStyle name="Comma 48 2" xfId="265" xr:uid="{00000000-0005-0000-0000-000001010000}"/>
    <cellStyle name="Comma 49" xfId="3" xr:uid="{00000000-0005-0000-0000-000002010000}"/>
    <cellStyle name="Comma 5" xfId="266" xr:uid="{00000000-0005-0000-0000-000003010000}"/>
    <cellStyle name="Comma 5 2" xfId="267" xr:uid="{00000000-0005-0000-0000-000004010000}"/>
    <cellStyle name="Comma 52" xfId="11" xr:uid="{00000000-0005-0000-0000-000005010000}"/>
    <cellStyle name="Comma 57" xfId="268" xr:uid="{00000000-0005-0000-0000-000006010000}"/>
    <cellStyle name="Comma 6" xfId="269" xr:uid="{00000000-0005-0000-0000-000007010000}"/>
    <cellStyle name="Comma 6 2" xfId="270" xr:uid="{00000000-0005-0000-0000-000008010000}"/>
    <cellStyle name="Comma 60" xfId="647" xr:uid="{00000000-0005-0000-0000-000009010000}"/>
    <cellStyle name="Comma 7" xfId="271" xr:uid="{00000000-0005-0000-0000-00000A010000}"/>
    <cellStyle name="Comma 7 2" xfId="272" xr:uid="{00000000-0005-0000-0000-00000B010000}"/>
    <cellStyle name="Comma 7 3" xfId="273" xr:uid="{00000000-0005-0000-0000-00000C010000}"/>
    <cellStyle name="Comma 7_it dep and ann-V" xfId="274" xr:uid="{00000000-0005-0000-0000-00000D010000}"/>
    <cellStyle name="Comma 8" xfId="275" xr:uid="{00000000-0005-0000-0000-00000E010000}"/>
    <cellStyle name="Comma 9" xfId="276" xr:uid="{00000000-0005-0000-0000-00000F010000}"/>
    <cellStyle name="Comma 9 2" xfId="277" xr:uid="{00000000-0005-0000-0000-000010010000}"/>
    <cellStyle name="Comma0" xfId="278" xr:uid="{00000000-0005-0000-0000-000011010000}"/>
    <cellStyle name="Comma0 2" xfId="279" xr:uid="{00000000-0005-0000-0000-000012010000}"/>
    <cellStyle name="Company" xfId="280" xr:uid="{00000000-0005-0000-0000-000013010000}"/>
    <cellStyle name="Copied" xfId="281" xr:uid="{00000000-0005-0000-0000-000014010000}"/>
    <cellStyle name="Currency [0]b" xfId="282" xr:uid="{00000000-0005-0000-0000-000015010000}"/>
    <cellStyle name="Currency [00]" xfId="283" xr:uid="{00000000-0005-0000-0000-000016010000}"/>
    <cellStyle name="Currency 2" xfId="284" xr:uid="{00000000-0005-0000-0000-000017010000}"/>
    <cellStyle name="currency(2)" xfId="285" xr:uid="{00000000-0005-0000-0000-000018010000}"/>
    <cellStyle name="Currency0" xfId="286" xr:uid="{00000000-0005-0000-0000-000019010000}"/>
    <cellStyle name="Currency0 2" xfId="287" xr:uid="{00000000-0005-0000-0000-00001A010000}"/>
    <cellStyle name="Currwncy [0]_laroux_1¿ùÈ¸ºñ³»¿ª (2)_±¸¹Ì´ëÃ¥" xfId="288" xr:uid="{00000000-0005-0000-0000-00001B010000}"/>
    <cellStyle name="Custom - Style8" xfId="289" xr:uid="{00000000-0005-0000-0000-00001C010000}"/>
    <cellStyle name="Data   - Style2" xfId="290" xr:uid="{00000000-0005-0000-0000-00001D010000}"/>
    <cellStyle name="Date" xfId="291" xr:uid="{00000000-0005-0000-0000-00001E010000}"/>
    <cellStyle name="Date 2" xfId="292" xr:uid="{00000000-0005-0000-0000-00001F010000}"/>
    <cellStyle name="Date Short" xfId="293" xr:uid="{00000000-0005-0000-0000-000020010000}"/>
    <cellStyle name="Date_Book3" xfId="294" xr:uid="{00000000-0005-0000-0000-000021010000}"/>
    <cellStyle name="Default" xfId="295" xr:uid="{00000000-0005-0000-0000-000022010000}"/>
    <cellStyle name="Define your own named style" xfId="296" xr:uid="{00000000-0005-0000-0000-000023010000}"/>
    <cellStyle name="DELTA" xfId="297" xr:uid="{00000000-0005-0000-0000-000024010000}"/>
    <cellStyle name="Dezimal [0]_Compiling Utility Macros" xfId="298" xr:uid="{00000000-0005-0000-0000-000025010000}"/>
    <cellStyle name="Dezimal_Compiling Utility Macros" xfId="299" xr:uid="{00000000-0005-0000-0000-000026010000}"/>
    <cellStyle name="dotted line" xfId="300" xr:uid="{00000000-0005-0000-0000-000027010000}"/>
    <cellStyle name="Draw lines around data in range" xfId="301" xr:uid="{00000000-0005-0000-0000-000028010000}"/>
    <cellStyle name="Draw shadow and lines within range" xfId="302" xr:uid="{00000000-0005-0000-0000-000029010000}"/>
    <cellStyle name="DSSTD" xfId="303" xr:uid="{00000000-0005-0000-0000-00002A010000}"/>
    <cellStyle name="E&amp;Y House" xfId="304" xr:uid="{00000000-0005-0000-0000-00002B010000}"/>
    <cellStyle name="Enlarge title text, yellow on blue" xfId="305" xr:uid="{00000000-0005-0000-0000-00002C010000}"/>
    <cellStyle name="Enter Currency (0)" xfId="306" xr:uid="{00000000-0005-0000-0000-00002D010000}"/>
    <cellStyle name="Enter Currency (2)" xfId="307" xr:uid="{00000000-0005-0000-0000-00002E010000}"/>
    <cellStyle name="Enter Units (0)" xfId="308" xr:uid="{00000000-0005-0000-0000-00002F010000}"/>
    <cellStyle name="Enter Units (1)" xfId="309" xr:uid="{00000000-0005-0000-0000-000030010000}"/>
    <cellStyle name="Enter Units (2)" xfId="310" xr:uid="{00000000-0005-0000-0000-000031010000}"/>
    <cellStyle name="Entered" xfId="311" xr:uid="{00000000-0005-0000-0000-000032010000}"/>
    <cellStyle name="EOL" xfId="312" xr:uid="{00000000-0005-0000-0000-000033010000}"/>
    <cellStyle name="Euro" xfId="313" xr:uid="{00000000-0005-0000-0000-000034010000}"/>
    <cellStyle name="Euro 2" xfId="314" xr:uid="{00000000-0005-0000-0000-000035010000}"/>
    <cellStyle name="Excel Built-in Normal" xfId="315" xr:uid="{00000000-0005-0000-0000-000036010000}"/>
    <cellStyle name="Excel Built-in Normal 2" xfId="316" xr:uid="{00000000-0005-0000-0000-000037010000}"/>
    <cellStyle name="Explanatory Text 2" xfId="317" xr:uid="{00000000-0005-0000-0000-000038010000}"/>
    <cellStyle name="F2" xfId="318" xr:uid="{00000000-0005-0000-0000-000039010000}"/>
    <cellStyle name="F2 2" xfId="319" xr:uid="{00000000-0005-0000-0000-00003A010000}"/>
    <cellStyle name="F3" xfId="320" xr:uid="{00000000-0005-0000-0000-00003B010000}"/>
    <cellStyle name="F3 2" xfId="321" xr:uid="{00000000-0005-0000-0000-00003C010000}"/>
    <cellStyle name="F4" xfId="322" xr:uid="{00000000-0005-0000-0000-00003D010000}"/>
    <cellStyle name="F4 2" xfId="323" xr:uid="{00000000-0005-0000-0000-00003E010000}"/>
    <cellStyle name="F5" xfId="324" xr:uid="{00000000-0005-0000-0000-00003F010000}"/>
    <cellStyle name="F5 2" xfId="325" xr:uid="{00000000-0005-0000-0000-000040010000}"/>
    <cellStyle name="F6" xfId="326" xr:uid="{00000000-0005-0000-0000-000041010000}"/>
    <cellStyle name="F6 2" xfId="327" xr:uid="{00000000-0005-0000-0000-000042010000}"/>
    <cellStyle name="F7" xfId="328" xr:uid="{00000000-0005-0000-0000-000043010000}"/>
    <cellStyle name="F7 2" xfId="329" xr:uid="{00000000-0005-0000-0000-000044010000}"/>
    <cellStyle name="F8" xfId="330" xr:uid="{00000000-0005-0000-0000-000045010000}"/>
    <cellStyle name="F8 2" xfId="331" xr:uid="{00000000-0005-0000-0000-000046010000}"/>
    <cellStyle name="Fixed" xfId="332" xr:uid="{00000000-0005-0000-0000-000047010000}"/>
    <cellStyle name="Fixed 2" xfId="333" xr:uid="{00000000-0005-0000-0000-000048010000}"/>
    <cellStyle name="Footnote" xfId="334" xr:uid="{00000000-0005-0000-0000-000049010000}"/>
    <cellStyle name="Format a column of totals" xfId="335" xr:uid="{00000000-0005-0000-0000-00004A010000}"/>
    <cellStyle name="Format a row of totals" xfId="336" xr:uid="{00000000-0005-0000-0000-00004B010000}"/>
    <cellStyle name="Format text as bold, black on yellow" xfId="337" xr:uid="{00000000-0005-0000-0000-00004C010000}"/>
    <cellStyle name="Formula" xfId="338" xr:uid="{00000000-0005-0000-0000-00004D010000}"/>
    <cellStyle name="Formula 2" xfId="339" xr:uid="{00000000-0005-0000-0000-00004E010000}"/>
    <cellStyle name="Good 2" xfId="340" xr:uid="{00000000-0005-0000-0000-00004F010000}"/>
    <cellStyle name="Grey" xfId="341" xr:uid="{00000000-0005-0000-0000-000050010000}"/>
    <cellStyle name="H1" xfId="342" xr:uid="{00000000-0005-0000-0000-000051010000}"/>
    <cellStyle name="H2" xfId="343" xr:uid="{00000000-0005-0000-0000-000052010000}"/>
    <cellStyle name="HEADER" xfId="344" xr:uid="{00000000-0005-0000-0000-000053010000}"/>
    <cellStyle name="Header1" xfId="345" xr:uid="{00000000-0005-0000-0000-000054010000}"/>
    <cellStyle name="Header1 2" xfId="346" xr:uid="{00000000-0005-0000-0000-000055010000}"/>
    <cellStyle name="Header2" xfId="347" xr:uid="{00000000-0005-0000-0000-000056010000}"/>
    <cellStyle name="Header2 2" xfId="348" xr:uid="{00000000-0005-0000-0000-000057010000}"/>
    <cellStyle name="Heading 1 2" xfId="349" xr:uid="{00000000-0005-0000-0000-000058010000}"/>
    <cellStyle name="Heading 2 2" xfId="350" xr:uid="{00000000-0005-0000-0000-000059010000}"/>
    <cellStyle name="Heading 3 2" xfId="351" xr:uid="{00000000-0005-0000-0000-00005A010000}"/>
    <cellStyle name="Heading 4 2" xfId="352" xr:uid="{00000000-0005-0000-0000-00005B010000}"/>
    <cellStyle name="HEADINGS" xfId="353" xr:uid="{00000000-0005-0000-0000-00005C010000}"/>
    <cellStyle name="HEADINGSTOP" xfId="354" xr:uid="{00000000-0005-0000-0000-00005D010000}"/>
    <cellStyle name="Hyperlink" xfId="650" builtinId="8"/>
    <cellStyle name="Hyperlink 2" xfId="355" xr:uid="{00000000-0005-0000-0000-00005F010000}"/>
    <cellStyle name="Hypertextový odkaz" xfId="356" xr:uid="{00000000-0005-0000-0000-000060010000}"/>
    <cellStyle name="Hypertextový odkaz 2" xfId="357" xr:uid="{00000000-0005-0000-0000-000061010000}"/>
    <cellStyle name="InLink" xfId="358" xr:uid="{00000000-0005-0000-0000-000062010000}"/>
    <cellStyle name="Input [yellow]" xfId="359" xr:uid="{00000000-0005-0000-0000-000063010000}"/>
    <cellStyle name="Input 10" xfId="360" xr:uid="{00000000-0005-0000-0000-000064010000}"/>
    <cellStyle name="Input 11" xfId="361" xr:uid="{00000000-0005-0000-0000-000065010000}"/>
    <cellStyle name="Input 12" xfId="362" xr:uid="{00000000-0005-0000-0000-000066010000}"/>
    <cellStyle name="Input 13" xfId="363" xr:uid="{00000000-0005-0000-0000-000067010000}"/>
    <cellStyle name="Input 14" xfId="364" xr:uid="{00000000-0005-0000-0000-000068010000}"/>
    <cellStyle name="Input 15" xfId="365" xr:uid="{00000000-0005-0000-0000-000069010000}"/>
    <cellStyle name="Input 16" xfId="366" xr:uid="{00000000-0005-0000-0000-00006A010000}"/>
    <cellStyle name="Input 17" xfId="367" xr:uid="{00000000-0005-0000-0000-00006B010000}"/>
    <cellStyle name="Input 18" xfId="368" xr:uid="{00000000-0005-0000-0000-00006C010000}"/>
    <cellStyle name="Input 19" xfId="369" xr:uid="{00000000-0005-0000-0000-00006D010000}"/>
    <cellStyle name="Input 2" xfId="370" xr:uid="{00000000-0005-0000-0000-00006E010000}"/>
    <cellStyle name="Input 20" xfId="371" xr:uid="{00000000-0005-0000-0000-00006F010000}"/>
    <cellStyle name="Input 21" xfId="372" xr:uid="{00000000-0005-0000-0000-000070010000}"/>
    <cellStyle name="Input 22" xfId="373" xr:uid="{00000000-0005-0000-0000-000071010000}"/>
    <cellStyle name="Input 23" xfId="374" xr:uid="{00000000-0005-0000-0000-000072010000}"/>
    <cellStyle name="Input 24" xfId="375" xr:uid="{00000000-0005-0000-0000-000073010000}"/>
    <cellStyle name="Input 25" xfId="376" xr:uid="{00000000-0005-0000-0000-000074010000}"/>
    <cellStyle name="Input 26" xfId="377" xr:uid="{00000000-0005-0000-0000-000075010000}"/>
    <cellStyle name="Input 27" xfId="378" xr:uid="{00000000-0005-0000-0000-000076010000}"/>
    <cellStyle name="Input 28" xfId="379" xr:uid="{00000000-0005-0000-0000-000077010000}"/>
    <cellStyle name="Input 29" xfId="380" xr:uid="{00000000-0005-0000-0000-000078010000}"/>
    <cellStyle name="Input 3" xfId="381" xr:uid="{00000000-0005-0000-0000-000079010000}"/>
    <cellStyle name="Input 30" xfId="382" xr:uid="{00000000-0005-0000-0000-00007A010000}"/>
    <cellStyle name="Input 31" xfId="383" xr:uid="{00000000-0005-0000-0000-00007B010000}"/>
    <cellStyle name="Input 32" xfId="384" xr:uid="{00000000-0005-0000-0000-00007C010000}"/>
    <cellStyle name="Input 33" xfId="385" xr:uid="{00000000-0005-0000-0000-00007D010000}"/>
    <cellStyle name="Input 34" xfId="386" xr:uid="{00000000-0005-0000-0000-00007E010000}"/>
    <cellStyle name="Input 35" xfId="387" xr:uid="{00000000-0005-0000-0000-00007F010000}"/>
    <cellStyle name="Input 36" xfId="388" xr:uid="{00000000-0005-0000-0000-000080010000}"/>
    <cellStyle name="Input 37" xfId="389" xr:uid="{00000000-0005-0000-0000-000081010000}"/>
    <cellStyle name="Input 38" xfId="390" xr:uid="{00000000-0005-0000-0000-000082010000}"/>
    <cellStyle name="Input 4" xfId="391" xr:uid="{00000000-0005-0000-0000-000083010000}"/>
    <cellStyle name="Input 5" xfId="392" xr:uid="{00000000-0005-0000-0000-000084010000}"/>
    <cellStyle name="Input 6" xfId="393" xr:uid="{00000000-0005-0000-0000-000085010000}"/>
    <cellStyle name="Input 7" xfId="394" xr:uid="{00000000-0005-0000-0000-000086010000}"/>
    <cellStyle name="Input 8" xfId="395" xr:uid="{00000000-0005-0000-0000-000087010000}"/>
    <cellStyle name="Input 9" xfId="396" xr:uid="{00000000-0005-0000-0000-000088010000}"/>
    <cellStyle name="Input Cells" xfId="397" xr:uid="{00000000-0005-0000-0000-000089010000}"/>
    <cellStyle name="Labels - Style3" xfId="398" xr:uid="{00000000-0005-0000-0000-00008A010000}"/>
    <cellStyle name="Link Currency (0)" xfId="399" xr:uid="{00000000-0005-0000-0000-00008B010000}"/>
    <cellStyle name="Link Currency (2)" xfId="400" xr:uid="{00000000-0005-0000-0000-00008C010000}"/>
    <cellStyle name="Link Units (0)" xfId="401" xr:uid="{00000000-0005-0000-0000-00008D010000}"/>
    <cellStyle name="Link Units (1)" xfId="402" xr:uid="{00000000-0005-0000-0000-00008E010000}"/>
    <cellStyle name="Link Units (2)" xfId="403" xr:uid="{00000000-0005-0000-0000-00008F010000}"/>
    <cellStyle name="Linked Cell 2" xfId="404" xr:uid="{00000000-0005-0000-0000-000090010000}"/>
    <cellStyle name="Linked Cells" xfId="405" xr:uid="{00000000-0005-0000-0000-000091010000}"/>
    <cellStyle name="Margin" xfId="406" xr:uid="{00000000-0005-0000-0000-000092010000}"/>
    <cellStyle name="Migliaia_Foglio1" xfId="407" xr:uid="{00000000-0005-0000-0000-000093010000}"/>
    <cellStyle name="Millares [0]_96 Risk" xfId="408" xr:uid="{00000000-0005-0000-0000-000094010000}"/>
    <cellStyle name="Millares_96 Risk" xfId="409" xr:uid="{00000000-0005-0000-0000-000095010000}"/>
    <cellStyle name="Milliers [0]_!!!GO" xfId="410" xr:uid="{00000000-0005-0000-0000-000096010000}"/>
    <cellStyle name="Milliers_!!!GO" xfId="411" xr:uid="{00000000-0005-0000-0000-000097010000}"/>
    <cellStyle name="Model" xfId="412" xr:uid="{00000000-0005-0000-0000-000098010000}"/>
    <cellStyle name="Moneda [0]_96 Risk" xfId="413" xr:uid="{00000000-0005-0000-0000-000099010000}"/>
    <cellStyle name="Moneda_96 Risk" xfId="414" xr:uid="{00000000-0005-0000-0000-00009A010000}"/>
    <cellStyle name="Monétaire [0]_!!!GO" xfId="415" xr:uid="{00000000-0005-0000-0000-00009B010000}"/>
    <cellStyle name="Monétaire_!!!GO" xfId="416" xr:uid="{00000000-0005-0000-0000-00009C010000}"/>
    <cellStyle name="Mon彋aire [0]_!!!GO" xfId="417" xr:uid="{00000000-0005-0000-0000-00009D010000}"/>
    <cellStyle name="Mon彋aire_!!!GO" xfId="418" xr:uid="{00000000-0005-0000-0000-00009E010000}"/>
    <cellStyle name="neg0.0" xfId="419" xr:uid="{00000000-0005-0000-0000-00009F010000}"/>
    <cellStyle name="Neutral 2" xfId="420" xr:uid="{00000000-0005-0000-0000-0000A0010000}"/>
    <cellStyle name="New Times Roman" xfId="421" xr:uid="{00000000-0005-0000-0000-0000A1010000}"/>
    <cellStyle name="no dec" xfId="422" xr:uid="{00000000-0005-0000-0000-0000A2010000}"/>
    <cellStyle name="no dec 2" xfId="423" xr:uid="{00000000-0005-0000-0000-0000A3010000}"/>
    <cellStyle name="Normal" xfId="0" builtinId="0"/>
    <cellStyle name="Normal - Style1" xfId="424" xr:uid="{00000000-0005-0000-0000-0000A5010000}"/>
    <cellStyle name="Normal - Style1 2" xfId="425" xr:uid="{00000000-0005-0000-0000-0000A6010000}"/>
    <cellStyle name="Normal 10" xfId="6" xr:uid="{00000000-0005-0000-0000-0000A7010000}"/>
    <cellStyle name="Normal 11" xfId="426" xr:uid="{00000000-0005-0000-0000-0000A8010000}"/>
    <cellStyle name="Normal 12" xfId="427" xr:uid="{00000000-0005-0000-0000-0000A9010000}"/>
    <cellStyle name="Normal 13" xfId="428" xr:uid="{00000000-0005-0000-0000-0000AA010000}"/>
    <cellStyle name="Normal 14" xfId="429" xr:uid="{00000000-0005-0000-0000-0000AB010000}"/>
    <cellStyle name="Normal 15" xfId="430" xr:uid="{00000000-0005-0000-0000-0000AC010000}"/>
    <cellStyle name="Normal 16" xfId="431" xr:uid="{00000000-0005-0000-0000-0000AD010000}"/>
    <cellStyle name="Normal 16 2" xfId="432" xr:uid="{00000000-0005-0000-0000-0000AE010000}"/>
    <cellStyle name="Normal 16 2 2" xfId="433" xr:uid="{00000000-0005-0000-0000-0000AF010000}"/>
    <cellStyle name="Normal 16 2 3" xfId="5" xr:uid="{00000000-0005-0000-0000-0000B0010000}"/>
    <cellStyle name="Normal 16 2 4" xfId="16" xr:uid="{00000000-0005-0000-0000-0000B1010000}"/>
    <cellStyle name="Normal 17" xfId="434" xr:uid="{00000000-0005-0000-0000-0000B2010000}"/>
    <cellStyle name="Normal 175" xfId="435" xr:uid="{00000000-0005-0000-0000-0000B3010000}"/>
    <cellStyle name="Normal 18" xfId="436" xr:uid="{00000000-0005-0000-0000-0000B4010000}"/>
    <cellStyle name="Normal 19" xfId="437" xr:uid="{00000000-0005-0000-0000-0000B5010000}"/>
    <cellStyle name="Normal 2" xfId="438" xr:uid="{00000000-0005-0000-0000-0000B6010000}"/>
    <cellStyle name="Normal 2 2" xfId="7" xr:uid="{00000000-0005-0000-0000-0000B7010000}"/>
    <cellStyle name="Normal 2 2 2" xfId="439" xr:uid="{00000000-0005-0000-0000-0000B8010000}"/>
    <cellStyle name="Normal 2 2 2 2" xfId="440" xr:uid="{00000000-0005-0000-0000-0000B9010000}"/>
    <cellStyle name="Normal 2 2 2 2 2" xfId="441" xr:uid="{00000000-0005-0000-0000-0000BA010000}"/>
    <cellStyle name="Normal 2 2 2 2 2 2" xfId="442" xr:uid="{00000000-0005-0000-0000-0000BB010000}"/>
    <cellStyle name="Normal 2 2 2 2 3" xfId="443" xr:uid="{00000000-0005-0000-0000-0000BC010000}"/>
    <cellStyle name="Normal 2 2 2 3" xfId="444" xr:uid="{00000000-0005-0000-0000-0000BD010000}"/>
    <cellStyle name="Normal 2 2 2 3 2" xfId="445" xr:uid="{00000000-0005-0000-0000-0000BE010000}"/>
    <cellStyle name="Normal 2 2 2 4" xfId="446" xr:uid="{00000000-0005-0000-0000-0000BF010000}"/>
    <cellStyle name="Normal 2 2 3" xfId="447" xr:uid="{00000000-0005-0000-0000-0000C0010000}"/>
    <cellStyle name="Normal 2 2 3 2" xfId="448" xr:uid="{00000000-0005-0000-0000-0000C1010000}"/>
    <cellStyle name="Normal 2 2 4" xfId="449" xr:uid="{00000000-0005-0000-0000-0000C2010000}"/>
    <cellStyle name="Normal 2 2 4 2" xfId="450" xr:uid="{00000000-0005-0000-0000-0000C3010000}"/>
    <cellStyle name="Normal 2 2 5" xfId="451" xr:uid="{00000000-0005-0000-0000-0000C4010000}"/>
    <cellStyle name="Normal 2 3" xfId="452" xr:uid="{00000000-0005-0000-0000-0000C5010000}"/>
    <cellStyle name="Normal 2 3 2" xfId="453" xr:uid="{00000000-0005-0000-0000-0000C6010000}"/>
    <cellStyle name="Normal 2 3 2 2" xfId="454" xr:uid="{00000000-0005-0000-0000-0000C7010000}"/>
    <cellStyle name="Normal 2 3 3" xfId="455" xr:uid="{00000000-0005-0000-0000-0000C8010000}"/>
    <cellStyle name="Normal 2 3 4" xfId="456" xr:uid="{00000000-0005-0000-0000-0000C9010000}"/>
    <cellStyle name="Normal 2 4" xfId="457" xr:uid="{00000000-0005-0000-0000-0000CA010000}"/>
    <cellStyle name="Normal 2 4 2" xfId="458" xr:uid="{00000000-0005-0000-0000-0000CB010000}"/>
    <cellStyle name="Normal 2 4 2 2" xfId="459" xr:uid="{00000000-0005-0000-0000-0000CC010000}"/>
    <cellStyle name="Normal 2_Consolidated v3 +5%" xfId="460" xr:uid="{00000000-0005-0000-0000-0000CD010000}"/>
    <cellStyle name="Normal 20" xfId="461" xr:uid="{00000000-0005-0000-0000-0000CE010000}"/>
    <cellStyle name="Normal 21" xfId="462" xr:uid="{00000000-0005-0000-0000-0000CF010000}"/>
    <cellStyle name="Normal 22" xfId="463" xr:uid="{00000000-0005-0000-0000-0000D0010000}"/>
    <cellStyle name="Normal 23" xfId="8" xr:uid="{00000000-0005-0000-0000-0000D1010000}"/>
    <cellStyle name="Normal 24" xfId="464" xr:uid="{00000000-0005-0000-0000-0000D2010000}"/>
    <cellStyle name="Normal 25" xfId="465" xr:uid="{00000000-0005-0000-0000-0000D3010000}"/>
    <cellStyle name="Normal 26" xfId="466" xr:uid="{00000000-0005-0000-0000-0000D4010000}"/>
    <cellStyle name="Normal 27" xfId="467" xr:uid="{00000000-0005-0000-0000-0000D5010000}"/>
    <cellStyle name="Normal 28" xfId="468" xr:uid="{00000000-0005-0000-0000-0000D6010000}"/>
    <cellStyle name="Normal 29" xfId="469" xr:uid="{00000000-0005-0000-0000-0000D7010000}"/>
    <cellStyle name="Normal 3" xfId="470" xr:uid="{00000000-0005-0000-0000-0000D8010000}"/>
    <cellStyle name="Normal 3 2" xfId="471" xr:uid="{00000000-0005-0000-0000-0000D9010000}"/>
    <cellStyle name="Normal 3 2 2" xfId="472" xr:uid="{00000000-0005-0000-0000-0000DA010000}"/>
    <cellStyle name="Normal 3 3" xfId="473" xr:uid="{00000000-0005-0000-0000-0000DB010000}"/>
    <cellStyle name="Normal 30" xfId="474" xr:uid="{00000000-0005-0000-0000-0000DC010000}"/>
    <cellStyle name="Normal 31" xfId="475" xr:uid="{00000000-0005-0000-0000-0000DD010000}"/>
    <cellStyle name="Normal 32" xfId="476" xr:uid="{00000000-0005-0000-0000-0000DE010000}"/>
    <cellStyle name="Normal 33" xfId="477" xr:uid="{00000000-0005-0000-0000-0000DF010000}"/>
    <cellStyle name="Normal 34" xfId="478" xr:uid="{00000000-0005-0000-0000-0000E0010000}"/>
    <cellStyle name="Normal 35" xfId="479" xr:uid="{00000000-0005-0000-0000-0000E1010000}"/>
    <cellStyle name="Normal 36" xfId="480" xr:uid="{00000000-0005-0000-0000-0000E2010000}"/>
    <cellStyle name="Normal 37" xfId="481" xr:uid="{00000000-0005-0000-0000-0000E3010000}"/>
    <cellStyle name="Normal 38" xfId="482" xr:uid="{00000000-0005-0000-0000-0000E4010000}"/>
    <cellStyle name="Normal 39" xfId="483" xr:uid="{00000000-0005-0000-0000-0000E5010000}"/>
    <cellStyle name="Normal 4" xfId="484" xr:uid="{00000000-0005-0000-0000-0000E6010000}"/>
    <cellStyle name="Normal 4 2" xfId="485" xr:uid="{00000000-0005-0000-0000-0000E7010000}"/>
    <cellStyle name="Normal 4 2 2" xfId="486" xr:uid="{00000000-0005-0000-0000-0000E8010000}"/>
    <cellStyle name="Normal 4 2 3" xfId="487" xr:uid="{00000000-0005-0000-0000-0000E9010000}"/>
    <cellStyle name="Normal 4 3" xfId="488" xr:uid="{00000000-0005-0000-0000-0000EA010000}"/>
    <cellStyle name="Normal 40" xfId="489" xr:uid="{00000000-0005-0000-0000-0000EB010000}"/>
    <cellStyle name="Normal 41" xfId="490" xr:uid="{00000000-0005-0000-0000-0000EC010000}"/>
    <cellStyle name="Normal 42" xfId="491" xr:uid="{00000000-0005-0000-0000-0000ED010000}"/>
    <cellStyle name="Normal 43" xfId="492" xr:uid="{00000000-0005-0000-0000-0000EE010000}"/>
    <cellStyle name="Normal 44" xfId="493" xr:uid="{00000000-0005-0000-0000-0000EF010000}"/>
    <cellStyle name="Normal 45" xfId="494" xr:uid="{00000000-0005-0000-0000-0000F0010000}"/>
    <cellStyle name="Normal 46" xfId="495" xr:uid="{00000000-0005-0000-0000-0000F1010000}"/>
    <cellStyle name="Normal 47" xfId="496" xr:uid="{00000000-0005-0000-0000-0000F2010000}"/>
    <cellStyle name="Normal 49" xfId="497" xr:uid="{00000000-0005-0000-0000-0000F3010000}"/>
    <cellStyle name="Normal 5" xfId="498" xr:uid="{00000000-0005-0000-0000-0000F4010000}"/>
    <cellStyle name="Normal 5 15" xfId="646" xr:uid="{00000000-0005-0000-0000-0000F5010000}"/>
    <cellStyle name="Normal 5 2" xfId="4" xr:uid="{00000000-0005-0000-0000-0000F6010000}"/>
    <cellStyle name="Normal 5 3" xfId="499" xr:uid="{00000000-0005-0000-0000-0000F7010000}"/>
    <cellStyle name="Normal 52" xfId="649" xr:uid="{00000000-0005-0000-0000-0000F8010000}"/>
    <cellStyle name="Normal 6" xfId="500" xr:uid="{00000000-0005-0000-0000-0000F9010000}"/>
    <cellStyle name="Normal 6 2" xfId="501" xr:uid="{00000000-0005-0000-0000-0000FA010000}"/>
    <cellStyle name="Normal 7" xfId="502" xr:uid="{00000000-0005-0000-0000-0000FB010000}"/>
    <cellStyle name="Normal 8" xfId="503" xr:uid="{00000000-0005-0000-0000-0000FC010000}"/>
    <cellStyle name="Normal 8 2" xfId="504" xr:uid="{00000000-0005-0000-0000-0000FD010000}"/>
    <cellStyle name="Normal 9" xfId="505" xr:uid="{00000000-0005-0000-0000-0000FE010000}"/>
    <cellStyle name="Normal 9 2" xfId="506" xr:uid="{00000000-0005-0000-0000-0000FF010000}"/>
    <cellStyle name="Normal1" xfId="507" xr:uid="{00000000-0005-0000-0000-000000020000}"/>
    <cellStyle name="Normale_PERSONAL" xfId="508" xr:uid="{00000000-0005-0000-0000-000001020000}"/>
    <cellStyle name="Note 2" xfId="509" xr:uid="{00000000-0005-0000-0000-000002020000}"/>
    <cellStyle name="Œ…‹æØ‚è [0.00]_PRODUCT DETAIL Q1" xfId="510" xr:uid="{00000000-0005-0000-0000-000003020000}"/>
    <cellStyle name="Œ…‹æØ‚è_PRODUCT DETAIL Q1" xfId="511" xr:uid="{00000000-0005-0000-0000-000004020000}"/>
    <cellStyle name="Output 2" xfId="512" xr:uid="{00000000-0005-0000-0000-000005020000}"/>
    <cellStyle name="OUTPUT AMOUNTS" xfId="513" xr:uid="{00000000-0005-0000-0000-000006020000}"/>
    <cellStyle name="OUTPUT COLUMN HEADINGS" xfId="514" xr:uid="{00000000-0005-0000-0000-000007020000}"/>
    <cellStyle name="OUTPUT LINE ITEMS" xfId="515" xr:uid="{00000000-0005-0000-0000-000008020000}"/>
    <cellStyle name="OUTPUT REPORT HEADING" xfId="516" xr:uid="{00000000-0005-0000-0000-000009020000}"/>
    <cellStyle name="OUTPUT REPORT TITLE" xfId="517" xr:uid="{00000000-0005-0000-0000-00000A020000}"/>
    <cellStyle name="per.style" xfId="518" xr:uid="{00000000-0005-0000-0000-00000B020000}"/>
    <cellStyle name="Percent" xfId="2" builtinId="5"/>
    <cellStyle name="Percent [0]" xfId="519" xr:uid="{00000000-0005-0000-0000-00000D020000}"/>
    <cellStyle name="Percent [00]" xfId="520" xr:uid="{00000000-0005-0000-0000-00000E020000}"/>
    <cellStyle name="Percent [2]" xfId="521" xr:uid="{00000000-0005-0000-0000-00000F020000}"/>
    <cellStyle name="Percent [2] 2" xfId="522" xr:uid="{00000000-0005-0000-0000-000010020000}"/>
    <cellStyle name="Percent 10" xfId="523" xr:uid="{00000000-0005-0000-0000-000011020000}"/>
    <cellStyle name="Percent 11" xfId="524" xr:uid="{00000000-0005-0000-0000-000012020000}"/>
    <cellStyle name="Percent 12" xfId="525" xr:uid="{00000000-0005-0000-0000-000013020000}"/>
    <cellStyle name="Percent 13" xfId="526" xr:uid="{00000000-0005-0000-0000-000014020000}"/>
    <cellStyle name="Percent 2" xfId="527" xr:uid="{00000000-0005-0000-0000-000015020000}"/>
    <cellStyle name="Percent 2 2" xfId="528" xr:uid="{00000000-0005-0000-0000-000016020000}"/>
    <cellStyle name="Percent 2 2 2" xfId="529" xr:uid="{00000000-0005-0000-0000-000017020000}"/>
    <cellStyle name="Percent 2 2 3" xfId="530" xr:uid="{00000000-0005-0000-0000-000018020000}"/>
    <cellStyle name="Percent 2 3" xfId="531" xr:uid="{00000000-0005-0000-0000-000019020000}"/>
    <cellStyle name="Percent 3" xfId="13" xr:uid="{00000000-0005-0000-0000-00001A020000}"/>
    <cellStyle name="Percent 3 2" xfId="532" xr:uid="{00000000-0005-0000-0000-00001B020000}"/>
    <cellStyle name="Percent 3 3" xfId="645" xr:uid="{00000000-0005-0000-0000-00001C020000}"/>
    <cellStyle name="Percent 4" xfId="533" xr:uid="{00000000-0005-0000-0000-00001D020000}"/>
    <cellStyle name="Percent 4 2" xfId="534" xr:uid="{00000000-0005-0000-0000-00001E020000}"/>
    <cellStyle name="Percent 4 3" xfId="535" xr:uid="{00000000-0005-0000-0000-00001F020000}"/>
    <cellStyle name="Percent 5" xfId="536" xr:uid="{00000000-0005-0000-0000-000020020000}"/>
    <cellStyle name="Percent 5 2" xfId="537" xr:uid="{00000000-0005-0000-0000-000021020000}"/>
    <cellStyle name="Percent 6" xfId="538" xr:uid="{00000000-0005-0000-0000-000022020000}"/>
    <cellStyle name="Percent 7" xfId="539" xr:uid="{00000000-0005-0000-0000-000023020000}"/>
    <cellStyle name="Percent 8" xfId="540" xr:uid="{00000000-0005-0000-0000-000024020000}"/>
    <cellStyle name="Percent 8 2" xfId="541" xr:uid="{00000000-0005-0000-0000-000025020000}"/>
    <cellStyle name="Percent 9" xfId="542" xr:uid="{00000000-0005-0000-0000-000026020000}"/>
    <cellStyle name="Percent 9 2" xfId="543" xr:uid="{00000000-0005-0000-0000-000027020000}"/>
    <cellStyle name="PERCENTAGE" xfId="544" xr:uid="{00000000-0005-0000-0000-000028020000}"/>
    <cellStyle name="PillarData" xfId="545" xr:uid="{00000000-0005-0000-0000-000029020000}"/>
    <cellStyle name="PillarHeading" xfId="546" xr:uid="{00000000-0005-0000-0000-00002A020000}"/>
    <cellStyle name="PillarText" xfId="547" xr:uid="{00000000-0005-0000-0000-00002B020000}"/>
    <cellStyle name="PillarTotal" xfId="548" xr:uid="{00000000-0005-0000-0000-00002C020000}"/>
    <cellStyle name="Popis" xfId="549" xr:uid="{00000000-0005-0000-0000-00002D020000}"/>
    <cellStyle name="Popis 2" xfId="550" xr:uid="{00000000-0005-0000-0000-00002E020000}"/>
    <cellStyle name="PrePop Currency (0)" xfId="551" xr:uid="{00000000-0005-0000-0000-00002F020000}"/>
    <cellStyle name="PrePop Currency (2)" xfId="552" xr:uid="{00000000-0005-0000-0000-000030020000}"/>
    <cellStyle name="PrePop Units (0)" xfId="553" xr:uid="{00000000-0005-0000-0000-000031020000}"/>
    <cellStyle name="PrePop Units (1)" xfId="554" xr:uid="{00000000-0005-0000-0000-000032020000}"/>
    <cellStyle name="PrePop Units (2)" xfId="555" xr:uid="{00000000-0005-0000-0000-000033020000}"/>
    <cellStyle name="Profit figure" xfId="556" xr:uid="{00000000-0005-0000-0000-000034020000}"/>
    <cellStyle name="PROTECT" xfId="557" xr:uid="{00000000-0005-0000-0000-000035020000}"/>
    <cellStyle name="PSChar" xfId="558" xr:uid="{00000000-0005-0000-0000-000036020000}"/>
    <cellStyle name="PSDate" xfId="559" xr:uid="{00000000-0005-0000-0000-000037020000}"/>
    <cellStyle name="PSDec" xfId="560" xr:uid="{00000000-0005-0000-0000-000038020000}"/>
    <cellStyle name="PSHeading" xfId="561" xr:uid="{00000000-0005-0000-0000-000039020000}"/>
    <cellStyle name="PSInt" xfId="562" xr:uid="{00000000-0005-0000-0000-00003A020000}"/>
    <cellStyle name="PSSpacer" xfId="563" xr:uid="{00000000-0005-0000-0000-00003B020000}"/>
    <cellStyle name="R00A" xfId="564" xr:uid="{00000000-0005-0000-0000-00003C020000}"/>
    <cellStyle name="R00B" xfId="565" xr:uid="{00000000-0005-0000-0000-00003D020000}"/>
    <cellStyle name="R00L" xfId="566" xr:uid="{00000000-0005-0000-0000-00003E020000}"/>
    <cellStyle name="R01A" xfId="567" xr:uid="{00000000-0005-0000-0000-00003F020000}"/>
    <cellStyle name="R01B" xfId="568" xr:uid="{00000000-0005-0000-0000-000040020000}"/>
    <cellStyle name="R01H" xfId="569" xr:uid="{00000000-0005-0000-0000-000041020000}"/>
    <cellStyle name="R01L" xfId="570" xr:uid="{00000000-0005-0000-0000-000042020000}"/>
    <cellStyle name="R02A" xfId="571" xr:uid="{00000000-0005-0000-0000-000043020000}"/>
    <cellStyle name="R02B" xfId="572" xr:uid="{00000000-0005-0000-0000-000044020000}"/>
    <cellStyle name="R02H" xfId="573" xr:uid="{00000000-0005-0000-0000-000045020000}"/>
    <cellStyle name="R02L" xfId="574" xr:uid="{00000000-0005-0000-0000-000046020000}"/>
    <cellStyle name="R03A" xfId="575" xr:uid="{00000000-0005-0000-0000-000047020000}"/>
    <cellStyle name="R03B" xfId="576" xr:uid="{00000000-0005-0000-0000-000048020000}"/>
    <cellStyle name="R03H" xfId="577" xr:uid="{00000000-0005-0000-0000-000049020000}"/>
    <cellStyle name="R03L" xfId="578" xr:uid="{00000000-0005-0000-0000-00004A020000}"/>
    <cellStyle name="R04A" xfId="579" xr:uid="{00000000-0005-0000-0000-00004B020000}"/>
    <cellStyle name="R04B" xfId="580" xr:uid="{00000000-0005-0000-0000-00004C020000}"/>
    <cellStyle name="R04H" xfId="581" xr:uid="{00000000-0005-0000-0000-00004D020000}"/>
    <cellStyle name="R04L" xfId="582" xr:uid="{00000000-0005-0000-0000-00004E020000}"/>
    <cellStyle name="R05A" xfId="583" xr:uid="{00000000-0005-0000-0000-00004F020000}"/>
    <cellStyle name="R05B" xfId="584" xr:uid="{00000000-0005-0000-0000-000050020000}"/>
    <cellStyle name="R05H" xfId="585" xr:uid="{00000000-0005-0000-0000-000051020000}"/>
    <cellStyle name="R05L" xfId="586" xr:uid="{00000000-0005-0000-0000-000052020000}"/>
    <cellStyle name="R06A" xfId="587" xr:uid="{00000000-0005-0000-0000-000053020000}"/>
    <cellStyle name="R06B" xfId="588" xr:uid="{00000000-0005-0000-0000-000054020000}"/>
    <cellStyle name="R06H" xfId="589" xr:uid="{00000000-0005-0000-0000-000055020000}"/>
    <cellStyle name="R06L" xfId="590" xr:uid="{00000000-0005-0000-0000-000056020000}"/>
    <cellStyle name="R07A" xfId="591" xr:uid="{00000000-0005-0000-0000-000057020000}"/>
    <cellStyle name="R07B" xfId="592" xr:uid="{00000000-0005-0000-0000-000058020000}"/>
    <cellStyle name="R07H" xfId="593" xr:uid="{00000000-0005-0000-0000-000059020000}"/>
    <cellStyle name="R07L" xfId="594" xr:uid="{00000000-0005-0000-0000-00005A020000}"/>
    <cellStyle name="regstoresfromspecstores" xfId="595" xr:uid="{00000000-0005-0000-0000-00005B020000}"/>
    <cellStyle name="Reset  - Style7" xfId="596" xr:uid="{00000000-0005-0000-0000-00005C020000}"/>
    <cellStyle name="Reset range style to defaults" xfId="597" xr:uid="{00000000-0005-0000-0000-00005D020000}"/>
    <cellStyle name="RevList" xfId="598" xr:uid="{00000000-0005-0000-0000-00005E020000}"/>
    <cellStyle name="SHADEDSTORES" xfId="599" xr:uid="{00000000-0005-0000-0000-00005F020000}"/>
    <cellStyle name="Sledovaný hypertextový odkaz" xfId="600" xr:uid="{00000000-0005-0000-0000-000060020000}"/>
    <cellStyle name="Sledovaný hypertextový odkaz 2" xfId="601" xr:uid="{00000000-0005-0000-0000-000061020000}"/>
    <cellStyle name="specstores" xfId="602" xr:uid="{00000000-0005-0000-0000-000062020000}"/>
    <cellStyle name="STANDARD" xfId="603" xr:uid="{00000000-0005-0000-0000-000063020000}"/>
    <cellStyle name="Style 1" xfId="604" xr:uid="{00000000-0005-0000-0000-000064020000}"/>
    <cellStyle name="Style 1 2" xfId="605" xr:uid="{00000000-0005-0000-0000-000065020000}"/>
    <cellStyle name="subhead" xfId="606" xr:uid="{00000000-0005-0000-0000-000066020000}"/>
    <cellStyle name="Subtotal" xfId="607" xr:uid="{00000000-0005-0000-0000-000067020000}"/>
    <cellStyle name="Table  - Style6" xfId="608" xr:uid="{00000000-0005-0000-0000-000068020000}"/>
    <cellStyle name="Tbl_Detail" xfId="609" xr:uid="{00000000-0005-0000-0000-000069020000}"/>
    <cellStyle name="Text Indent A" xfId="610" xr:uid="{00000000-0005-0000-0000-00006A020000}"/>
    <cellStyle name="Text Indent B" xfId="611" xr:uid="{00000000-0005-0000-0000-00006B020000}"/>
    <cellStyle name="Text Indent C" xfId="612" xr:uid="{00000000-0005-0000-0000-00006C020000}"/>
    <cellStyle name="Times New Roman" xfId="613" xr:uid="{00000000-0005-0000-0000-00006D020000}"/>
    <cellStyle name="Title  - Style1" xfId="614" xr:uid="{00000000-0005-0000-0000-00006E020000}"/>
    <cellStyle name="Title 2" xfId="615" xr:uid="{00000000-0005-0000-0000-00006F020000}"/>
    <cellStyle name="Total 2" xfId="616" xr:uid="{00000000-0005-0000-0000-000070020000}"/>
    <cellStyle name="TotCol - Style5" xfId="617" xr:uid="{00000000-0005-0000-0000-000071020000}"/>
    <cellStyle name="TotRow - Style4" xfId="618" xr:uid="{00000000-0005-0000-0000-000072020000}"/>
    <cellStyle name="Tusental (0)_pldt" xfId="619" xr:uid="{00000000-0005-0000-0000-000073020000}"/>
    <cellStyle name="Tusental_pldt" xfId="620" xr:uid="{00000000-0005-0000-0000-000074020000}"/>
    <cellStyle name="Update" xfId="621" xr:uid="{00000000-0005-0000-0000-000075020000}"/>
    <cellStyle name="Valuta (0)_PERSONAL" xfId="622" xr:uid="{00000000-0005-0000-0000-000076020000}"/>
    <cellStyle name="Valuta_PERSONAL" xfId="623" xr:uid="{00000000-0005-0000-0000-000077020000}"/>
    <cellStyle name="verdana" xfId="624" xr:uid="{00000000-0005-0000-0000-000078020000}"/>
    <cellStyle name="Währung [0]_Compiling Utility Macros" xfId="625" xr:uid="{00000000-0005-0000-0000-000079020000}"/>
    <cellStyle name="Währung_Compiling Utility Macros" xfId="626" xr:uid="{00000000-0005-0000-0000-00007A020000}"/>
    <cellStyle name="Warning Text 2" xfId="627" xr:uid="{00000000-0005-0000-0000-00007B020000}"/>
    <cellStyle name="Обычный_44 расходы 2002" xfId="628" xr:uid="{00000000-0005-0000-0000-00007C020000}"/>
    <cellStyle name="뷭?_빟랹둴봃섟 " xfId="629" xr:uid="{00000000-0005-0000-0000-00007D020000}"/>
    <cellStyle name="콤마 [0]_ 견적기준 FLOW " xfId="630" xr:uid="{00000000-0005-0000-0000-00007E020000}"/>
    <cellStyle name="콤마_ 견적기준 FLOW " xfId="631" xr:uid="{00000000-0005-0000-0000-00007F020000}"/>
    <cellStyle name="표준_'97PLAN" xfId="632" xr:uid="{00000000-0005-0000-0000-000080020000}"/>
    <cellStyle name="一般_!!!GO" xfId="633" xr:uid="{00000000-0005-0000-0000-000081020000}"/>
    <cellStyle name="千分位[0]_!!!GO" xfId="634" xr:uid="{00000000-0005-0000-0000-000082020000}"/>
    <cellStyle name="千分位_!!!GO" xfId="635" xr:uid="{00000000-0005-0000-0000-000083020000}"/>
    <cellStyle name="常规_2007)vitrifiedreport(SY DEC(1).25)(1)" xfId="636" xr:uid="{00000000-0005-0000-0000-000084020000}"/>
    <cellStyle name="桁区切り [0.00]_PERSONAL" xfId="637" xr:uid="{00000000-0005-0000-0000-000085020000}"/>
    <cellStyle name="桁区切り_PERSONAL" xfId="638" xr:uid="{00000000-0005-0000-0000-000086020000}"/>
    <cellStyle name="標準_PERSONAL" xfId="639" xr:uid="{00000000-0005-0000-0000-000087020000}"/>
    <cellStyle name="貨幣 [0]_!!!GO" xfId="640" xr:uid="{00000000-0005-0000-0000-000088020000}"/>
    <cellStyle name="貨幣_!!!GO" xfId="641" xr:uid="{00000000-0005-0000-0000-000089020000}"/>
    <cellStyle name="通貨 [0.00]_PERSONAL" xfId="642" xr:uid="{00000000-0005-0000-0000-00008A020000}"/>
    <cellStyle name="通貨_PERSONAL" xfId="643" xr:uid="{00000000-0005-0000-0000-00008B02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b="1">
                <a:solidFill>
                  <a:schemeClr val="bg1"/>
                </a:solidFill>
              </a:rPr>
              <a:t>Key Financials</a:t>
            </a:r>
          </a:p>
        </c:rich>
      </c:tx>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'Historical P&amp;L'!$B$10</c:f>
              <c:strCache>
                <c:ptCount val="1"/>
                <c:pt idx="0">
                  <c:v>EBITDA %</c:v>
                </c:pt>
              </c:strCache>
            </c:strRef>
          </c:tx>
          <c:spPr>
            <a:ln w="28575" cap="rnd">
              <a:solidFill>
                <a:schemeClr val="accent1"/>
              </a:solidFill>
              <a:round/>
            </a:ln>
            <a:effectLst/>
          </c:spPr>
          <c:marker>
            <c:symbol val="none"/>
          </c:marker>
          <c:cat>
            <c:numRef>
              <c:f>'Historical P&amp;L'!$C$6:$G$6</c:f>
              <c:numCache>
                <c:formatCode>[$-4009]mmm\ yyyy</c:formatCode>
                <c:ptCount val="5"/>
                <c:pt idx="0">
                  <c:v>43555</c:v>
                </c:pt>
                <c:pt idx="1">
                  <c:v>43921</c:v>
                </c:pt>
                <c:pt idx="2">
                  <c:v>44286</c:v>
                </c:pt>
                <c:pt idx="3">
                  <c:v>44651</c:v>
                </c:pt>
                <c:pt idx="4">
                  <c:v>45016</c:v>
                </c:pt>
              </c:numCache>
            </c:numRef>
          </c:cat>
          <c:val>
            <c:numRef>
              <c:f>'Historical P&amp;L'!$C$10:$G$10</c:f>
              <c:numCache>
                <c:formatCode>0.00%</c:formatCode>
                <c:ptCount val="5"/>
                <c:pt idx="0">
                  <c:v>0.22740766309975835</c:v>
                </c:pt>
                <c:pt idx="1">
                  <c:v>0.70410745571345146</c:v>
                </c:pt>
                <c:pt idx="2">
                  <c:v>-0.25296040682891385</c:v>
                </c:pt>
                <c:pt idx="3">
                  <c:v>-0.72157946692991115</c:v>
                </c:pt>
                <c:pt idx="4">
                  <c:v>0.2605619146722164</c:v>
                </c:pt>
              </c:numCache>
            </c:numRef>
          </c:val>
          <c:smooth val="0"/>
          <c:extLst>
            <c:ext xmlns:c16="http://schemas.microsoft.com/office/drawing/2014/chart" uri="{C3380CC4-5D6E-409C-BE32-E72D297353CC}">
              <c16:uniqueId val="{00000000-1F64-4BF7-AD66-AFEA385004D7}"/>
            </c:ext>
          </c:extLst>
        </c:ser>
        <c:ser>
          <c:idx val="1"/>
          <c:order val="1"/>
          <c:tx>
            <c:strRef>
              <c:f>'Historical P&amp;L'!$B$13</c:f>
              <c:strCache>
                <c:ptCount val="1"/>
                <c:pt idx="0">
                  <c:v>EBIT %</c:v>
                </c:pt>
              </c:strCache>
            </c:strRef>
          </c:tx>
          <c:spPr>
            <a:ln w="28575" cap="rnd">
              <a:solidFill>
                <a:schemeClr val="accent2"/>
              </a:solidFill>
              <a:round/>
            </a:ln>
            <a:effectLst/>
          </c:spPr>
          <c:marker>
            <c:symbol val="none"/>
          </c:marker>
          <c:cat>
            <c:numRef>
              <c:f>'Historical P&amp;L'!$C$6:$G$6</c:f>
              <c:numCache>
                <c:formatCode>[$-4009]mmm\ yyyy</c:formatCode>
                <c:ptCount val="5"/>
                <c:pt idx="0">
                  <c:v>43555</c:v>
                </c:pt>
                <c:pt idx="1">
                  <c:v>43921</c:v>
                </c:pt>
                <c:pt idx="2">
                  <c:v>44286</c:v>
                </c:pt>
                <c:pt idx="3">
                  <c:v>44651</c:v>
                </c:pt>
                <c:pt idx="4">
                  <c:v>45016</c:v>
                </c:pt>
              </c:numCache>
            </c:numRef>
          </c:cat>
          <c:val>
            <c:numRef>
              <c:f>'Historical P&amp;L'!$C$13:$G$13</c:f>
              <c:numCache>
                <c:formatCode>0.00%</c:formatCode>
                <c:ptCount val="5"/>
                <c:pt idx="0">
                  <c:v>0.22669658267172935</c:v>
                </c:pt>
                <c:pt idx="1">
                  <c:v>0.70195639478294725</c:v>
                </c:pt>
                <c:pt idx="2">
                  <c:v>-0.25296040682891385</c:v>
                </c:pt>
                <c:pt idx="3">
                  <c:v>-0.72157946692991115</c:v>
                </c:pt>
                <c:pt idx="4">
                  <c:v>0.2605619146722164</c:v>
                </c:pt>
              </c:numCache>
            </c:numRef>
          </c:val>
          <c:smooth val="0"/>
          <c:extLst>
            <c:ext xmlns:c16="http://schemas.microsoft.com/office/drawing/2014/chart" uri="{C3380CC4-5D6E-409C-BE32-E72D297353CC}">
              <c16:uniqueId val="{00000001-1F64-4BF7-AD66-AFEA385004D7}"/>
            </c:ext>
          </c:extLst>
        </c:ser>
        <c:ser>
          <c:idx val="2"/>
          <c:order val="2"/>
          <c:tx>
            <c:strRef>
              <c:f>'Historical P&amp;L'!$B$16</c:f>
              <c:strCache>
                <c:ptCount val="1"/>
                <c:pt idx="0">
                  <c:v>PBT %</c:v>
                </c:pt>
              </c:strCache>
            </c:strRef>
          </c:tx>
          <c:spPr>
            <a:ln w="28575" cap="rnd">
              <a:solidFill>
                <a:schemeClr val="accent3"/>
              </a:solidFill>
              <a:round/>
            </a:ln>
            <a:effectLst/>
          </c:spPr>
          <c:marker>
            <c:symbol val="none"/>
          </c:marker>
          <c:cat>
            <c:numRef>
              <c:f>'Historical P&amp;L'!$C$6:$G$6</c:f>
              <c:numCache>
                <c:formatCode>[$-4009]mmm\ yyyy</c:formatCode>
                <c:ptCount val="5"/>
                <c:pt idx="0">
                  <c:v>43555</c:v>
                </c:pt>
                <c:pt idx="1">
                  <c:v>43921</c:v>
                </c:pt>
                <c:pt idx="2">
                  <c:v>44286</c:v>
                </c:pt>
                <c:pt idx="3">
                  <c:v>44651</c:v>
                </c:pt>
                <c:pt idx="4">
                  <c:v>45016</c:v>
                </c:pt>
              </c:numCache>
            </c:numRef>
          </c:cat>
          <c:val>
            <c:numRef>
              <c:f>'Historical P&amp;L'!$C$16:$G$16</c:f>
              <c:numCache>
                <c:formatCode>0.00%</c:formatCode>
                <c:ptCount val="5"/>
                <c:pt idx="0">
                  <c:v>-0.64514808422506054</c:v>
                </c:pt>
                <c:pt idx="1">
                  <c:v>-1.6948588670430216</c:v>
                </c:pt>
                <c:pt idx="2">
                  <c:v>-1.0870504903741371</c:v>
                </c:pt>
                <c:pt idx="3">
                  <c:v>-1.2657705824284304</c:v>
                </c:pt>
                <c:pt idx="4">
                  <c:v>-0.57059729448491159</c:v>
                </c:pt>
              </c:numCache>
            </c:numRef>
          </c:val>
          <c:smooth val="0"/>
          <c:extLst>
            <c:ext xmlns:c16="http://schemas.microsoft.com/office/drawing/2014/chart" uri="{C3380CC4-5D6E-409C-BE32-E72D297353CC}">
              <c16:uniqueId val="{00000002-1F64-4BF7-AD66-AFEA385004D7}"/>
            </c:ext>
          </c:extLst>
        </c:ser>
        <c:ser>
          <c:idx val="3"/>
          <c:order val="3"/>
          <c:tx>
            <c:strRef>
              <c:f>'Historical P&amp;L'!$B$19</c:f>
              <c:strCache>
                <c:ptCount val="1"/>
                <c:pt idx="0">
                  <c:v>PAT %</c:v>
                </c:pt>
              </c:strCache>
            </c:strRef>
          </c:tx>
          <c:spPr>
            <a:ln w="28575" cap="rnd">
              <a:solidFill>
                <a:schemeClr val="accent4"/>
              </a:solidFill>
              <a:round/>
            </a:ln>
            <a:effectLst/>
          </c:spPr>
          <c:marker>
            <c:symbol val="none"/>
          </c:marker>
          <c:cat>
            <c:numRef>
              <c:f>'Historical P&amp;L'!$C$6:$G$6</c:f>
              <c:numCache>
                <c:formatCode>[$-4009]mmm\ yyyy</c:formatCode>
                <c:ptCount val="5"/>
                <c:pt idx="0">
                  <c:v>43555</c:v>
                </c:pt>
                <c:pt idx="1">
                  <c:v>43921</c:v>
                </c:pt>
                <c:pt idx="2">
                  <c:v>44286</c:v>
                </c:pt>
                <c:pt idx="3">
                  <c:v>44651</c:v>
                </c:pt>
                <c:pt idx="4">
                  <c:v>45016</c:v>
                </c:pt>
              </c:numCache>
            </c:numRef>
          </c:cat>
          <c:val>
            <c:numRef>
              <c:f>'Historical P&amp;L'!$C$19:$G$19</c:f>
              <c:numCache>
                <c:formatCode>0.00%</c:formatCode>
                <c:ptCount val="5"/>
                <c:pt idx="0">
                  <c:v>-0.64514808422506054</c:v>
                </c:pt>
                <c:pt idx="1">
                  <c:v>-1.6948588670430216</c:v>
                </c:pt>
                <c:pt idx="2">
                  <c:v>-1.0870504903741371</c:v>
                </c:pt>
                <c:pt idx="3">
                  <c:v>-1.2657705824284304</c:v>
                </c:pt>
                <c:pt idx="4">
                  <c:v>-0.57059729448491159</c:v>
                </c:pt>
              </c:numCache>
            </c:numRef>
          </c:val>
          <c:smooth val="0"/>
          <c:extLst>
            <c:ext xmlns:c16="http://schemas.microsoft.com/office/drawing/2014/chart" uri="{C3380CC4-5D6E-409C-BE32-E72D297353CC}">
              <c16:uniqueId val="{00000003-1F64-4BF7-AD66-AFEA385004D7}"/>
            </c:ext>
          </c:extLst>
        </c:ser>
        <c:dLbls>
          <c:showLegendKey val="0"/>
          <c:showVal val="0"/>
          <c:showCatName val="0"/>
          <c:showSerName val="0"/>
          <c:showPercent val="0"/>
          <c:showBubbleSize val="0"/>
        </c:dLbls>
        <c:smooth val="0"/>
        <c:axId val="296821152"/>
        <c:axId val="361767192"/>
      </c:lineChart>
      <c:dateAx>
        <c:axId val="296821152"/>
        <c:scaling>
          <c:orientation val="minMax"/>
        </c:scaling>
        <c:delete val="0"/>
        <c:axPos val="b"/>
        <c:numFmt formatCode="[$-4009]mmm\ 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767192"/>
        <c:crosses val="autoZero"/>
        <c:auto val="1"/>
        <c:lblOffset val="100"/>
        <c:baseTimeUnit val="years"/>
      </c:dateAx>
      <c:valAx>
        <c:axId val="36176719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6821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104775</xdr:colOff>
      <xdr:row>2</xdr:row>
      <xdr:rowOff>28575</xdr:rowOff>
    </xdr:from>
    <xdr:to>
      <xdr:col>21</xdr:col>
      <xdr:colOff>104775</xdr:colOff>
      <xdr:row>17</xdr:row>
      <xdr:rowOff>180975</xdr:rowOff>
    </xdr:to>
    <xdr:pic>
      <xdr:nvPicPr>
        <xdr:cNvPr id="2" name="Picture 1" descr="Discounted Cash Flow Method for Valuing International Chemical Distributors  | The Journal of Private Equity">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0375" y="409575"/>
          <a:ext cx="609600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xdr:colOff>
      <xdr:row>13</xdr:row>
      <xdr:rowOff>85725</xdr:rowOff>
    </xdr:from>
    <xdr:to>
      <xdr:col>20</xdr:col>
      <xdr:colOff>142875</xdr:colOff>
      <xdr:row>33</xdr:row>
      <xdr:rowOff>57150</xdr:rowOff>
    </xdr:to>
    <xdr:graphicFrame macro="">
      <xdr:nvGraphicFramePr>
        <xdr:cNvPr id="2" name="Chart 1">
          <a:extLst>
            <a:ext uri="{FF2B5EF4-FFF2-40B4-BE49-F238E27FC236}">
              <a16:creationId xmlns:a16="http://schemas.microsoft.com/office/drawing/2014/main" id="{91EDEBB1-0D71-2ACA-6F13-3AD71F169D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0.62997</cdr:x>
      <cdr:y>0.25189</cdr:y>
    </cdr:from>
    <cdr:to>
      <cdr:x>0.94648</cdr:x>
      <cdr:y>0.31738</cdr:y>
    </cdr:to>
    <cdr:sp macro="" textlink="">
      <cdr:nvSpPr>
        <cdr:cNvPr id="2" name="TextBox 1">
          <a:extLst xmlns:a="http://schemas.openxmlformats.org/drawingml/2006/main">
            <a:ext uri="{FF2B5EF4-FFF2-40B4-BE49-F238E27FC236}">
              <a16:creationId xmlns:a16="http://schemas.microsoft.com/office/drawing/2014/main" id="{4DBF229F-ADA3-CAC9-C97D-1E3A7764C71E}"/>
            </a:ext>
          </a:extLst>
        </cdr:cNvPr>
        <cdr:cNvSpPr txBox="1"/>
      </cdr:nvSpPr>
      <cdr:spPr>
        <a:xfrm xmlns:a="http://schemas.openxmlformats.org/drawingml/2006/main">
          <a:off x="3924300" y="952500"/>
          <a:ext cx="1971675" cy="247650"/>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nchor="ctr"/>
        <a:lstStyle xmlns:a="http://schemas.openxmlformats.org/drawingml/2006/main"/>
        <a:p xmlns:a="http://schemas.openxmlformats.org/drawingml/2006/main">
          <a:r>
            <a:rPr lang="en-IN" sz="1100" b="1"/>
            <a:t>EBITDA Margin &amp; EBIT Margin</a:t>
          </a:r>
        </a:p>
      </cdr:txBody>
    </cdr:sp>
  </cdr:relSizeAnchor>
  <cdr:relSizeAnchor xmlns:cdr="http://schemas.openxmlformats.org/drawingml/2006/chartDrawing">
    <cdr:from>
      <cdr:x>0.49592</cdr:x>
      <cdr:y>0.7691</cdr:y>
    </cdr:from>
    <cdr:to>
      <cdr:x>0.77523</cdr:x>
      <cdr:y>0.83459</cdr:y>
    </cdr:to>
    <cdr:sp macro="" textlink="">
      <cdr:nvSpPr>
        <cdr:cNvPr id="3" name="TextBox 1">
          <a:extLst xmlns:a="http://schemas.openxmlformats.org/drawingml/2006/main">
            <a:ext uri="{FF2B5EF4-FFF2-40B4-BE49-F238E27FC236}">
              <a16:creationId xmlns:a16="http://schemas.microsoft.com/office/drawing/2014/main" id="{5544BAE7-D8E2-4BAE-52CF-7162371D1A0D}"/>
            </a:ext>
          </a:extLst>
        </cdr:cNvPr>
        <cdr:cNvSpPr txBox="1"/>
      </cdr:nvSpPr>
      <cdr:spPr>
        <a:xfrm xmlns:a="http://schemas.openxmlformats.org/drawingml/2006/main">
          <a:off x="3089276" y="2908300"/>
          <a:ext cx="1739900" cy="247650"/>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IN" sz="1100" b="1"/>
            <a:t>PBT Margin &amp; PAT Margin</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76199</xdr:colOff>
      <xdr:row>7</xdr:row>
      <xdr:rowOff>123824</xdr:rowOff>
    </xdr:from>
    <xdr:to>
      <xdr:col>1</xdr:col>
      <xdr:colOff>552449</xdr:colOff>
      <xdr:row>7</xdr:row>
      <xdr:rowOff>304800</xdr:rowOff>
    </xdr:to>
    <xdr:sp macro="" textlink="">
      <xdr:nvSpPr>
        <xdr:cNvPr id="2" name="Right Arrow 5">
          <a:extLst>
            <a:ext uri="{FF2B5EF4-FFF2-40B4-BE49-F238E27FC236}">
              <a16:creationId xmlns:a16="http://schemas.microsoft.com/office/drawing/2014/main" id="{38E23E7C-F532-4321-A967-DFC5C29AA351}"/>
            </a:ext>
          </a:extLst>
        </xdr:cNvPr>
        <xdr:cNvSpPr/>
      </xdr:nvSpPr>
      <xdr:spPr>
        <a:xfrm rot="10800000">
          <a:off x="1857374" y="1647824"/>
          <a:ext cx="476250" cy="18097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FA2\Desktop\VIS(2023-24)-PL424-350-554_SKBHL\Old%20Valuation%20Report\VIS(2021-22)-PL%20835-735-932%20ENTERPRISE%20VALUE%20SKBHL\Gaurav%20Final%20Working%20june%202022\Final%20Workings%20and%20report\Enterprise%20Value%20of%20SEW%20Krishnagar%20Baharampore%20Highway%20Limited.xlsx" TargetMode="External"/><Relationship Id="rId2" Type="http://schemas.microsoft.com/office/2019/04/relationships/externalLinkLongPath" Target="/Users/FA2/Desktop/VIS(2023-24)-PL424-350-554_SKBHL/Old%20Valuation%20Report/VIS(2021-22)-PL%20835-735-932%20ENTERPRISE%20VALUE%20SKBHL/Gaurav%20Final%20Working%20june%202022/Final%20Workings%20and%20report/Enterprise%20Value%20of%20SEW%20Krishnagar%20Baharampore%20Highway%20Limited.xlsx?90793D34" TargetMode="External"/><Relationship Id="rId1" Type="http://schemas.openxmlformats.org/officeDocument/2006/relationships/externalLinkPath" Target="file:///\\90793D34\Enterprise%20Value%20of%20SEW%20Krishnagar%20Baharampore%20Highway%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ash Board"/>
      <sheetName val="DCF"/>
      <sheetName val="Projections"/>
      <sheetName val="Sheet1"/>
      <sheetName val="Operational Revenue"/>
      <sheetName val="Revenue 2022"/>
      <sheetName val="WACC"/>
      <sheetName val="Loan Schedule &amp; WC"/>
      <sheetName val="Depriciation"/>
    </sheetNames>
    <sheetDataSet>
      <sheetData sheetId="0" refreshError="1"/>
      <sheetData sheetId="1">
        <row r="21">
          <cell r="D21">
            <v>0.11550000000000001</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hyperlink" Target="https://kunaldesai.blog/nifty-return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FDD50-AE5E-4E91-8BD8-D784BDC22BDB}">
  <dimension ref="B1:D21"/>
  <sheetViews>
    <sheetView workbookViewId="0">
      <selection activeCell="D18" sqref="D18"/>
    </sheetView>
  </sheetViews>
  <sheetFormatPr defaultRowHeight="15"/>
  <cols>
    <col min="2" max="2" width="22.5703125" style="37" bestFit="1" customWidth="1"/>
    <col min="3" max="3" width="44.42578125" style="35" bestFit="1" customWidth="1"/>
  </cols>
  <sheetData>
    <row r="1" spans="2:3" ht="18.75" customHeight="1">
      <c r="B1" s="37" t="s">
        <v>45</v>
      </c>
      <c r="C1" s="35" t="s">
        <v>131</v>
      </c>
    </row>
    <row r="2" spans="2:3" ht="18.75" customHeight="1">
      <c r="B2" s="37" t="s">
        <v>132</v>
      </c>
      <c r="C2" s="35" t="s">
        <v>133</v>
      </c>
    </row>
    <row r="3" spans="2:3">
      <c r="B3" s="37" t="s">
        <v>46</v>
      </c>
      <c r="C3" s="35" t="s">
        <v>47</v>
      </c>
    </row>
    <row r="4" spans="2:3">
      <c r="B4" s="37" t="s">
        <v>48</v>
      </c>
      <c r="C4" s="35" t="s">
        <v>49</v>
      </c>
    </row>
    <row r="5" spans="2:3">
      <c r="B5" s="37" t="s">
        <v>50</v>
      </c>
      <c r="C5" s="35" t="s">
        <v>51</v>
      </c>
    </row>
    <row r="6" spans="2:3">
      <c r="B6" s="37" t="s">
        <v>52</v>
      </c>
      <c r="C6" s="35" t="s">
        <v>53</v>
      </c>
    </row>
    <row r="7" spans="2:3">
      <c r="B7" s="37" t="s">
        <v>54</v>
      </c>
      <c r="C7" s="35" t="s">
        <v>55</v>
      </c>
    </row>
    <row r="8" spans="2:3">
      <c r="B8" s="37" t="s">
        <v>56</v>
      </c>
      <c r="C8" s="35" t="s">
        <v>57</v>
      </c>
    </row>
    <row r="9" spans="2:3">
      <c r="B9" s="37" t="s">
        <v>58</v>
      </c>
      <c r="C9" s="35" t="s">
        <v>94</v>
      </c>
    </row>
    <row r="10" spans="2:3">
      <c r="B10" s="37" t="s">
        <v>59</v>
      </c>
      <c r="C10" s="36">
        <v>40949</v>
      </c>
    </row>
    <row r="11" spans="2:3">
      <c r="B11" s="37" t="s">
        <v>60</v>
      </c>
      <c r="C11" s="36">
        <v>41830</v>
      </c>
    </row>
    <row r="12" spans="2:3">
      <c r="B12" s="37" t="s">
        <v>61</v>
      </c>
      <c r="C12" s="36">
        <v>43465</v>
      </c>
    </row>
    <row r="13" spans="2:3">
      <c r="B13" s="37" t="s">
        <v>62</v>
      </c>
      <c r="C13" s="35" t="s">
        <v>63</v>
      </c>
    </row>
    <row r="14" spans="2:3">
      <c r="B14" s="37" t="s">
        <v>64</v>
      </c>
      <c r="C14" s="35" t="s">
        <v>65</v>
      </c>
    </row>
    <row r="15" spans="2:3">
      <c r="B15" s="37" t="s">
        <v>66</v>
      </c>
      <c r="C15" s="35" t="s">
        <v>67</v>
      </c>
    </row>
    <row r="16" spans="2:3">
      <c r="B16" s="37" t="s">
        <v>68</v>
      </c>
      <c r="C16" s="36">
        <v>43905</v>
      </c>
    </row>
    <row r="17" spans="2:4">
      <c r="B17" s="37" t="s">
        <v>69</v>
      </c>
      <c r="C17" s="36">
        <v>44019</v>
      </c>
    </row>
    <row r="18" spans="2:4">
      <c r="B18" s="37" t="s">
        <v>70</v>
      </c>
      <c r="C18" s="35" t="s">
        <v>71</v>
      </c>
      <c r="D18" t="s">
        <v>134</v>
      </c>
    </row>
    <row r="19" spans="2:4">
      <c r="B19" s="37" t="s">
        <v>95</v>
      </c>
      <c r="C19" s="36">
        <v>46428</v>
      </c>
    </row>
    <row r="21" spans="2:4">
      <c r="B21" s="37" t="s">
        <v>72</v>
      </c>
      <c r="C21" s="35" t="s">
        <v>73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6E23-6242-4956-A1C9-223FB5925418}">
  <dimension ref="B1:J16"/>
  <sheetViews>
    <sheetView workbookViewId="0">
      <selection activeCell="I15" sqref="I15"/>
    </sheetView>
  </sheetViews>
  <sheetFormatPr defaultRowHeight="15"/>
  <cols>
    <col min="2" max="2" width="25.5703125" bestFit="1" customWidth="1"/>
    <col min="3" max="3" width="20.28515625" bestFit="1" customWidth="1"/>
    <col min="4" max="4" width="16.85546875" bestFit="1" customWidth="1"/>
    <col min="5" max="5" width="16.42578125" bestFit="1" customWidth="1"/>
    <col min="6" max="6" width="17.5703125" bestFit="1" customWidth="1"/>
    <col min="7" max="7" width="16.85546875" bestFit="1" customWidth="1"/>
    <col min="8" max="8" width="14.28515625" bestFit="1" customWidth="1"/>
    <col min="9" max="15" width="15" bestFit="1" customWidth="1"/>
  </cols>
  <sheetData>
    <row r="1" spans="2:10">
      <c r="F1" s="106" t="s">
        <v>97</v>
      </c>
      <c r="G1" s="107"/>
    </row>
    <row r="2" spans="2:10" ht="15.75" thickBot="1">
      <c r="F2" s="108"/>
      <c r="G2" s="109"/>
    </row>
    <row r="3" spans="2:10">
      <c r="C3" s="68" t="s">
        <v>98</v>
      </c>
      <c r="D3" s="58">
        <f>595.8*10^7</f>
        <v>5958000000</v>
      </c>
    </row>
    <row r="4" spans="2:10">
      <c r="C4" s="68" t="s">
        <v>99</v>
      </c>
      <c r="D4" s="59">
        <f>5</f>
        <v>5</v>
      </c>
    </row>
    <row r="5" spans="2:10">
      <c r="C5" s="68" t="s">
        <v>100</v>
      </c>
      <c r="D5" s="60">
        <v>0.11799999999999999</v>
      </c>
      <c r="F5" t="s">
        <v>110</v>
      </c>
    </row>
    <row r="6" spans="2:10">
      <c r="C6" s="110" t="s">
        <v>101</v>
      </c>
      <c r="D6" s="58">
        <f>PMT(D5,D4,D3,0)</f>
        <v>-1644625931.0506637</v>
      </c>
    </row>
    <row r="7" spans="2:10">
      <c r="C7" s="111"/>
      <c r="D7" s="58">
        <f>-D6</f>
        <v>1644625931.0506637</v>
      </c>
    </row>
    <row r="11" spans="2:10">
      <c r="B11" s="62" t="s">
        <v>102</v>
      </c>
      <c r="C11" s="62" t="s">
        <v>103</v>
      </c>
      <c r="D11" s="62" t="s">
        <v>104</v>
      </c>
      <c r="E11" s="62" t="s">
        <v>113</v>
      </c>
      <c r="F11" s="62" t="s">
        <v>105</v>
      </c>
      <c r="G11" s="62" t="s">
        <v>106</v>
      </c>
    </row>
    <row r="12" spans="2:10">
      <c r="B12" s="20">
        <v>1</v>
      </c>
      <c r="C12" s="69">
        <f>D3</f>
        <v>5958000000</v>
      </c>
      <c r="D12" s="69">
        <f>D7</f>
        <v>1644625931.0506637</v>
      </c>
      <c r="E12" s="69">
        <f>C12*$D$5</f>
        <v>703044000</v>
      </c>
      <c r="F12" s="69">
        <f>D12-E12</f>
        <v>941581931.05066371</v>
      </c>
      <c r="G12" s="69">
        <f>C12-F12</f>
        <v>5016418068.9493361</v>
      </c>
    </row>
    <row r="13" spans="2:10">
      <c r="B13" s="20">
        <v>2</v>
      </c>
      <c r="C13" s="69">
        <f>G12</f>
        <v>5016418068.9493361</v>
      </c>
      <c r="D13" s="69">
        <f>D12</f>
        <v>1644625931.0506637</v>
      </c>
      <c r="E13" s="69">
        <f>C13*$D$5</f>
        <v>591937332.13602161</v>
      </c>
      <c r="F13" s="69">
        <f>D13-E13</f>
        <v>1052688598.9146421</v>
      </c>
      <c r="G13" s="69">
        <f>C13-F13</f>
        <v>3963729470.0346937</v>
      </c>
    </row>
    <row r="14" spans="2:10">
      <c r="B14" s="20">
        <v>3</v>
      </c>
      <c r="C14" s="69">
        <f t="shared" ref="C14:C16" si="0">G13</f>
        <v>3963729470.0346937</v>
      </c>
      <c r="D14" s="69">
        <f t="shared" ref="D14:D16" si="1">D13</f>
        <v>1644625931.0506637</v>
      </c>
      <c r="E14" s="69">
        <f t="shared" ref="E14:E16" si="2">C14*$D$5</f>
        <v>467720077.4640938</v>
      </c>
      <c r="F14" s="69">
        <f t="shared" ref="F14:F16" si="3">D14-E14</f>
        <v>1176905853.5865698</v>
      </c>
      <c r="G14" s="69">
        <f t="shared" ref="G14:G16" si="4">C14-F14</f>
        <v>2786823616.4481239</v>
      </c>
    </row>
    <row r="15" spans="2:10">
      <c r="B15" s="20">
        <v>4</v>
      </c>
      <c r="C15" s="69">
        <f t="shared" si="0"/>
        <v>2786823616.4481239</v>
      </c>
      <c r="D15" s="69">
        <f t="shared" si="1"/>
        <v>1644625931.0506637</v>
      </c>
      <c r="E15" s="69">
        <f t="shared" si="2"/>
        <v>328845186.74087858</v>
      </c>
      <c r="F15" s="69">
        <f t="shared" si="3"/>
        <v>1315780744.3097851</v>
      </c>
      <c r="G15" s="69">
        <f t="shared" si="4"/>
        <v>1471042872.1383388</v>
      </c>
    </row>
    <row r="16" spans="2:10">
      <c r="B16" s="20">
        <v>5</v>
      </c>
      <c r="C16" s="69">
        <f t="shared" si="0"/>
        <v>1471042872.1383388</v>
      </c>
      <c r="D16" s="69">
        <f t="shared" si="1"/>
        <v>1644625931.0506637</v>
      </c>
      <c r="E16" s="69">
        <f t="shared" si="2"/>
        <v>173583058.91232398</v>
      </c>
      <c r="F16" s="69">
        <f t="shared" si="3"/>
        <v>1471042872.1383398</v>
      </c>
      <c r="G16" s="69">
        <f t="shared" si="4"/>
        <v>0</v>
      </c>
      <c r="J16" s="61"/>
    </row>
  </sheetData>
  <mergeCells count="2">
    <mergeCell ref="F1:G2"/>
    <mergeCell ref="C6:C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BC89-9FAF-45A1-A8F5-3E937E5A01E5}">
  <dimension ref="C2:M41"/>
  <sheetViews>
    <sheetView workbookViewId="0">
      <selection activeCell="G8" sqref="G8:G12"/>
    </sheetView>
  </sheetViews>
  <sheetFormatPr defaultRowHeight="15"/>
  <cols>
    <col min="3" max="3" width="12.7109375" customWidth="1"/>
    <col min="4" max="4" width="17.7109375" customWidth="1"/>
    <col min="5" max="5" width="14" bestFit="1" customWidth="1"/>
    <col min="6" max="6" width="13.28515625" bestFit="1" customWidth="1"/>
    <col min="7" max="8" width="14.85546875" bestFit="1" customWidth="1"/>
    <col min="9" max="9" width="13.42578125" bestFit="1" customWidth="1"/>
    <col min="10" max="10" width="11.7109375" bestFit="1" customWidth="1"/>
    <col min="11" max="11" width="5.140625" customWidth="1"/>
    <col min="12" max="12" width="17.5703125" bestFit="1" customWidth="1"/>
    <col min="13" max="13" width="14" bestFit="1" customWidth="1"/>
    <col min="14" max="14" width="20.140625" bestFit="1" customWidth="1"/>
    <col min="15" max="15" width="17.5703125" bestFit="1" customWidth="1"/>
    <col min="16" max="16" width="15.85546875" bestFit="1" customWidth="1"/>
  </cols>
  <sheetData>
    <row r="2" spans="3:13">
      <c r="D2" s="9"/>
    </row>
    <row r="3" spans="3:13">
      <c r="D3" s="61">
        <f>1/5</f>
        <v>0.2</v>
      </c>
      <c r="F3" s="61"/>
      <c r="M3" s="61"/>
    </row>
    <row r="4" spans="3:13">
      <c r="M4" s="61"/>
    </row>
    <row r="5" spans="3:13">
      <c r="M5" s="61"/>
    </row>
    <row r="6" spans="3:13">
      <c r="C6" s="62" t="s">
        <v>12</v>
      </c>
      <c r="D6" s="63" t="s">
        <v>111</v>
      </c>
      <c r="E6" s="62" t="s">
        <v>112</v>
      </c>
      <c r="F6" s="62" t="s">
        <v>108</v>
      </c>
      <c r="G6" s="62" t="s">
        <v>109</v>
      </c>
      <c r="M6" s="61"/>
    </row>
    <row r="7" spans="3:13">
      <c r="C7" s="20">
        <v>2023</v>
      </c>
      <c r="D7" s="35"/>
      <c r="E7" s="65"/>
      <c r="F7" s="66">
        <f>G7*E7</f>
        <v>0</v>
      </c>
      <c r="G7" s="67">
        <v>41.65</v>
      </c>
      <c r="M7" s="61"/>
    </row>
    <row r="8" spans="3:13">
      <c r="C8" s="20">
        <f>C7+1</f>
        <v>2024</v>
      </c>
      <c r="D8" s="66">
        <f>G7</f>
        <v>41.65</v>
      </c>
      <c r="E8" s="65">
        <f>D3</f>
        <v>0.2</v>
      </c>
      <c r="F8" s="66">
        <f>D8*E8</f>
        <v>8.33</v>
      </c>
      <c r="G8" s="66">
        <f>D8-F8</f>
        <v>33.32</v>
      </c>
      <c r="M8" s="61"/>
    </row>
    <row r="9" spans="3:13">
      <c r="C9" s="20">
        <f t="shared" ref="C9:C12" si="0">C8+1</f>
        <v>2025</v>
      </c>
      <c r="D9" s="66">
        <f>G8</f>
        <v>33.32</v>
      </c>
      <c r="E9" s="65">
        <f t="shared" ref="E9:F12" si="1">E8</f>
        <v>0.2</v>
      </c>
      <c r="F9" s="66">
        <f>F8</f>
        <v>8.33</v>
      </c>
      <c r="G9" s="66">
        <f>D9-F9</f>
        <v>24.990000000000002</v>
      </c>
      <c r="M9" s="61"/>
    </row>
    <row r="10" spans="3:13">
      <c r="C10" s="20">
        <f t="shared" si="0"/>
        <v>2026</v>
      </c>
      <c r="D10" s="66">
        <f>G9</f>
        <v>24.990000000000002</v>
      </c>
      <c r="E10" s="65">
        <f t="shared" si="1"/>
        <v>0.2</v>
      </c>
      <c r="F10" s="66">
        <f t="shared" si="1"/>
        <v>8.33</v>
      </c>
      <c r="G10" s="66">
        <f>D10-F10</f>
        <v>16.660000000000004</v>
      </c>
      <c r="M10" s="61"/>
    </row>
    <row r="11" spans="3:13">
      <c r="C11" s="20">
        <f t="shared" si="0"/>
        <v>2027</v>
      </c>
      <c r="D11" s="66">
        <f>G10</f>
        <v>16.660000000000004</v>
      </c>
      <c r="E11" s="65">
        <f t="shared" si="1"/>
        <v>0.2</v>
      </c>
      <c r="F11" s="66">
        <f t="shared" si="1"/>
        <v>8.33</v>
      </c>
      <c r="G11" s="66">
        <f>D11-F11</f>
        <v>8.3300000000000036</v>
      </c>
      <c r="M11" s="61"/>
    </row>
    <row r="12" spans="3:13">
      <c r="C12" s="20">
        <f t="shared" si="0"/>
        <v>2028</v>
      </c>
      <c r="D12" s="66">
        <f>G11</f>
        <v>8.3300000000000036</v>
      </c>
      <c r="E12" s="65">
        <f t="shared" si="1"/>
        <v>0.2</v>
      </c>
      <c r="F12" s="66">
        <f t="shared" si="1"/>
        <v>8.33</v>
      </c>
      <c r="G12" s="66">
        <f>D12-F12</f>
        <v>0</v>
      </c>
      <c r="M12" s="61"/>
    </row>
    <row r="13" spans="3:13">
      <c r="M13" s="61"/>
    </row>
    <row r="14" spans="3:13">
      <c r="M14" s="61"/>
    </row>
    <row r="15" spans="3:13">
      <c r="H15" s="26"/>
      <c r="M15" s="61"/>
    </row>
    <row r="16" spans="3:13">
      <c r="D16" t="s">
        <v>119</v>
      </c>
      <c r="M16" s="61"/>
    </row>
    <row r="17" spans="13:13">
      <c r="M17" s="61"/>
    </row>
    <row r="18" spans="13:13">
      <c r="M18" s="61"/>
    </row>
    <row r="19" spans="13:13">
      <c r="M19" s="61"/>
    </row>
    <row r="20" spans="13:13">
      <c r="M20" s="61"/>
    </row>
    <row r="21" spans="13:13">
      <c r="M21" s="61"/>
    </row>
    <row r="22" spans="13:13">
      <c r="M22" s="61"/>
    </row>
    <row r="23" spans="13:13">
      <c r="M23" s="61"/>
    </row>
    <row r="24" spans="13:13">
      <c r="M24" s="61"/>
    </row>
    <row r="25" spans="13:13">
      <c r="M25" s="61"/>
    </row>
    <row r="26" spans="13:13">
      <c r="M26" s="61"/>
    </row>
    <row r="27" spans="13:13">
      <c r="M27" s="61"/>
    </row>
    <row r="28" spans="13:13">
      <c r="M28" s="61"/>
    </row>
    <row r="29" spans="13:13">
      <c r="M29" s="61"/>
    </row>
    <row r="30" spans="13:13">
      <c r="M30" s="61"/>
    </row>
    <row r="31" spans="13:13">
      <c r="M31" s="61"/>
    </row>
    <row r="32" spans="13:13">
      <c r="M32" s="61"/>
    </row>
    <row r="33" spans="13:13">
      <c r="M33" s="61"/>
    </row>
    <row r="34" spans="13:13">
      <c r="M34" s="61"/>
    </row>
    <row r="35" spans="13:13">
      <c r="M35" s="61"/>
    </row>
    <row r="36" spans="13:13">
      <c r="M36" s="61"/>
    </row>
    <row r="37" spans="13:13">
      <c r="M37" s="61"/>
    </row>
    <row r="38" spans="13:13">
      <c r="M38" s="61"/>
    </row>
    <row r="39" spans="13:13">
      <c r="M39" s="61"/>
    </row>
    <row r="40" spans="13:13">
      <c r="M40" s="61"/>
    </row>
    <row r="41" spans="13:13">
      <c r="M41" s="6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D6"/>
  <sheetViews>
    <sheetView workbookViewId="0">
      <selection activeCell="D5" sqref="D5"/>
    </sheetView>
  </sheetViews>
  <sheetFormatPr defaultRowHeight="15"/>
  <cols>
    <col min="2" max="2" width="30" bestFit="1" customWidth="1"/>
  </cols>
  <sheetData>
    <row r="2" spans="1:4">
      <c r="A2" s="8" t="s">
        <v>27</v>
      </c>
      <c r="B2" t="s">
        <v>28</v>
      </c>
      <c r="D2" s="24">
        <v>0.15</v>
      </c>
    </row>
    <row r="4" spans="1:4">
      <c r="B4" t="s">
        <v>29</v>
      </c>
      <c r="D4" s="24">
        <v>7.0000000000000007E-2</v>
      </c>
    </row>
    <row r="6" spans="1:4">
      <c r="B6" t="s">
        <v>18</v>
      </c>
      <c r="D6" s="24">
        <f>D2+D4</f>
        <v>0.22</v>
      </c>
    </row>
  </sheetData>
  <hyperlinks>
    <hyperlink ref="A2" r:id="rId1" xr:uid="{00000000-0004-0000-03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2:M17"/>
  <sheetViews>
    <sheetView showGridLines="0" workbookViewId="0">
      <selection activeCell="D13" sqref="D13:H17"/>
    </sheetView>
  </sheetViews>
  <sheetFormatPr defaultRowHeight="15"/>
  <cols>
    <col min="1" max="1" width="28.42578125" bestFit="1" customWidth="1"/>
    <col min="2" max="2" width="54" bestFit="1" customWidth="1"/>
    <col min="3" max="3" width="13.5703125" bestFit="1" customWidth="1"/>
    <col min="4" max="13" width="12.7109375" customWidth="1"/>
  </cols>
  <sheetData>
    <row r="2" spans="1:13" ht="15.75">
      <c r="B2" s="6" t="s">
        <v>10</v>
      </c>
      <c r="C2" s="5"/>
      <c r="D2" s="17"/>
      <c r="E2" s="17"/>
      <c r="F2" s="17"/>
      <c r="G2" s="17"/>
      <c r="H2" s="17"/>
      <c r="I2" s="17"/>
      <c r="J2" s="17"/>
      <c r="K2" s="17"/>
      <c r="L2" s="17"/>
      <c r="M2" s="17"/>
    </row>
    <row r="3" spans="1:13">
      <c r="C3" s="16" t="s">
        <v>0</v>
      </c>
    </row>
    <row r="4" spans="1:13" ht="15.75">
      <c r="B4" s="15" t="s">
        <v>11</v>
      </c>
      <c r="C4" s="7"/>
    </row>
    <row r="6" spans="1:13">
      <c r="B6" s="14" t="s">
        <v>1</v>
      </c>
      <c r="C6" s="14" t="s">
        <v>2</v>
      </c>
      <c r="J6">
        <f>100/6</f>
        <v>16.666666666666668</v>
      </c>
    </row>
    <row r="7" spans="1:13">
      <c r="A7" t="s">
        <v>96</v>
      </c>
      <c r="B7" s="13" t="s">
        <v>16</v>
      </c>
      <c r="C7" s="12">
        <v>1481.12</v>
      </c>
      <c r="D7" s="23">
        <v>0.15</v>
      </c>
    </row>
    <row r="8" spans="1:13">
      <c r="B8" s="11" t="s">
        <v>17</v>
      </c>
      <c r="C8" s="10">
        <f>C7*D7</f>
        <v>222.16799999999998</v>
      </c>
    </row>
    <row r="9" spans="1:13">
      <c r="C9" s="9"/>
    </row>
    <row r="12" spans="1:13">
      <c r="B12" s="14" t="s">
        <v>3</v>
      </c>
      <c r="C12" s="14"/>
      <c r="D12" s="18">
        <v>2024</v>
      </c>
      <c r="E12" s="18">
        <f>D12+1</f>
        <v>2025</v>
      </c>
      <c r="F12" s="18">
        <f>E12+1</f>
        <v>2026</v>
      </c>
      <c r="G12" s="18">
        <f>F12+1</f>
        <v>2027</v>
      </c>
      <c r="H12" s="18">
        <f>G12+1</f>
        <v>2028</v>
      </c>
    </row>
    <row r="13" spans="1:13">
      <c r="B13" s="13" t="s">
        <v>4</v>
      </c>
      <c r="C13" s="20"/>
      <c r="D13" s="19">
        <v>0.15</v>
      </c>
      <c r="E13" s="19">
        <v>0.15</v>
      </c>
      <c r="F13" s="19">
        <v>0.2</v>
      </c>
      <c r="G13" s="19">
        <v>0.25</v>
      </c>
      <c r="H13" s="19">
        <v>0.25</v>
      </c>
    </row>
    <row r="14" spans="1:13">
      <c r="B14" s="13" t="s">
        <v>5</v>
      </c>
      <c r="C14" s="20"/>
      <c r="D14" s="12">
        <f>$C$8*D13</f>
        <v>33.325199999999995</v>
      </c>
      <c r="E14" s="12">
        <f>$C$8*E13</f>
        <v>33.325199999999995</v>
      </c>
      <c r="F14" s="12">
        <f>$C$8*F13</f>
        <v>44.433599999999998</v>
      </c>
      <c r="G14" s="12">
        <f>$C$8*G13</f>
        <v>55.541999999999994</v>
      </c>
      <c r="H14" s="12">
        <f t="shared" ref="H14" si="0">$C$8*H13</f>
        <v>55.541999999999994</v>
      </c>
    </row>
    <row r="15" spans="1:13">
      <c r="B15" s="13" t="s">
        <v>6</v>
      </c>
      <c r="C15" s="21">
        <v>0.1</v>
      </c>
      <c r="D15" s="12">
        <f>D14*$C$15</f>
        <v>3.3325199999999997</v>
      </c>
      <c r="E15" s="12">
        <f>E14*$C$15</f>
        <v>3.3325199999999997</v>
      </c>
      <c r="F15" s="12">
        <f>F14*$C$15</f>
        <v>4.4433600000000002</v>
      </c>
      <c r="G15" s="12">
        <f>G14*$C$15</f>
        <v>5.5541999999999998</v>
      </c>
      <c r="H15" s="12">
        <f t="shared" ref="H15" si="1">H14*$C$15</f>
        <v>5.5541999999999998</v>
      </c>
    </row>
    <row r="16" spans="1:13">
      <c r="B16" s="13" t="s">
        <v>7</v>
      </c>
      <c r="C16" s="21">
        <v>0.05</v>
      </c>
      <c r="D16" s="12">
        <f>D14*$C$16</f>
        <v>1.6662599999999999</v>
      </c>
      <c r="E16" s="12">
        <f>E14*$C$16</f>
        <v>1.6662599999999999</v>
      </c>
      <c r="F16" s="12">
        <f>F14*$C$16</f>
        <v>2.2216800000000001</v>
      </c>
      <c r="G16" s="12">
        <f>G14*$C$16</f>
        <v>2.7770999999999999</v>
      </c>
      <c r="H16" s="12">
        <f t="shared" ref="H16" si="2">H14*$C$16</f>
        <v>2.7770999999999999</v>
      </c>
    </row>
    <row r="17" spans="2:8">
      <c r="B17" s="13" t="s">
        <v>9</v>
      </c>
      <c r="C17" s="20"/>
      <c r="D17" s="12">
        <f>D14-D15-D16</f>
        <v>28.326419999999995</v>
      </c>
      <c r="E17" s="12">
        <f>E14-E15-E16</f>
        <v>28.326419999999995</v>
      </c>
      <c r="F17" s="12">
        <f>F14-F15-F16</f>
        <v>37.768560000000001</v>
      </c>
      <c r="G17" s="12">
        <f>G14-G15-G16</f>
        <v>47.210699999999996</v>
      </c>
      <c r="H17" s="12">
        <f t="shared" ref="H17" si="3">H14-H15-H16</f>
        <v>47.210699999999996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C6BFA-8A3A-418C-8A5A-E8521D51C2FB}">
  <sheetPr>
    <tabColor theme="6" tint="-0.499984740745262"/>
  </sheetPr>
  <dimension ref="B1:G21"/>
  <sheetViews>
    <sheetView workbookViewId="0">
      <selection activeCell="C19" sqref="C19:G19"/>
    </sheetView>
  </sheetViews>
  <sheetFormatPr defaultRowHeight="15"/>
  <cols>
    <col min="2" max="2" width="31.5703125" bestFit="1" customWidth="1"/>
    <col min="3" max="6" width="19.85546875" customWidth="1"/>
    <col min="7" max="7" width="19.85546875" style="117" customWidth="1"/>
  </cols>
  <sheetData>
    <row r="1" spans="2:7">
      <c r="G1" s="112"/>
    </row>
    <row r="2" spans="2:7">
      <c r="B2" s="54" t="s">
        <v>90</v>
      </c>
      <c r="C2" s="54"/>
      <c r="D2" s="54"/>
      <c r="E2" s="54"/>
      <c r="F2" s="54"/>
      <c r="G2" s="54"/>
    </row>
    <row r="3" spans="2:7">
      <c r="B3" s="38"/>
      <c r="C3" s="38"/>
      <c r="D3" s="38"/>
      <c r="E3" s="38"/>
      <c r="F3" s="38"/>
      <c r="G3" s="113" t="s">
        <v>114</v>
      </c>
    </row>
    <row r="4" spans="2:7">
      <c r="B4" s="39" t="s">
        <v>91</v>
      </c>
      <c r="C4" s="39"/>
      <c r="D4" s="39"/>
      <c r="E4" s="39"/>
      <c r="F4" s="39"/>
      <c r="G4" s="39"/>
    </row>
    <row r="5" spans="2:7">
      <c r="B5" s="38"/>
      <c r="C5" s="38"/>
      <c r="D5" s="38"/>
      <c r="E5" s="38"/>
      <c r="F5" s="38"/>
      <c r="G5" s="112"/>
    </row>
    <row r="6" spans="2:7">
      <c r="B6" s="55" t="s">
        <v>1</v>
      </c>
      <c r="C6" s="88">
        <v>45382</v>
      </c>
      <c r="D6" s="88">
        <f>EDATE(C6,12)</f>
        <v>45747</v>
      </c>
      <c r="E6" s="88">
        <f t="shared" ref="E6:G6" si="0">EDATE(D6,12)</f>
        <v>46112</v>
      </c>
      <c r="F6" s="88">
        <f t="shared" si="0"/>
        <v>46477</v>
      </c>
      <c r="G6" s="88">
        <f t="shared" si="0"/>
        <v>46843</v>
      </c>
    </row>
    <row r="7" spans="2:7">
      <c r="B7" t="s">
        <v>23</v>
      </c>
      <c r="C7" s="87">
        <f>'Projected P&amp;L'!C19</f>
        <v>170.441606053615</v>
      </c>
      <c r="D7" s="87">
        <f>'Projected P&amp;L'!D19</f>
        <v>83.398897956295741</v>
      </c>
      <c r="E7" s="87">
        <f>'Projected P&amp;L'!E19</f>
        <v>131.25365450411056</v>
      </c>
      <c r="F7" s="87">
        <f>'Projected P&amp;L'!F19</f>
        <v>139.07321003431605</v>
      </c>
      <c r="G7" s="114">
        <f>'Projected P&amp;L'!G19</f>
        <v>110.81757424153187</v>
      </c>
    </row>
    <row r="8" spans="2:7">
      <c r="C8" s="35"/>
      <c r="D8" s="35"/>
      <c r="E8" s="35"/>
      <c r="F8" s="35"/>
      <c r="G8" s="115"/>
    </row>
    <row r="9" spans="2:7">
      <c r="B9" t="s">
        <v>24</v>
      </c>
      <c r="C9" s="87">
        <f>C7</f>
        <v>170.441606053615</v>
      </c>
      <c r="D9" s="87">
        <f t="shared" ref="D9:G9" si="1">D7</f>
        <v>83.398897956295741</v>
      </c>
      <c r="E9" s="87">
        <f t="shared" si="1"/>
        <v>131.25365450411056</v>
      </c>
      <c r="F9" s="87">
        <f t="shared" si="1"/>
        <v>139.07321003431605</v>
      </c>
      <c r="G9" s="114">
        <f t="shared" si="1"/>
        <v>110.81757424153187</v>
      </c>
    </row>
    <row r="10" spans="2:7">
      <c r="C10" s="87"/>
      <c r="D10" s="87"/>
      <c r="E10" s="87"/>
      <c r="F10" s="87"/>
      <c r="G10" s="114"/>
    </row>
    <row r="11" spans="2:7">
      <c r="B11" t="s">
        <v>18</v>
      </c>
      <c r="C11" s="89">
        <f>WACC!D6</f>
        <v>0.22</v>
      </c>
      <c r="D11" s="87"/>
      <c r="E11" s="87"/>
      <c r="F11" s="87"/>
      <c r="G11" s="114"/>
    </row>
    <row r="12" spans="2:7">
      <c r="C12" s="89"/>
      <c r="D12" s="87"/>
      <c r="E12" s="87"/>
      <c r="F12" s="87"/>
      <c r="G12" s="114"/>
    </row>
    <row r="13" spans="2:7">
      <c r="B13" t="s">
        <v>143</v>
      </c>
      <c r="C13" s="72">
        <v>45209</v>
      </c>
      <c r="D13" s="35"/>
      <c r="E13" s="35"/>
      <c r="F13" s="35"/>
      <c r="G13" s="115"/>
    </row>
    <row r="14" spans="2:7">
      <c r="C14" s="35"/>
      <c r="D14" s="35"/>
      <c r="E14" s="35"/>
      <c r="F14" s="35"/>
      <c r="G14" s="115"/>
    </row>
    <row r="15" spans="2:7">
      <c r="B15" t="s">
        <v>19</v>
      </c>
      <c r="C15" s="87">
        <f>(C6-C13)/365</f>
        <v>0.47397260273972602</v>
      </c>
      <c r="D15" s="87">
        <f>C15+1</f>
        <v>1.473972602739726</v>
      </c>
      <c r="E15" s="87">
        <f t="shared" ref="E15:G15" si="2">D15+1</f>
        <v>2.473972602739726</v>
      </c>
      <c r="F15" s="87">
        <f t="shared" si="2"/>
        <v>3.473972602739726</v>
      </c>
      <c r="G15" s="114">
        <f t="shared" si="2"/>
        <v>4.4739726027397264</v>
      </c>
    </row>
    <row r="16" spans="2:7">
      <c r="C16" s="35"/>
      <c r="D16" s="35"/>
      <c r="E16" s="35"/>
      <c r="F16" s="35"/>
      <c r="G16" s="115"/>
    </row>
    <row r="17" spans="2:7">
      <c r="B17" t="s">
        <v>8</v>
      </c>
      <c r="C17" s="90">
        <f>1/(1+$C$11)^C15</f>
        <v>0.91005534824237078</v>
      </c>
      <c r="D17" s="90">
        <f t="shared" ref="D17:G17" si="3">1/(1+$C$11)^D15</f>
        <v>0.74594700675604164</v>
      </c>
      <c r="E17" s="90">
        <f t="shared" si="3"/>
        <v>0.61143197275085381</v>
      </c>
      <c r="F17" s="90">
        <f t="shared" si="3"/>
        <v>0.50117374815643756</v>
      </c>
      <c r="G17" s="116">
        <f t="shared" si="3"/>
        <v>0.41079815422658811</v>
      </c>
    </row>
    <row r="18" spans="2:7">
      <c r="C18" s="35"/>
      <c r="D18" s="35"/>
      <c r="E18" s="35"/>
      <c r="F18" s="35"/>
      <c r="G18" s="115"/>
    </row>
    <row r="19" spans="2:7">
      <c r="B19" t="s">
        <v>25</v>
      </c>
      <c r="C19" s="87">
        <f>C9*C17</f>
        <v>155.11129515211158</v>
      </c>
      <c r="D19" s="87">
        <f t="shared" ref="D19:G19" si="4">D9*D17</f>
        <v>62.211158297251366</v>
      </c>
      <c r="E19" s="87">
        <f t="shared" si="4"/>
        <v>80.25268090420731</v>
      </c>
      <c r="F19" s="87">
        <f t="shared" si="4"/>
        <v>69.699841941045662</v>
      </c>
      <c r="G19" s="114">
        <f t="shared" si="4"/>
        <v>45.523654954289185</v>
      </c>
    </row>
    <row r="21" spans="2:7">
      <c r="B21" s="3" t="s">
        <v>144</v>
      </c>
      <c r="C21" s="91">
        <f>SUM(C19:F19)</f>
        <v>367.27497629461595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B1:H37"/>
  <sheetViews>
    <sheetView topLeftCell="A22" workbookViewId="0">
      <selection activeCell="H2" sqref="H2"/>
    </sheetView>
  </sheetViews>
  <sheetFormatPr defaultRowHeight="15"/>
  <cols>
    <col min="2" max="2" width="37.42578125" bestFit="1" customWidth="1"/>
    <col min="3" max="8" width="14.28515625" bestFit="1" customWidth="1"/>
    <col min="12" max="12" width="11" bestFit="1" customWidth="1"/>
  </cols>
  <sheetData>
    <row r="1" spans="2:8">
      <c r="C1">
        <v>1</v>
      </c>
      <c r="D1">
        <v>1</v>
      </c>
      <c r="E1">
        <v>1.66</v>
      </c>
      <c r="F1" s="3"/>
    </row>
    <row r="2" spans="2:8">
      <c r="B2">
        <f>61.2*10^7</f>
        <v>612000000</v>
      </c>
      <c r="C2">
        <f>C1+D1+E1</f>
        <v>3.66</v>
      </c>
      <c r="D2">
        <v>2</v>
      </c>
      <c r="E2">
        <v>2</v>
      </c>
      <c r="F2">
        <v>2</v>
      </c>
      <c r="G2">
        <v>2</v>
      </c>
      <c r="H2">
        <v>1.75</v>
      </c>
    </row>
    <row r="3" spans="2:8">
      <c r="B3" s="1" t="s">
        <v>12</v>
      </c>
      <c r="C3" s="22">
        <v>2023</v>
      </c>
      <c r="D3" s="22">
        <f>C3+1</f>
        <v>2024</v>
      </c>
      <c r="E3" s="22">
        <f t="shared" ref="E3:H3" si="0">D3+1</f>
        <v>2025</v>
      </c>
      <c r="F3" s="22">
        <f t="shared" si="0"/>
        <v>2026</v>
      </c>
      <c r="G3" s="22">
        <f t="shared" si="0"/>
        <v>2027</v>
      </c>
      <c r="H3" s="22">
        <f t="shared" si="0"/>
        <v>2028</v>
      </c>
    </row>
    <row r="4" spans="2:8">
      <c r="B4" s="2" t="s">
        <v>13</v>
      </c>
      <c r="C4" s="25">
        <f t="shared" ref="C4:H4" si="1">C2*$B$2/10^7</f>
        <v>223.99199999999999</v>
      </c>
      <c r="D4" s="25">
        <f t="shared" si="1"/>
        <v>122.4</v>
      </c>
      <c r="E4" s="25">
        <f t="shared" si="1"/>
        <v>122.4</v>
      </c>
      <c r="F4" s="25">
        <f t="shared" si="1"/>
        <v>122.4</v>
      </c>
      <c r="G4" s="25">
        <f t="shared" si="1"/>
        <v>122.4</v>
      </c>
      <c r="H4" s="25">
        <f t="shared" si="1"/>
        <v>107.1</v>
      </c>
    </row>
    <row r="5" spans="2:8">
      <c r="B5" s="2"/>
      <c r="C5" s="25"/>
      <c r="D5" s="25"/>
      <c r="E5" s="25"/>
      <c r="F5" s="25"/>
      <c r="G5" s="25"/>
      <c r="H5" s="25"/>
    </row>
    <row r="6" spans="2:8">
      <c r="B6" s="2" t="s">
        <v>20</v>
      </c>
      <c r="C6" s="25">
        <f>D6</f>
        <v>28.326419999999995</v>
      </c>
      <c r="D6" s="25">
        <f>'Claims Calculation'!D17</f>
        <v>28.326419999999995</v>
      </c>
      <c r="E6" s="25">
        <f>'Claims Calculation'!E17</f>
        <v>28.326419999999995</v>
      </c>
      <c r="F6" s="25">
        <f>'Claims Calculation'!F17</f>
        <v>37.768560000000001</v>
      </c>
      <c r="G6" s="25">
        <f>'Claims Calculation'!G17</f>
        <v>47.210699999999996</v>
      </c>
      <c r="H6" s="25">
        <f>'Claims Calculation'!H17</f>
        <v>47.210699999999996</v>
      </c>
    </row>
    <row r="7" spans="2:8">
      <c r="C7" s="26"/>
      <c r="D7" s="26"/>
      <c r="E7" s="26"/>
      <c r="F7" s="26"/>
      <c r="G7" s="26"/>
      <c r="H7" s="26"/>
    </row>
    <row r="8" spans="2:8">
      <c r="B8" s="28" t="s">
        <v>15</v>
      </c>
      <c r="C8" s="29">
        <f>C4+C6</f>
        <v>252.31841999999997</v>
      </c>
      <c r="D8" s="29">
        <f t="shared" ref="D8:H8" si="2">D4+D6</f>
        <v>150.72641999999999</v>
      </c>
      <c r="E8" s="29">
        <f t="shared" si="2"/>
        <v>150.72641999999999</v>
      </c>
      <c r="F8" s="29">
        <f t="shared" si="2"/>
        <v>160.16856000000001</v>
      </c>
      <c r="G8" s="29">
        <f t="shared" si="2"/>
        <v>169.61070000000001</v>
      </c>
      <c r="H8" s="29">
        <f t="shared" si="2"/>
        <v>154.3107</v>
      </c>
    </row>
    <row r="10" spans="2:8">
      <c r="B10" t="s">
        <v>14</v>
      </c>
      <c r="C10" s="27">
        <f>567252752/10^7</f>
        <v>56.725275199999999</v>
      </c>
      <c r="D10" s="26">
        <v>0</v>
      </c>
      <c r="E10" s="26">
        <v>0</v>
      </c>
      <c r="F10" s="26">
        <v>0</v>
      </c>
      <c r="G10" s="26">
        <v>0</v>
      </c>
      <c r="H10" s="26">
        <v>0</v>
      </c>
    </row>
    <row r="11" spans="2:8">
      <c r="C11" s="27"/>
      <c r="D11" s="26"/>
      <c r="E11" s="26"/>
      <c r="F11" s="26"/>
      <c r="G11" s="26"/>
      <c r="H11" s="26"/>
    </row>
    <row r="12" spans="2:8">
      <c r="B12" t="s">
        <v>30</v>
      </c>
      <c r="C12" s="27"/>
      <c r="D12" s="26">
        <v>90</v>
      </c>
      <c r="E12" s="26"/>
      <c r="F12" s="26"/>
      <c r="G12" s="26"/>
      <c r="H12" s="26"/>
    </row>
    <row r="13" spans="2:8">
      <c r="C13" s="27"/>
      <c r="D13" s="26"/>
      <c r="E13" s="26"/>
      <c r="F13" s="26"/>
      <c r="G13" s="26"/>
      <c r="H13" s="26"/>
    </row>
    <row r="14" spans="2:8">
      <c r="B14" s="4" t="s">
        <v>31</v>
      </c>
      <c r="C14" s="31">
        <f>97775533.8/10^7</f>
        <v>9.7775533800000005</v>
      </c>
      <c r="D14" s="31">
        <f>119206359.09/10^7</f>
        <v>11.920635909</v>
      </c>
      <c r="E14" s="31">
        <f>125166677.0445/10^7</f>
        <v>12.516667704449999</v>
      </c>
      <c r="F14" s="31">
        <f>131425010.896725/10^7</f>
        <v>13.1425010896725</v>
      </c>
      <c r="G14" s="31">
        <f>137996261.441561/10^7</f>
        <v>13.799626144156102</v>
      </c>
      <c r="H14" s="31">
        <f>144896074.513639/10^7</f>
        <v>14.4896074513639</v>
      </c>
    </row>
    <row r="15" spans="2:8">
      <c r="C15" s="27"/>
      <c r="D15" s="26"/>
      <c r="E15" s="26"/>
      <c r="F15" s="26"/>
      <c r="G15" s="26"/>
      <c r="H15" s="26"/>
    </row>
    <row r="16" spans="2:8">
      <c r="B16" t="s">
        <v>32</v>
      </c>
      <c r="C16" s="27">
        <v>6</v>
      </c>
      <c r="D16" s="26">
        <f>C16</f>
        <v>6</v>
      </c>
      <c r="E16" s="26">
        <f t="shared" ref="E16:H16" si="3">D16</f>
        <v>6</v>
      </c>
      <c r="F16" s="26">
        <f t="shared" si="3"/>
        <v>6</v>
      </c>
      <c r="G16" s="26">
        <f t="shared" si="3"/>
        <v>6</v>
      </c>
      <c r="H16" s="26">
        <f t="shared" si="3"/>
        <v>6</v>
      </c>
    </row>
    <row r="17" spans="2:8">
      <c r="C17" s="27"/>
      <c r="D17" s="26"/>
      <c r="E17" s="26"/>
      <c r="F17" s="26"/>
      <c r="G17" s="26"/>
      <c r="H17" s="26"/>
    </row>
    <row r="18" spans="2:8">
      <c r="B18" t="s">
        <v>33</v>
      </c>
      <c r="C18" s="27">
        <v>3</v>
      </c>
      <c r="D18" s="27">
        <v>3</v>
      </c>
      <c r="E18" s="27">
        <v>3</v>
      </c>
      <c r="F18" s="27">
        <v>3</v>
      </c>
      <c r="G18" s="27">
        <v>3</v>
      </c>
      <c r="H18" s="27">
        <v>3</v>
      </c>
    </row>
    <row r="20" spans="2:8">
      <c r="B20" t="s">
        <v>21</v>
      </c>
      <c r="C20" s="26">
        <f>C8*5%</f>
        <v>12.615921</v>
      </c>
      <c r="D20" s="26">
        <f t="shared" ref="D20" si="4">D8*5%</f>
        <v>7.536321</v>
      </c>
      <c r="E20" s="26">
        <f>E8*10%</f>
        <v>15.072642</v>
      </c>
      <c r="F20" s="26">
        <f>F8*10%</f>
        <v>16.016856000000001</v>
      </c>
      <c r="G20" s="26">
        <f>G8*10%</f>
        <v>16.961070000000003</v>
      </c>
      <c r="H20" s="26">
        <f>H8*10%</f>
        <v>15.43107</v>
      </c>
    </row>
    <row r="21" spans="2:8">
      <c r="C21" s="26"/>
      <c r="D21" s="26"/>
      <c r="E21" s="26"/>
      <c r="F21" s="26"/>
      <c r="G21" s="26"/>
      <c r="H21" s="26"/>
    </row>
    <row r="22" spans="2:8">
      <c r="B22" t="s">
        <v>34</v>
      </c>
      <c r="C22" s="26">
        <v>15</v>
      </c>
      <c r="D22" s="26">
        <v>15</v>
      </c>
      <c r="E22" s="26">
        <v>5</v>
      </c>
      <c r="F22" s="26">
        <f>E22</f>
        <v>5</v>
      </c>
      <c r="G22" s="26">
        <f t="shared" ref="G22:H22" si="5">F22</f>
        <v>5</v>
      </c>
      <c r="H22" s="26">
        <f t="shared" si="5"/>
        <v>5</v>
      </c>
    </row>
    <row r="24" spans="2:8">
      <c r="B24" t="s">
        <v>22</v>
      </c>
      <c r="C24" s="26">
        <f>C10+C12+C14+C16+C18+C20+C22</f>
        <v>103.11874958</v>
      </c>
      <c r="D24" s="26">
        <f t="shared" ref="D24:H24" si="6">D10+D12+D14+D16+D18+D20+D22</f>
        <v>133.45695690899998</v>
      </c>
      <c r="E24" s="26">
        <f t="shared" si="6"/>
        <v>41.589309704450002</v>
      </c>
      <c r="F24" s="26">
        <f t="shared" si="6"/>
        <v>43.159357089672497</v>
      </c>
      <c r="G24" s="26">
        <f t="shared" si="6"/>
        <v>44.7606961441561</v>
      </c>
      <c r="H24" s="26">
        <f t="shared" si="6"/>
        <v>43.9206774513639</v>
      </c>
    </row>
    <row r="26" spans="2:8">
      <c r="B26" t="s">
        <v>23</v>
      </c>
      <c r="C26" s="26">
        <f>C8-C24</f>
        <v>149.19967041999996</v>
      </c>
      <c r="D26" s="26">
        <f t="shared" ref="D26:H26" si="7">D8-D24</f>
        <v>17.269463091000006</v>
      </c>
      <c r="E26" s="26">
        <f t="shared" si="7"/>
        <v>109.13711029554999</v>
      </c>
      <c r="F26" s="26">
        <f t="shared" si="7"/>
        <v>117.00920291032752</v>
      </c>
      <c r="G26" s="26">
        <f t="shared" si="7"/>
        <v>124.85000385584391</v>
      </c>
      <c r="H26" s="26">
        <f t="shared" si="7"/>
        <v>110.3900225486361</v>
      </c>
    </row>
    <row r="29" spans="2:8">
      <c r="B29" t="s">
        <v>24</v>
      </c>
      <c r="C29" s="26">
        <f>C26</f>
        <v>149.19967041999996</v>
      </c>
      <c r="D29" s="26">
        <f t="shared" ref="D29:H29" si="8">D26</f>
        <v>17.269463091000006</v>
      </c>
      <c r="E29" s="26">
        <f t="shared" si="8"/>
        <v>109.13711029554999</v>
      </c>
      <c r="F29" s="26">
        <f t="shared" si="8"/>
        <v>117.00920291032752</v>
      </c>
      <c r="G29" s="26">
        <f t="shared" si="8"/>
        <v>124.85000385584391</v>
      </c>
      <c r="H29" s="26">
        <f t="shared" si="8"/>
        <v>110.3900225486361</v>
      </c>
    </row>
    <row r="31" spans="2:8">
      <c r="B31" t="s">
        <v>19</v>
      </c>
      <c r="C31">
        <v>1</v>
      </c>
      <c r="D31">
        <f>C31+1</f>
        <v>2</v>
      </c>
      <c r="E31">
        <f t="shared" ref="E31:H31" si="9">D31+1</f>
        <v>3</v>
      </c>
      <c r="F31">
        <f t="shared" si="9"/>
        <v>4</v>
      </c>
      <c r="G31">
        <f t="shared" si="9"/>
        <v>5</v>
      </c>
      <c r="H31">
        <f t="shared" si="9"/>
        <v>6</v>
      </c>
    </row>
    <row r="33" spans="2:8">
      <c r="B33" t="s">
        <v>8</v>
      </c>
      <c r="C33" s="30">
        <f>1/(1+WACC!$D$6)^'EV Calc.'!C31</f>
        <v>0.81967213114754101</v>
      </c>
      <c r="D33" s="30">
        <f>1/(1+WACC!$D$6)^'EV Calc.'!D31</f>
        <v>0.67186240257995167</v>
      </c>
      <c r="E33" s="30">
        <f>1/(1+WACC!$D$6)^'EV Calc.'!E31</f>
        <v>0.55070688736061613</v>
      </c>
      <c r="F33" s="30">
        <f>1/(1+WACC!$D$6)^'EV Calc.'!F31</f>
        <v>0.45139908800050504</v>
      </c>
      <c r="G33" s="30">
        <f>1/(1+WACC!$D$6)^'EV Calc.'!G31</f>
        <v>0.36999925245943038</v>
      </c>
      <c r="H33" s="30">
        <f>1/(1+WACC!$D$6)^'EV Calc.'!H31</f>
        <v>0.30327807578641836</v>
      </c>
    </row>
    <row r="35" spans="2:8">
      <c r="B35" t="s">
        <v>25</v>
      </c>
      <c r="C35" s="26">
        <f>C29*C33</f>
        <v>122.29481181967211</v>
      </c>
      <c r="D35" s="26">
        <f t="shared" ref="D35:H35" si="10">D29*D33</f>
        <v>11.602702963585063</v>
      </c>
      <c r="E35" s="26">
        <f t="shared" si="10"/>
        <v>60.102558306394585</v>
      </c>
      <c r="F35" s="26">
        <f t="shared" si="10"/>
        <v>52.817847481387879</v>
      </c>
      <c r="G35" s="26">
        <f t="shared" si="10"/>
        <v>46.194408096219249</v>
      </c>
      <c r="H35" s="26">
        <f t="shared" si="10"/>
        <v>33.478873624569687</v>
      </c>
    </row>
    <row r="37" spans="2:8">
      <c r="B37" s="7" t="s">
        <v>26</v>
      </c>
      <c r="C37" s="33">
        <f>SUM(C35:H35)</f>
        <v>326.49120229182859</v>
      </c>
      <c r="D37" s="7"/>
      <c r="E37" s="7"/>
      <c r="F37" s="7"/>
      <c r="G37" s="7"/>
      <c r="H37"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S5"/>
  <sheetViews>
    <sheetView workbookViewId="0">
      <selection activeCell="H13" sqref="H13"/>
    </sheetView>
  </sheetViews>
  <sheetFormatPr defaultRowHeight="15"/>
  <sheetData>
    <row r="3" spans="2:19">
      <c r="B3" s="105" t="s">
        <v>44</v>
      </c>
      <c r="C3" s="105"/>
      <c r="D3" s="105"/>
      <c r="E3" s="105"/>
      <c r="F3" s="105"/>
      <c r="G3" s="105"/>
      <c r="H3" s="105"/>
      <c r="I3" s="105"/>
      <c r="J3" s="105"/>
      <c r="K3" s="105"/>
      <c r="L3" s="105"/>
      <c r="M3" s="105"/>
      <c r="N3" s="105"/>
      <c r="O3" s="105"/>
      <c r="P3" s="105"/>
      <c r="Q3" s="105"/>
      <c r="R3" s="105"/>
      <c r="S3" s="105"/>
    </row>
    <row r="4" spans="2:19">
      <c r="B4" s="105"/>
      <c r="C4" s="105"/>
      <c r="D4" s="105"/>
      <c r="E4" s="105"/>
      <c r="F4" s="105"/>
      <c r="G4" s="105"/>
      <c r="H4" s="105"/>
      <c r="I4" s="105"/>
      <c r="J4" s="105"/>
      <c r="K4" s="105"/>
      <c r="L4" s="105"/>
      <c r="M4" s="105"/>
      <c r="N4" s="105"/>
      <c r="O4" s="105"/>
      <c r="P4" s="105"/>
      <c r="Q4" s="105"/>
      <c r="R4" s="105"/>
      <c r="S4" s="105"/>
    </row>
    <row r="5" spans="2:19">
      <c r="B5" s="105"/>
      <c r="C5" s="105"/>
      <c r="D5" s="105"/>
      <c r="E5" s="105"/>
      <c r="F5" s="105"/>
      <c r="G5" s="105"/>
      <c r="H5" s="105"/>
      <c r="I5" s="105"/>
      <c r="J5" s="105"/>
      <c r="K5" s="105"/>
      <c r="L5" s="105"/>
      <c r="M5" s="105"/>
      <c r="N5" s="105"/>
      <c r="O5" s="105"/>
      <c r="P5" s="105"/>
      <c r="Q5" s="105"/>
      <c r="R5" s="105"/>
      <c r="S5" s="105"/>
    </row>
  </sheetData>
  <mergeCells count="1">
    <mergeCell ref="B3:S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sheetPr>
  <dimension ref="B1:H40"/>
  <sheetViews>
    <sheetView topLeftCell="A16" workbookViewId="0">
      <selection activeCell="H20" sqref="H20"/>
    </sheetView>
  </sheetViews>
  <sheetFormatPr defaultRowHeight="15"/>
  <cols>
    <col min="2" max="2" width="37.42578125" bestFit="1" customWidth="1"/>
    <col min="3" max="8" width="14.28515625" bestFit="1" customWidth="1"/>
    <col min="12" max="12" width="11" bestFit="1" customWidth="1"/>
  </cols>
  <sheetData>
    <row r="1" spans="2:8">
      <c r="C1">
        <v>1</v>
      </c>
      <c r="D1">
        <v>1</v>
      </c>
      <c r="E1">
        <v>1.66</v>
      </c>
      <c r="F1" s="3"/>
    </row>
    <row r="2" spans="2:8">
      <c r="B2">
        <f>61.2*10^7</f>
        <v>612000000</v>
      </c>
      <c r="C2">
        <f>C1+D1+E1</f>
        <v>3.66</v>
      </c>
      <c r="D2">
        <v>2</v>
      </c>
      <c r="E2">
        <v>2</v>
      </c>
      <c r="F2">
        <v>2</v>
      </c>
      <c r="G2">
        <v>2</v>
      </c>
      <c r="H2">
        <v>1.75</v>
      </c>
    </row>
    <row r="3" spans="2:8">
      <c r="B3" s="1" t="s">
        <v>12</v>
      </c>
      <c r="C3" s="22">
        <v>2023</v>
      </c>
      <c r="D3" s="22">
        <f>C3+1</f>
        <v>2024</v>
      </c>
      <c r="E3" s="22">
        <f t="shared" ref="E3:H3" si="0">D3+1</f>
        <v>2025</v>
      </c>
      <c r="F3" s="22">
        <f t="shared" si="0"/>
        <v>2026</v>
      </c>
      <c r="G3" s="22">
        <f t="shared" si="0"/>
        <v>2027</v>
      </c>
      <c r="H3" s="22">
        <f t="shared" si="0"/>
        <v>2028</v>
      </c>
    </row>
    <row r="4" spans="2:8">
      <c r="B4" s="2" t="s">
        <v>13</v>
      </c>
      <c r="C4" s="25">
        <f t="shared" ref="C4:H4" si="1">C2*$B$2/10^7</f>
        <v>223.99199999999999</v>
      </c>
      <c r="D4" s="25">
        <f t="shared" si="1"/>
        <v>122.4</v>
      </c>
      <c r="E4" s="25">
        <f t="shared" si="1"/>
        <v>122.4</v>
      </c>
      <c r="F4" s="25">
        <f t="shared" si="1"/>
        <v>122.4</v>
      </c>
      <c r="G4" s="25">
        <f t="shared" si="1"/>
        <v>122.4</v>
      </c>
      <c r="H4" s="25">
        <f t="shared" si="1"/>
        <v>107.1</v>
      </c>
    </row>
    <row r="5" spans="2:8">
      <c r="B5" s="2"/>
      <c r="C5" s="25"/>
      <c r="D5" s="25"/>
      <c r="E5" s="25"/>
      <c r="F5" s="25"/>
      <c r="G5" s="25"/>
      <c r="H5" s="25"/>
    </row>
    <row r="6" spans="2:8">
      <c r="B6" s="2" t="s">
        <v>20</v>
      </c>
      <c r="C6" s="25">
        <f>D6</f>
        <v>28.326419999999995</v>
      </c>
      <c r="D6" s="25">
        <f>'Claims Calculation'!D17</f>
        <v>28.326419999999995</v>
      </c>
      <c r="E6" s="25">
        <f>'Claims Calculation'!E17</f>
        <v>28.326419999999995</v>
      </c>
      <c r="F6" s="25">
        <f>'Claims Calculation'!F17</f>
        <v>37.768560000000001</v>
      </c>
      <c r="G6" s="25">
        <f>'Claims Calculation'!G17</f>
        <v>47.210699999999996</v>
      </c>
      <c r="H6" s="25">
        <f>'Claims Calculation'!H17</f>
        <v>47.210699999999996</v>
      </c>
    </row>
    <row r="7" spans="2:8">
      <c r="C7" s="26"/>
      <c r="D7" s="26"/>
      <c r="E7" s="26"/>
      <c r="F7" s="26"/>
      <c r="G7" s="26"/>
      <c r="H7" s="26"/>
    </row>
    <row r="8" spans="2:8">
      <c r="B8" s="28" t="s">
        <v>15</v>
      </c>
      <c r="C8" s="29">
        <f>C4+C6</f>
        <v>252.31841999999997</v>
      </c>
      <c r="D8" s="29">
        <f t="shared" ref="D8:H8" si="2">D4+D6</f>
        <v>150.72641999999999</v>
      </c>
      <c r="E8" s="29">
        <f t="shared" si="2"/>
        <v>150.72641999999999</v>
      </c>
      <c r="F8" s="29">
        <f t="shared" si="2"/>
        <v>160.16856000000001</v>
      </c>
      <c r="G8" s="29">
        <f t="shared" si="2"/>
        <v>169.61070000000001</v>
      </c>
      <c r="H8" s="29">
        <f t="shared" si="2"/>
        <v>154.3107</v>
      </c>
    </row>
    <row r="10" spans="2:8">
      <c r="B10" t="s">
        <v>14</v>
      </c>
      <c r="C10" s="27">
        <f>567252752/10^7</f>
        <v>56.725275199999999</v>
      </c>
      <c r="D10" s="26">
        <v>0</v>
      </c>
      <c r="E10" s="26">
        <v>0</v>
      </c>
      <c r="F10" s="26">
        <v>0</v>
      </c>
      <c r="G10" s="26">
        <v>0</v>
      </c>
      <c r="H10" s="26">
        <v>0</v>
      </c>
    </row>
    <row r="11" spans="2:8">
      <c r="C11" s="27"/>
      <c r="D11" s="26"/>
      <c r="E11" s="26"/>
      <c r="F11" s="26"/>
      <c r="G11" s="26"/>
      <c r="H11" s="26"/>
    </row>
    <row r="12" spans="2:8">
      <c r="B12" t="s">
        <v>30</v>
      </c>
      <c r="C12" s="27"/>
      <c r="D12" s="26">
        <v>90</v>
      </c>
      <c r="E12" s="26"/>
      <c r="F12" s="26"/>
      <c r="G12" s="26"/>
      <c r="H12" s="26"/>
    </row>
    <row r="13" spans="2:8">
      <c r="C13" s="27"/>
      <c r="D13" s="26"/>
      <c r="E13" s="26"/>
      <c r="F13" s="26"/>
      <c r="G13" s="26"/>
      <c r="H13" s="26"/>
    </row>
    <row r="14" spans="2:8">
      <c r="B14" s="4" t="s">
        <v>31</v>
      </c>
      <c r="C14" s="31">
        <f>97775533.8/10^7</f>
        <v>9.7775533800000005</v>
      </c>
      <c r="D14" s="31">
        <f>119206359.09/10^7</f>
        <v>11.920635909</v>
      </c>
      <c r="E14" s="31">
        <f>125166677.0445/10^7</f>
        <v>12.516667704449999</v>
      </c>
      <c r="F14" s="31">
        <f>131425010.896725/10^7</f>
        <v>13.1425010896725</v>
      </c>
      <c r="G14" s="31">
        <f>137996261.441561/10^7</f>
        <v>13.799626144156102</v>
      </c>
      <c r="H14" s="31">
        <f>144896074.513639/10^7</f>
        <v>14.4896074513639</v>
      </c>
    </row>
    <row r="15" spans="2:8">
      <c r="C15" s="27"/>
      <c r="D15" s="26"/>
      <c r="E15" s="26"/>
      <c r="F15" s="26"/>
      <c r="G15" s="26"/>
      <c r="H15" s="26"/>
    </row>
    <row r="16" spans="2:8">
      <c r="B16" t="s">
        <v>32</v>
      </c>
      <c r="C16" s="27">
        <v>6</v>
      </c>
      <c r="D16" s="26">
        <f>C16</f>
        <v>6</v>
      </c>
      <c r="E16" s="26">
        <f t="shared" ref="E16:H16" si="3">D16</f>
        <v>6</v>
      </c>
      <c r="F16" s="26">
        <f t="shared" si="3"/>
        <v>6</v>
      </c>
      <c r="G16" s="26">
        <f t="shared" si="3"/>
        <v>6</v>
      </c>
      <c r="H16" s="26">
        <f t="shared" si="3"/>
        <v>6</v>
      </c>
    </row>
    <row r="17" spans="2:8">
      <c r="C17" s="27"/>
      <c r="D17" s="26"/>
      <c r="E17" s="26"/>
      <c r="F17" s="26"/>
      <c r="G17" s="26"/>
      <c r="H17" s="26"/>
    </row>
    <row r="18" spans="2:8">
      <c r="B18" t="s">
        <v>33</v>
      </c>
      <c r="C18" s="27">
        <v>3</v>
      </c>
      <c r="D18" s="27">
        <v>3</v>
      </c>
      <c r="E18" s="27">
        <v>3</v>
      </c>
      <c r="F18" s="27">
        <v>3</v>
      </c>
      <c r="G18" s="27">
        <v>3</v>
      </c>
      <c r="H18" s="27">
        <v>3</v>
      </c>
    </row>
    <row r="20" spans="2:8">
      <c r="B20" t="s">
        <v>21</v>
      </c>
      <c r="C20" s="26">
        <f>C8*5%</f>
        <v>12.615921</v>
      </c>
      <c r="D20" s="26">
        <f t="shared" ref="D20" si="4">D8*5%</f>
        <v>7.536321</v>
      </c>
      <c r="E20" s="26">
        <f>E8*10%</f>
        <v>15.072642</v>
      </c>
      <c r="F20" s="26">
        <f>F8*10%</f>
        <v>16.016856000000001</v>
      </c>
      <c r="G20" s="26">
        <f>G8*10%</f>
        <v>16.961070000000003</v>
      </c>
      <c r="H20" s="26">
        <f>H8*10%</f>
        <v>15.43107</v>
      </c>
    </row>
    <row r="21" spans="2:8">
      <c r="C21" s="26"/>
      <c r="D21" s="26"/>
      <c r="E21" s="26"/>
      <c r="F21" s="26"/>
      <c r="G21" s="26"/>
      <c r="H21" s="26"/>
    </row>
    <row r="22" spans="2:8">
      <c r="B22" t="s">
        <v>34</v>
      </c>
      <c r="C22" s="26">
        <v>15</v>
      </c>
      <c r="D22" s="26">
        <v>15</v>
      </c>
      <c r="E22" s="26">
        <v>5</v>
      </c>
      <c r="F22" s="26">
        <f>E22</f>
        <v>5</v>
      </c>
      <c r="G22" s="26">
        <f t="shared" ref="G22:H22" si="5">F22</f>
        <v>5</v>
      </c>
      <c r="H22" s="26">
        <f t="shared" si="5"/>
        <v>5</v>
      </c>
    </row>
    <row r="24" spans="2:8">
      <c r="B24" s="3" t="s">
        <v>22</v>
      </c>
      <c r="C24" s="32">
        <f>C10+C12+C14+C16+C18+C20+C22</f>
        <v>103.11874958</v>
      </c>
      <c r="D24" s="32">
        <f t="shared" ref="D24:H24" si="6">D10+D12+D14+D16+D18+D20+D22</f>
        <v>133.45695690899998</v>
      </c>
      <c r="E24" s="32">
        <f t="shared" si="6"/>
        <v>41.589309704450002</v>
      </c>
      <c r="F24" s="32">
        <f t="shared" si="6"/>
        <v>43.159357089672497</v>
      </c>
      <c r="G24" s="32">
        <f t="shared" si="6"/>
        <v>44.7606961441561</v>
      </c>
      <c r="H24" s="32">
        <f t="shared" si="6"/>
        <v>43.9206774513639</v>
      </c>
    </row>
    <row r="26" spans="2:8">
      <c r="B26" s="3" t="s">
        <v>23</v>
      </c>
      <c r="C26" s="32">
        <f>C8-C24</f>
        <v>149.19967041999996</v>
      </c>
      <c r="D26" s="32">
        <f t="shared" ref="D26:H26" si="7">D8-D24</f>
        <v>17.269463091000006</v>
      </c>
      <c r="E26" s="32">
        <f t="shared" si="7"/>
        <v>109.13711029554999</v>
      </c>
      <c r="F26" s="32">
        <f t="shared" si="7"/>
        <v>117.00920291032752</v>
      </c>
      <c r="G26" s="32">
        <f t="shared" si="7"/>
        <v>124.85000385584391</v>
      </c>
      <c r="H26" s="32">
        <f t="shared" si="7"/>
        <v>110.3900225486361</v>
      </c>
    </row>
    <row r="27" spans="2:8">
      <c r="B27" t="s">
        <v>38</v>
      </c>
      <c r="C27" s="24">
        <f>C26/C8</f>
        <v>0.59131501544754428</v>
      </c>
      <c r="D27" s="24">
        <f t="shared" ref="D27:H27" si="8">D26/D8</f>
        <v>0.11457489065951415</v>
      </c>
      <c r="E27" s="24">
        <f t="shared" si="8"/>
        <v>0.72407418882203922</v>
      </c>
      <c r="F27" s="24">
        <f t="shared" si="8"/>
        <v>0.73053789651556778</v>
      </c>
      <c r="G27" s="24">
        <f t="shared" si="8"/>
        <v>0.73609745054907449</v>
      </c>
      <c r="H27" s="24">
        <f t="shared" si="8"/>
        <v>0.7153750358765536</v>
      </c>
    </row>
    <row r="29" spans="2:8">
      <c r="B29" t="s">
        <v>35</v>
      </c>
      <c r="C29" s="26">
        <v>0.14000000000000001</v>
      </c>
      <c r="D29" s="26">
        <f>C29</f>
        <v>0.14000000000000001</v>
      </c>
      <c r="E29" s="26">
        <f t="shared" ref="E29:G29" si="9">D29</f>
        <v>0.14000000000000001</v>
      </c>
      <c r="F29" s="26">
        <f t="shared" si="9"/>
        <v>0.14000000000000001</v>
      </c>
      <c r="G29" s="26">
        <f t="shared" si="9"/>
        <v>0.14000000000000001</v>
      </c>
      <c r="H29" s="26">
        <v>0</v>
      </c>
    </row>
    <row r="31" spans="2:8">
      <c r="B31" s="3" t="s">
        <v>36</v>
      </c>
      <c r="C31" s="32">
        <f>C26-C29</f>
        <v>149.05967041999997</v>
      </c>
      <c r="D31" s="32">
        <f t="shared" ref="D31:H31" si="10">D26-D29</f>
        <v>17.129463091000005</v>
      </c>
      <c r="E31" s="32">
        <f t="shared" si="10"/>
        <v>108.99711029554999</v>
      </c>
      <c r="F31" s="32">
        <f t="shared" si="10"/>
        <v>116.86920291032752</v>
      </c>
      <c r="G31" s="32">
        <f t="shared" si="10"/>
        <v>124.71000385584391</v>
      </c>
      <c r="H31" s="32">
        <f t="shared" si="10"/>
        <v>110.3900225486361</v>
      </c>
    </row>
    <row r="32" spans="2:8">
      <c r="B32" t="s">
        <v>37</v>
      </c>
      <c r="C32" s="24">
        <f>C31/C8</f>
        <v>0.5907601609902281</v>
      </c>
      <c r="D32" s="24">
        <f t="shared" ref="D32:H32" si="11">D31/D8</f>
        <v>0.11364605548914389</v>
      </c>
      <c r="E32" s="24">
        <f t="shared" si="11"/>
        <v>0.72314535365166899</v>
      </c>
      <c r="F32" s="24">
        <f t="shared" si="11"/>
        <v>0.72966381735796026</v>
      </c>
      <c r="G32" s="24">
        <f t="shared" si="11"/>
        <v>0.73527203092637372</v>
      </c>
      <c r="H32" s="24">
        <f t="shared" si="11"/>
        <v>0.7153750358765536</v>
      </c>
    </row>
    <row r="33" spans="2:8">
      <c r="C33" s="30"/>
      <c r="D33" s="30"/>
      <c r="E33" s="30"/>
      <c r="F33" s="30"/>
      <c r="G33" s="30"/>
      <c r="H33" s="30"/>
    </row>
    <row r="34" spans="2:8">
      <c r="B34" s="3" t="s">
        <v>39</v>
      </c>
      <c r="C34" s="34">
        <v>62.966815455016111</v>
      </c>
      <c r="D34" s="34">
        <v>55.168402613724133</v>
      </c>
      <c r="E34" s="34">
        <v>46.449777057159714</v>
      </c>
      <c r="F34" s="34">
        <v>36.702353684920688</v>
      </c>
      <c r="G34" s="34">
        <v>25.804734354757453</v>
      </c>
      <c r="H34" s="34">
        <v>13.621195943634957</v>
      </c>
    </row>
    <row r="35" spans="2:8">
      <c r="C35" s="26"/>
      <c r="D35" s="26"/>
      <c r="E35" s="26"/>
      <c r="F35" s="26"/>
      <c r="G35" s="26"/>
      <c r="H35" s="26"/>
    </row>
    <row r="36" spans="2:8">
      <c r="B36" t="s">
        <v>40</v>
      </c>
      <c r="C36" s="26">
        <f>C31-C34</f>
        <v>86.092854964983871</v>
      </c>
      <c r="D36" s="26">
        <f t="shared" ref="D36:H36" si="12">D31-D34</f>
        <v>-38.038939522724128</v>
      </c>
      <c r="E36" s="26">
        <f t="shared" si="12"/>
        <v>62.547333238390273</v>
      </c>
      <c r="F36" s="26">
        <f t="shared" si="12"/>
        <v>80.166849225406821</v>
      </c>
      <c r="G36" s="26">
        <f t="shared" si="12"/>
        <v>98.905269501086451</v>
      </c>
      <c r="H36" s="26">
        <f t="shared" si="12"/>
        <v>96.768826605001138</v>
      </c>
    </row>
    <row r="37" spans="2:8">
      <c r="B37" t="s">
        <v>41</v>
      </c>
      <c r="C37" s="26">
        <v>32.15</v>
      </c>
      <c r="D37" s="26"/>
      <c r="E37" s="26"/>
      <c r="F37" s="26">
        <v>15.7073491634946</v>
      </c>
      <c r="G37" s="26">
        <v>18.2674727324145</v>
      </c>
      <c r="H37" s="26">
        <v>13.562139151250301</v>
      </c>
    </row>
    <row r="39" spans="2:8">
      <c r="B39" t="s">
        <v>42</v>
      </c>
      <c r="C39" s="26">
        <f>C36-C37</f>
        <v>53.942854964983873</v>
      </c>
      <c r="D39" s="26">
        <f t="shared" ref="D39:H39" si="13">D36-D37</f>
        <v>-38.038939522724128</v>
      </c>
      <c r="E39" s="26">
        <f t="shared" si="13"/>
        <v>62.547333238390273</v>
      </c>
      <c r="F39" s="26">
        <f t="shared" si="13"/>
        <v>64.459500061912223</v>
      </c>
      <c r="G39" s="26">
        <f t="shared" si="13"/>
        <v>80.637796768671947</v>
      </c>
      <c r="H39" s="26">
        <f t="shared" si="13"/>
        <v>83.206687453750831</v>
      </c>
    </row>
    <row r="40" spans="2:8">
      <c r="B40" t="s">
        <v>43</v>
      </c>
      <c r="C40" s="24">
        <f>C39/C8</f>
        <v>0.21378881084061907</v>
      </c>
      <c r="D40" s="24">
        <f t="shared" ref="D40:H40" si="14">D39/D8</f>
        <v>-0.25237074908781176</v>
      </c>
      <c r="E40" s="24">
        <f t="shared" si="14"/>
        <v>0.41497259231918515</v>
      </c>
      <c r="F40" s="24">
        <f t="shared" si="14"/>
        <v>0.40244789652795915</v>
      </c>
      <c r="G40" s="24">
        <f t="shared" si="14"/>
        <v>0.47542871274437254</v>
      </c>
      <c r="H40" s="24">
        <f t="shared" si="14"/>
        <v>0.53921528094779447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topLeftCell="K1" workbookViewId="0">
      <selection activeCell="Q28" sqref="Q28"/>
    </sheetView>
  </sheetViews>
  <sheetFormatPr defaultRowHeight="1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CEB07-E9A0-46D2-9314-256539DF4122}">
  <dimension ref="B3:G22"/>
  <sheetViews>
    <sheetView topLeftCell="A7" workbookViewId="0">
      <selection activeCell="C21" sqref="C21"/>
    </sheetView>
  </sheetViews>
  <sheetFormatPr defaultRowHeight="15"/>
  <cols>
    <col min="1" max="1" width="9.140625" style="38"/>
    <col min="2" max="2" width="41" style="38" bestFit="1" customWidth="1"/>
    <col min="3" max="3" width="12.5703125" style="38" customWidth="1"/>
    <col min="4" max="4" width="11.7109375" style="38" customWidth="1"/>
    <col min="5" max="6" width="9.85546875" style="38" bestFit="1" customWidth="1"/>
    <col min="7" max="16384" width="9.140625" style="38"/>
  </cols>
  <sheetData>
    <row r="3" spans="2:7">
      <c r="B3" s="54" t="s">
        <v>90</v>
      </c>
      <c r="C3" s="54"/>
      <c r="D3" s="54"/>
      <c r="E3" s="54"/>
      <c r="F3" s="54"/>
      <c r="G3" s="54"/>
    </row>
    <row r="5" spans="2:7">
      <c r="B5" s="39" t="s">
        <v>89</v>
      </c>
      <c r="C5" s="39"/>
      <c r="D5" s="39"/>
      <c r="E5" s="39"/>
      <c r="F5" s="39"/>
      <c r="G5" s="39"/>
    </row>
    <row r="6" spans="2:7">
      <c r="G6" s="38" t="s">
        <v>92</v>
      </c>
    </row>
    <row r="7" spans="2:7">
      <c r="B7" s="55" t="s">
        <v>1</v>
      </c>
      <c r="C7" s="45">
        <v>2023</v>
      </c>
      <c r="D7" s="45">
        <v>2022</v>
      </c>
      <c r="E7" s="40">
        <v>2021</v>
      </c>
      <c r="F7" s="40">
        <v>2020</v>
      </c>
      <c r="G7" s="40">
        <v>2019</v>
      </c>
    </row>
    <row r="8" spans="2:7">
      <c r="B8" s="42" t="s">
        <v>88</v>
      </c>
      <c r="C8" s="46">
        <v>9407.64</v>
      </c>
      <c r="D8" s="46">
        <v>25324.560000000001</v>
      </c>
      <c r="E8" s="46">
        <v>13749.28</v>
      </c>
      <c r="F8" s="46">
        <v>5130.3599999999997</v>
      </c>
      <c r="G8" s="46">
        <v>14484.64</v>
      </c>
    </row>
    <row r="9" spans="2:7">
      <c r="B9" s="43" t="s">
        <v>87</v>
      </c>
      <c r="C9" s="48">
        <v>201.99</v>
      </c>
      <c r="D9" s="47" t="s">
        <v>86</v>
      </c>
      <c r="E9" s="46">
        <v>15.64</v>
      </c>
      <c r="F9" s="46">
        <v>6.28</v>
      </c>
      <c r="G9" s="46" t="s">
        <v>86</v>
      </c>
    </row>
    <row r="10" spans="2:7">
      <c r="B10" s="52" t="s">
        <v>85</v>
      </c>
      <c r="C10" s="50">
        <f>SUM(C8:C9)</f>
        <v>9609.6299999999992</v>
      </c>
      <c r="D10" s="50">
        <f t="shared" ref="D10:E10" si="0">SUM(D8:D9)</f>
        <v>25324.560000000001</v>
      </c>
      <c r="E10" s="50">
        <f t="shared" si="0"/>
        <v>13764.92</v>
      </c>
      <c r="F10" s="50">
        <f t="shared" ref="F10" si="1">SUM(F8:F9)</f>
        <v>5136.6399999999994</v>
      </c>
      <c r="G10" s="50">
        <f t="shared" ref="G10" si="2">SUM(G8:G9)</f>
        <v>14484.64</v>
      </c>
    </row>
    <row r="11" spans="2:7">
      <c r="B11" s="53" t="s">
        <v>84</v>
      </c>
      <c r="C11" s="47"/>
      <c r="D11" s="47"/>
      <c r="E11" s="47"/>
      <c r="F11" s="47"/>
      <c r="G11" s="47"/>
    </row>
    <row r="12" spans="2:7">
      <c r="B12" s="43" t="s">
        <v>83</v>
      </c>
      <c r="C12" s="46">
        <v>6793.8</v>
      </c>
      <c r="D12" s="46">
        <v>22341.74</v>
      </c>
      <c r="E12" s="46">
        <v>10233.48</v>
      </c>
      <c r="F12" s="46">
        <v>1364.73</v>
      </c>
      <c r="G12" s="46">
        <v>11185.53</v>
      </c>
    </row>
    <row r="13" spans="2:7">
      <c r="B13" s="43" t="s">
        <v>82</v>
      </c>
      <c r="C13" s="48">
        <v>50.29</v>
      </c>
      <c r="D13" s="48">
        <v>50.16</v>
      </c>
      <c r="E13" s="46" t="s">
        <v>86</v>
      </c>
      <c r="F13" s="46" t="s">
        <v>86</v>
      </c>
      <c r="G13" s="46" t="s">
        <v>86</v>
      </c>
    </row>
    <row r="14" spans="2:7">
      <c r="B14" s="43" t="s">
        <v>39</v>
      </c>
      <c r="C14" s="46">
        <v>12628.67</v>
      </c>
      <c r="D14" s="46">
        <v>12312.44</v>
      </c>
      <c r="E14" s="46">
        <v>11481.25</v>
      </c>
      <c r="F14" s="46">
        <v>13781.64</v>
      </c>
      <c r="G14" s="46">
        <v>7987.44</v>
      </c>
    </row>
    <row r="15" spans="2:7">
      <c r="B15" s="43" t="s">
        <v>81</v>
      </c>
      <c r="C15" s="48">
        <v>10.3</v>
      </c>
      <c r="D15" s="48">
        <v>11.05</v>
      </c>
      <c r="E15" s="46" t="s">
        <v>86</v>
      </c>
      <c r="F15" s="46" t="s">
        <v>86</v>
      </c>
      <c r="G15" s="46" t="s">
        <v>86</v>
      </c>
    </row>
    <row r="16" spans="2:7">
      <c r="B16" s="43" t="s">
        <v>80</v>
      </c>
      <c r="C16" s="48">
        <v>262.11</v>
      </c>
      <c r="D16" s="46">
        <v>21207.01</v>
      </c>
      <c r="E16" s="46">
        <v>7013.45</v>
      </c>
      <c r="F16" s="46">
        <v>155.52000000000001</v>
      </c>
      <c r="G16" s="46">
        <v>5.0999999999999996</v>
      </c>
    </row>
    <row r="17" spans="2:7">
      <c r="B17" s="51" t="s">
        <v>79</v>
      </c>
      <c r="C17" s="50">
        <f>SUM(C12:C16)</f>
        <v>19745.170000000002</v>
      </c>
      <c r="D17" s="50">
        <f t="shared" ref="D17:G17" si="3">SUM(D12:D16)</f>
        <v>55922.400000000009</v>
      </c>
      <c r="E17" s="50">
        <f t="shared" si="3"/>
        <v>28728.18</v>
      </c>
      <c r="F17" s="50">
        <f t="shared" si="3"/>
        <v>15301.89</v>
      </c>
      <c r="G17" s="50">
        <f t="shared" si="3"/>
        <v>19178.07</v>
      </c>
    </row>
    <row r="18" spans="2:7">
      <c r="B18" s="43" t="s">
        <v>78</v>
      </c>
      <c r="C18" s="46">
        <f>C10-C17</f>
        <v>-10135.540000000003</v>
      </c>
      <c r="D18" s="46">
        <f>D10-D17</f>
        <v>-30597.840000000007</v>
      </c>
      <c r="E18" s="46">
        <f>E10-E17</f>
        <v>-14963.26</v>
      </c>
      <c r="F18" s="46">
        <f>F10-F17</f>
        <v>-10165.25</v>
      </c>
      <c r="G18" s="46">
        <f>G10-G17</f>
        <v>-4693.43</v>
      </c>
    </row>
    <row r="19" spans="2:7">
      <c r="B19" s="43" t="s">
        <v>77</v>
      </c>
      <c r="C19" s="47"/>
      <c r="D19" s="47"/>
      <c r="E19" s="47"/>
      <c r="F19" s="46"/>
      <c r="G19" s="46"/>
    </row>
    <row r="20" spans="2:7">
      <c r="B20" s="52" t="s">
        <v>76</v>
      </c>
      <c r="C20" s="50">
        <f>C18+C19</f>
        <v>-10135.540000000003</v>
      </c>
      <c r="D20" s="50">
        <f t="shared" ref="D20:G20" si="4">D18+D19</f>
        <v>-30597.840000000007</v>
      </c>
      <c r="E20" s="50">
        <f t="shared" si="4"/>
        <v>-14963.26</v>
      </c>
      <c r="F20" s="50">
        <f t="shared" si="4"/>
        <v>-10165.25</v>
      </c>
      <c r="G20" s="50">
        <f t="shared" si="4"/>
        <v>-4693.43</v>
      </c>
    </row>
    <row r="21" spans="2:7">
      <c r="B21" s="43" t="s">
        <v>75</v>
      </c>
      <c r="C21" s="49"/>
      <c r="D21" s="49"/>
      <c r="E21" s="47"/>
      <c r="F21" s="47"/>
      <c r="G21" s="47"/>
    </row>
    <row r="22" spans="2:7">
      <c r="B22" s="44" t="s">
        <v>74</v>
      </c>
      <c r="C22" s="50">
        <f>C20-C21</f>
        <v>-10135.540000000003</v>
      </c>
      <c r="D22" s="50">
        <f t="shared" ref="D22:G22" si="5">D20-D21</f>
        <v>-30597.840000000007</v>
      </c>
      <c r="E22" s="50">
        <f t="shared" si="5"/>
        <v>-14963.26</v>
      </c>
      <c r="F22" s="50">
        <f t="shared" si="5"/>
        <v>-10165.25</v>
      </c>
      <c r="G22" s="50">
        <f t="shared" si="5"/>
        <v>-4693.43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5EC2F-63D7-4A88-BF47-E87BF46B0E4A}">
  <dimension ref="B2:J32"/>
  <sheetViews>
    <sheetView workbookViewId="0">
      <pane ySplit="6" topLeftCell="A22" activePane="bottomLeft" state="frozen"/>
      <selection pane="bottomLeft" activeCell="J38" sqref="J38"/>
    </sheetView>
  </sheetViews>
  <sheetFormatPr defaultRowHeight="15"/>
  <cols>
    <col min="2" max="2" width="36.42578125" bestFit="1" customWidth="1"/>
    <col min="3" max="7" width="13.42578125" customWidth="1"/>
  </cols>
  <sheetData>
    <row r="2" spans="2:10">
      <c r="B2" s="54" t="s">
        <v>90</v>
      </c>
      <c r="C2" s="54"/>
      <c r="D2" s="54"/>
      <c r="E2" s="54"/>
      <c r="F2" s="54"/>
      <c r="G2" s="54"/>
    </row>
    <row r="3" spans="2:10">
      <c r="B3" s="38"/>
      <c r="C3" s="38"/>
      <c r="D3" s="38"/>
      <c r="E3" s="38"/>
      <c r="F3" s="38"/>
      <c r="G3" s="38"/>
    </row>
    <row r="4" spans="2:10">
      <c r="B4" s="39" t="s">
        <v>89</v>
      </c>
      <c r="C4" s="39"/>
      <c r="D4" s="39"/>
      <c r="E4" s="39"/>
      <c r="F4" s="39"/>
      <c r="G4" s="39"/>
    </row>
    <row r="5" spans="2:10">
      <c r="B5" s="38"/>
      <c r="C5" s="38"/>
      <c r="D5" s="38"/>
      <c r="E5" s="38"/>
      <c r="F5" s="38"/>
      <c r="G5" s="41" t="s">
        <v>93</v>
      </c>
    </row>
    <row r="6" spans="2:10">
      <c r="B6" s="99" t="s">
        <v>1</v>
      </c>
      <c r="C6" s="100">
        <v>43555</v>
      </c>
      <c r="D6" s="100">
        <f>EDATE(C6,12)</f>
        <v>43921</v>
      </c>
      <c r="E6" s="100">
        <f t="shared" ref="E6:G6" si="0">EDATE(D6,12)</f>
        <v>44286</v>
      </c>
      <c r="F6" s="100">
        <f t="shared" si="0"/>
        <v>44651</v>
      </c>
      <c r="G6" s="100">
        <f t="shared" si="0"/>
        <v>45016</v>
      </c>
    </row>
    <row r="7" spans="2:10">
      <c r="B7" s="101" t="s">
        <v>85</v>
      </c>
      <c r="C7" s="94">
        <v>144.85</v>
      </c>
      <c r="D7" s="94">
        <v>51.37</v>
      </c>
      <c r="E7" s="94">
        <v>137.65</v>
      </c>
      <c r="F7" s="94">
        <v>253.25</v>
      </c>
      <c r="G7" s="94">
        <v>96.1</v>
      </c>
    </row>
    <row r="8" spans="2:10">
      <c r="B8" s="101" t="s">
        <v>145</v>
      </c>
      <c r="C8" s="95">
        <v>111.91</v>
      </c>
      <c r="D8" s="95">
        <v>15.2</v>
      </c>
      <c r="E8" s="95">
        <v>172.47</v>
      </c>
      <c r="F8" s="95">
        <v>435.99</v>
      </c>
      <c r="G8" s="95">
        <v>71.06</v>
      </c>
    </row>
    <row r="9" spans="2:10">
      <c r="B9" s="102" t="s">
        <v>23</v>
      </c>
      <c r="C9" s="96">
        <f>C7-C8</f>
        <v>32.94</v>
      </c>
      <c r="D9" s="96">
        <f t="shared" ref="D9:G9" si="1">D7-D8</f>
        <v>36.17</v>
      </c>
      <c r="E9" s="96">
        <f t="shared" si="1"/>
        <v>-34.819999999999993</v>
      </c>
      <c r="F9" s="96">
        <f t="shared" si="1"/>
        <v>-182.74</v>
      </c>
      <c r="G9" s="96">
        <f t="shared" si="1"/>
        <v>25.039999999999992</v>
      </c>
    </row>
    <row r="10" spans="2:10">
      <c r="B10" s="103" t="s">
        <v>146</v>
      </c>
      <c r="C10" s="93">
        <f>C9/C7</f>
        <v>0.22740766309975835</v>
      </c>
      <c r="D10" s="93">
        <f t="shared" ref="D10:G10" si="2">D9/D7</f>
        <v>0.70410745571345146</v>
      </c>
      <c r="E10" s="93">
        <f t="shared" si="2"/>
        <v>-0.25296040682891385</v>
      </c>
      <c r="F10" s="93">
        <f t="shared" si="2"/>
        <v>-0.72157946692991115</v>
      </c>
      <c r="G10" s="93">
        <f t="shared" si="2"/>
        <v>0.2605619146722164</v>
      </c>
      <c r="J10" s="70"/>
    </row>
    <row r="11" spans="2:10">
      <c r="B11" s="101" t="s">
        <v>81</v>
      </c>
      <c r="C11" s="97">
        <f>'Historical P&amp;L(Lakhs)'!C15/10^2</f>
        <v>0.10300000000000001</v>
      </c>
      <c r="D11" s="97">
        <f>'Historical P&amp;L(Lakhs)'!D15/10^2</f>
        <v>0.1105</v>
      </c>
      <c r="E11" s="97">
        <v>0</v>
      </c>
      <c r="F11" s="97">
        <v>0</v>
      </c>
      <c r="G11" s="97">
        <v>0</v>
      </c>
    </row>
    <row r="12" spans="2:10">
      <c r="B12" s="102" t="s">
        <v>36</v>
      </c>
      <c r="C12" s="96">
        <f>C9-C11</f>
        <v>32.836999999999996</v>
      </c>
      <c r="D12" s="96">
        <f>D9-D11</f>
        <v>36.0595</v>
      </c>
      <c r="E12" s="96">
        <f>E9-E11</f>
        <v>-34.819999999999993</v>
      </c>
      <c r="F12" s="96">
        <f>F9-F11</f>
        <v>-182.74</v>
      </c>
      <c r="G12" s="96">
        <f>G9-G11</f>
        <v>25.039999999999992</v>
      </c>
    </row>
    <row r="13" spans="2:10">
      <c r="B13" s="103" t="s">
        <v>147</v>
      </c>
      <c r="C13" s="93">
        <f>C12/C7</f>
        <v>0.22669658267172935</v>
      </c>
      <c r="D13" s="93">
        <f>D12/D7</f>
        <v>0.70195639478294725</v>
      </c>
      <c r="E13" s="93">
        <f>E12/E7</f>
        <v>-0.25296040682891385</v>
      </c>
      <c r="F13" s="93">
        <f>F12/F7</f>
        <v>-0.72157946692991115</v>
      </c>
      <c r="G13" s="93">
        <f>G12/G7</f>
        <v>0.2605619146722164</v>
      </c>
    </row>
    <row r="14" spans="2:10">
      <c r="B14" s="101" t="s">
        <v>39</v>
      </c>
      <c r="C14" s="97">
        <f>'Historical P&amp;L(Lakhs)'!C14/10^2</f>
        <v>126.2867</v>
      </c>
      <c r="D14" s="97">
        <f>'Historical P&amp;L(Lakhs)'!D14/10^2</f>
        <v>123.12440000000001</v>
      </c>
      <c r="E14" s="97">
        <f>'Historical P&amp;L(Lakhs)'!E14/10^2</f>
        <v>114.8125</v>
      </c>
      <c r="F14" s="97">
        <f>'Historical P&amp;L(Lakhs)'!F14/10^2</f>
        <v>137.81639999999999</v>
      </c>
      <c r="G14" s="97">
        <f>'Historical P&amp;L(Lakhs)'!G14/10^2</f>
        <v>79.874399999999994</v>
      </c>
    </row>
    <row r="15" spans="2:10">
      <c r="B15" s="102" t="s">
        <v>150</v>
      </c>
      <c r="C15" s="98">
        <f>C12-C14</f>
        <v>-93.449700000000007</v>
      </c>
      <c r="D15" s="98">
        <f t="shared" ref="D15:G15" si="3">D12-D14</f>
        <v>-87.064900000000009</v>
      </c>
      <c r="E15" s="98">
        <f t="shared" si="3"/>
        <v>-149.63249999999999</v>
      </c>
      <c r="F15" s="98">
        <f t="shared" si="3"/>
        <v>-320.5564</v>
      </c>
      <c r="G15" s="98">
        <f t="shared" si="3"/>
        <v>-54.834400000000002</v>
      </c>
    </row>
    <row r="16" spans="2:10">
      <c r="B16" s="103" t="s">
        <v>148</v>
      </c>
      <c r="C16" s="93">
        <f>C15/C7</f>
        <v>-0.64514808422506054</v>
      </c>
      <c r="D16" s="93">
        <f t="shared" ref="D16:G16" si="4">D15/D7</f>
        <v>-1.6948588670430216</v>
      </c>
      <c r="E16" s="93">
        <f t="shared" si="4"/>
        <v>-1.0870504903741371</v>
      </c>
      <c r="F16" s="93">
        <f t="shared" si="4"/>
        <v>-1.2657705824284304</v>
      </c>
      <c r="G16" s="93">
        <f t="shared" si="4"/>
        <v>-0.57059729448491159</v>
      </c>
    </row>
    <row r="17" spans="2:7">
      <c r="B17" s="101" t="s">
        <v>75</v>
      </c>
      <c r="C17" s="97">
        <v>0</v>
      </c>
      <c r="D17" s="97">
        <v>0</v>
      </c>
      <c r="E17" s="97">
        <v>0</v>
      </c>
      <c r="F17" s="97">
        <v>0</v>
      </c>
      <c r="G17" s="97">
        <v>0</v>
      </c>
    </row>
    <row r="18" spans="2:7">
      <c r="B18" s="104" t="s">
        <v>149</v>
      </c>
      <c r="C18" s="50">
        <f>C15-C17</f>
        <v>-93.449700000000007</v>
      </c>
      <c r="D18" s="50">
        <f t="shared" ref="D18:G18" si="5">D15-D17</f>
        <v>-87.064900000000009</v>
      </c>
      <c r="E18" s="50">
        <f t="shared" si="5"/>
        <v>-149.63249999999999</v>
      </c>
      <c r="F18" s="50">
        <f t="shared" si="5"/>
        <v>-320.5564</v>
      </c>
      <c r="G18" s="50">
        <f t="shared" si="5"/>
        <v>-54.834400000000002</v>
      </c>
    </row>
    <row r="19" spans="2:7">
      <c r="B19" s="103" t="s">
        <v>151</v>
      </c>
      <c r="C19" s="93">
        <f>C18/C7</f>
        <v>-0.64514808422506054</v>
      </c>
      <c r="D19" s="93">
        <f t="shared" ref="D19:G19" si="6">D18/D7</f>
        <v>-1.6948588670430216</v>
      </c>
      <c r="E19" s="93">
        <f t="shared" si="6"/>
        <v>-1.0870504903741371</v>
      </c>
      <c r="F19" s="93">
        <f t="shared" si="6"/>
        <v>-1.2657705824284304</v>
      </c>
      <c r="G19" s="93">
        <f t="shared" si="6"/>
        <v>-0.57059729448491159</v>
      </c>
    </row>
    <row r="23" spans="2:7">
      <c r="B23" s="3" t="s">
        <v>120</v>
      </c>
    </row>
    <row r="24" spans="2:7">
      <c r="B24" t="s">
        <v>122</v>
      </c>
      <c r="C24" s="27">
        <v>3.5</v>
      </c>
      <c r="D24" s="27">
        <v>3</v>
      </c>
      <c r="E24" s="27">
        <v>3.1</v>
      </c>
      <c r="F24" s="27">
        <v>3.1</v>
      </c>
      <c r="G24" s="27">
        <v>3</v>
      </c>
    </row>
    <row r="25" spans="2:7">
      <c r="B25" t="s">
        <v>123</v>
      </c>
      <c r="C25" s="27"/>
      <c r="D25" s="27"/>
      <c r="E25" s="27"/>
      <c r="F25" s="27">
        <v>45.18</v>
      </c>
      <c r="G25" s="27">
        <v>140.24</v>
      </c>
    </row>
    <row r="26" spans="2:7">
      <c r="B26" t="s">
        <v>124</v>
      </c>
      <c r="C26" s="27">
        <v>1.27</v>
      </c>
      <c r="D26" s="27">
        <v>4.47</v>
      </c>
      <c r="E26" s="27"/>
      <c r="F26" s="27">
        <v>0.57999999999999996</v>
      </c>
      <c r="G26" s="27">
        <v>0.3</v>
      </c>
    </row>
    <row r="27" spans="2:7">
      <c r="B27" t="s">
        <v>126</v>
      </c>
      <c r="C27" s="27"/>
      <c r="D27" s="27">
        <v>147.56</v>
      </c>
      <c r="E27" s="27"/>
      <c r="G27" s="27"/>
    </row>
    <row r="28" spans="2:7">
      <c r="B28" t="s">
        <v>128</v>
      </c>
      <c r="C28" s="27">
        <v>0.31</v>
      </c>
      <c r="D28" s="27">
        <v>0.49</v>
      </c>
      <c r="E28" s="27">
        <v>0.46</v>
      </c>
      <c r="F28" s="27">
        <v>0.44</v>
      </c>
      <c r="G28" s="27">
        <v>0.64</v>
      </c>
    </row>
    <row r="29" spans="2:7">
      <c r="B29" t="s">
        <v>127</v>
      </c>
      <c r="C29" s="27">
        <v>0.01</v>
      </c>
      <c r="D29" s="27"/>
      <c r="F29" s="27">
        <v>3.86</v>
      </c>
      <c r="G29" s="27">
        <v>117.93</v>
      </c>
    </row>
    <row r="30" spans="2:7">
      <c r="B30" t="s">
        <v>121</v>
      </c>
      <c r="D30" s="27"/>
      <c r="E30" s="27">
        <v>7009.89</v>
      </c>
      <c r="F30" s="27">
        <v>21153.86</v>
      </c>
      <c r="G30" s="27"/>
    </row>
    <row r="31" spans="2:7">
      <c r="C31" s="71">
        <f>SUM(C24:C30)</f>
        <v>5.089999999999999</v>
      </c>
      <c r="D31" s="71">
        <f t="shared" ref="D31:G31" si="7">SUM(D24:D30)</f>
        <v>155.52000000000001</v>
      </c>
      <c r="E31" s="71">
        <f t="shared" si="7"/>
        <v>7013.4500000000007</v>
      </c>
      <c r="F31" s="71">
        <f t="shared" si="7"/>
        <v>21207.02</v>
      </c>
      <c r="G31" s="71">
        <f t="shared" si="7"/>
        <v>262.11</v>
      </c>
    </row>
    <row r="32" spans="2:7">
      <c r="C32" s="70">
        <f>(C31/10^2)/C7</f>
        <v>3.513979979288919E-4</v>
      </c>
      <c r="D32" s="70">
        <f t="shared" ref="D32:G32" si="8">(D31/10^2)/D7</f>
        <v>3.027447926805529E-2</v>
      </c>
      <c r="E32" s="70">
        <f t="shared" si="8"/>
        <v>0.5095132582637123</v>
      </c>
      <c r="F32" s="70">
        <f t="shared" si="8"/>
        <v>0.83739466929911155</v>
      </c>
      <c r="G32" s="70">
        <f t="shared" si="8"/>
        <v>2.7274713839750265E-2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C35AE-67A6-451C-8175-2A4AE4DB0AB9}">
  <dimension ref="B1:J32"/>
  <sheetViews>
    <sheetView tabSelected="1" topLeftCell="A7" workbookViewId="0">
      <selection activeCell="C30" sqref="C30:G31"/>
    </sheetView>
  </sheetViews>
  <sheetFormatPr defaultRowHeight="15"/>
  <cols>
    <col min="2" max="2" width="38.28515625" customWidth="1"/>
    <col min="3" max="6" width="16.140625" customWidth="1"/>
    <col min="7" max="7" width="16.140625" style="117" customWidth="1"/>
    <col min="10" max="10" width="11.140625" bestFit="1" customWidth="1"/>
  </cols>
  <sheetData>
    <row r="1" spans="2:10">
      <c r="B1" s="38"/>
      <c r="C1" s="38"/>
      <c r="D1" s="38"/>
      <c r="E1" s="38"/>
      <c r="F1" s="38"/>
      <c r="G1" s="112"/>
    </row>
    <row r="2" spans="2:10">
      <c r="B2" s="38"/>
      <c r="C2" s="38"/>
      <c r="D2" s="38"/>
      <c r="E2" s="38"/>
      <c r="F2" s="38"/>
      <c r="G2" s="112"/>
    </row>
    <row r="3" spans="2:10">
      <c r="B3" s="54" t="s">
        <v>90</v>
      </c>
      <c r="C3" s="54"/>
      <c r="D3" s="54"/>
      <c r="E3" s="54"/>
      <c r="F3" s="54"/>
      <c r="G3" s="54"/>
    </row>
    <row r="4" spans="2:10">
      <c r="B4" s="38"/>
      <c r="C4" s="38"/>
      <c r="D4" s="38"/>
      <c r="E4" s="38"/>
      <c r="F4" s="38"/>
      <c r="G4" s="113" t="s">
        <v>114</v>
      </c>
    </row>
    <row r="5" spans="2:10">
      <c r="B5" s="39" t="s">
        <v>91</v>
      </c>
      <c r="C5" s="39"/>
      <c r="D5" s="39"/>
      <c r="E5" s="39"/>
      <c r="F5" s="39"/>
      <c r="G5" s="39"/>
    </row>
    <row r="6" spans="2:10">
      <c r="B6" s="38"/>
      <c r="C6" s="38">
        <f>2+1.66</f>
        <v>3.66</v>
      </c>
      <c r="D6" s="38">
        <v>2</v>
      </c>
      <c r="E6" s="38">
        <v>2</v>
      </c>
      <c r="F6" s="38">
        <v>2</v>
      </c>
      <c r="G6" s="112">
        <v>1.5</v>
      </c>
    </row>
    <row r="7" spans="2:10">
      <c r="B7" s="55" t="s">
        <v>1</v>
      </c>
      <c r="C7" s="45">
        <v>2024</v>
      </c>
      <c r="D7" s="45">
        <f>C7+1</f>
        <v>2025</v>
      </c>
      <c r="E7" s="45">
        <f t="shared" ref="E7:G7" si="0">D7+1</f>
        <v>2026</v>
      </c>
      <c r="F7" s="45">
        <f t="shared" si="0"/>
        <v>2027</v>
      </c>
      <c r="G7" s="45">
        <f t="shared" si="0"/>
        <v>2028</v>
      </c>
    </row>
    <row r="9" spans="2:10">
      <c r="B9" t="s">
        <v>13</v>
      </c>
      <c r="C9" s="27">
        <f>61.2*C6</f>
        <v>223.99200000000002</v>
      </c>
      <c r="D9" s="27">
        <f t="shared" ref="D9:G9" si="1">61.2*D6</f>
        <v>122.4</v>
      </c>
      <c r="E9" s="27">
        <f t="shared" si="1"/>
        <v>122.4</v>
      </c>
      <c r="F9" s="27">
        <f t="shared" si="1"/>
        <v>122.4</v>
      </c>
      <c r="G9" s="118">
        <f t="shared" si="1"/>
        <v>91.800000000000011</v>
      </c>
    </row>
    <row r="10" spans="2:10">
      <c r="B10" t="s">
        <v>20</v>
      </c>
      <c r="C10" s="9">
        <f>'Claims Calculation'!D17</f>
        <v>28.326419999999995</v>
      </c>
      <c r="D10" s="9">
        <f>'Claims Calculation'!E17</f>
        <v>28.326419999999995</v>
      </c>
      <c r="E10" s="9">
        <f>'Claims Calculation'!F17</f>
        <v>37.768560000000001</v>
      </c>
      <c r="F10" s="9">
        <f>'Claims Calculation'!G17</f>
        <v>47.210699999999996</v>
      </c>
      <c r="G10" s="119">
        <f>'Claims Calculation'!H17</f>
        <v>47.210699999999996</v>
      </c>
    </row>
    <row r="11" spans="2:10">
      <c r="B11" s="56" t="s">
        <v>15</v>
      </c>
      <c r="C11" s="57">
        <f>C10+C9</f>
        <v>252.31842</v>
      </c>
      <c r="D11" s="57">
        <f t="shared" ref="D11:G11" si="2">D10+D9</f>
        <v>150.72641999999999</v>
      </c>
      <c r="E11" s="57">
        <f t="shared" si="2"/>
        <v>160.16856000000001</v>
      </c>
      <c r="F11" s="57">
        <f t="shared" si="2"/>
        <v>169.61070000000001</v>
      </c>
      <c r="G11" s="57">
        <f t="shared" si="2"/>
        <v>139.01070000000001</v>
      </c>
    </row>
    <row r="13" spans="2:10">
      <c r="B13" t="s">
        <v>125</v>
      </c>
      <c r="C13" s="26">
        <v>45</v>
      </c>
      <c r="D13" s="26">
        <v>40</v>
      </c>
    </row>
    <row r="14" spans="2:10">
      <c r="B14" t="s">
        <v>31</v>
      </c>
      <c r="C14" s="26">
        <f>Maintenance!G7/10^7</f>
        <v>11.091781946385</v>
      </c>
      <c r="D14" s="26">
        <f>Maintenance!H7/10^7</f>
        <v>11.646371043704251</v>
      </c>
      <c r="E14" s="26">
        <f>Maintenance!I7/10^7</f>
        <v>12.228689595889465</v>
      </c>
      <c r="F14" s="26">
        <f>Maintenance!J7/10^7</f>
        <v>12.84012407568394</v>
      </c>
      <c r="G14" s="120">
        <f>Maintenance!K7/10^7</f>
        <v>13.482130279468134</v>
      </c>
    </row>
    <row r="15" spans="2:10">
      <c r="B15" t="s">
        <v>118</v>
      </c>
      <c r="C15" s="27">
        <f>'Historical P&amp;L(Lakhs)'!C13/10^2*(1+'Projected P&amp;L'!I15)</f>
        <v>0.55319000000000007</v>
      </c>
      <c r="D15" s="27">
        <f>C15*(1+$I$15)</f>
        <v>0.60850900000000008</v>
      </c>
      <c r="E15" s="27">
        <f t="shared" ref="E15:G15" si="3">D15*(1+$I$15)</f>
        <v>0.66935990000000012</v>
      </c>
      <c r="F15" s="27">
        <f t="shared" si="3"/>
        <v>0.73629589000000017</v>
      </c>
      <c r="G15" s="27">
        <f t="shared" si="3"/>
        <v>0.80992547900000023</v>
      </c>
      <c r="I15" s="82">
        <v>0.1</v>
      </c>
      <c r="J15" s="35" t="s">
        <v>129</v>
      </c>
    </row>
    <row r="16" spans="2:10">
      <c r="B16" t="s">
        <v>21</v>
      </c>
      <c r="C16" s="27">
        <f>C11*$I$16</f>
        <v>25.231842</v>
      </c>
      <c r="D16" s="27">
        <f t="shared" ref="D16:G16" si="4">D11*$I$16</f>
        <v>15.072642</v>
      </c>
      <c r="E16" s="27">
        <f t="shared" si="4"/>
        <v>16.016856000000001</v>
      </c>
      <c r="F16" s="27">
        <f t="shared" si="4"/>
        <v>16.961070000000003</v>
      </c>
      <c r="G16" s="27">
        <f t="shared" si="4"/>
        <v>13.901070000000002</v>
      </c>
      <c r="I16" s="92">
        <v>0.1</v>
      </c>
      <c r="J16" s="35" t="s">
        <v>130</v>
      </c>
    </row>
    <row r="17" spans="2:7">
      <c r="B17" s="56" t="s">
        <v>22</v>
      </c>
      <c r="C17" s="57">
        <f>SUM(C13:C16)</f>
        <v>81.876813946384999</v>
      </c>
      <c r="D17" s="57">
        <f>SUM(D13:D16)</f>
        <v>67.327522043704249</v>
      </c>
      <c r="E17" s="57">
        <f>SUM(E13:E16)</f>
        <v>28.914905495889464</v>
      </c>
      <c r="F17" s="57">
        <f>SUM(F13:F16)</f>
        <v>30.537489965683946</v>
      </c>
      <c r="G17" s="57">
        <f>SUM(G13:G16)</f>
        <v>28.193125758468135</v>
      </c>
    </row>
    <row r="19" spans="2:7">
      <c r="B19" s="56" t="s">
        <v>23</v>
      </c>
      <c r="C19" s="57">
        <f>C11-C17</f>
        <v>170.441606053615</v>
      </c>
      <c r="D19" s="57">
        <f>D11-D17</f>
        <v>83.398897956295741</v>
      </c>
      <c r="E19" s="57">
        <f>E11-E17</f>
        <v>131.25365450411056</v>
      </c>
      <c r="F19" s="57">
        <f>F11-F17</f>
        <v>139.07321003431605</v>
      </c>
      <c r="G19" s="57">
        <f>G11-G17</f>
        <v>110.81757424153187</v>
      </c>
    </row>
    <row r="20" spans="2:7">
      <c r="B20" s="121" t="s">
        <v>152</v>
      </c>
      <c r="C20" s="122">
        <f>C19/C11</f>
        <v>0.67550203450709223</v>
      </c>
      <c r="D20" s="122">
        <f t="shared" ref="D20:G20" si="5">D19/D11</f>
        <v>0.55331306851377315</v>
      </c>
      <c r="E20" s="122">
        <f t="shared" si="5"/>
        <v>0.81947202687038301</v>
      </c>
      <c r="F20" s="122">
        <f t="shared" si="5"/>
        <v>0.81995540395927879</v>
      </c>
      <c r="G20" s="122">
        <f t="shared" si="5"/>
        <v>0.79718736932863343</v>
      </c>
    </row>
    <row r="21" spans="2:7">
      <c r="B21" t="s">
        <v>107</v>
      </c>
      <c r="C21" s="27">
        <f>Depreciation!F8/10^2</f>
        <v>8.3299999999999999E-2</v>
      </c>
      <c r="D21" s="27">
        <f>C21</f>
        <v>8.3299999999999999E-2</v>
      </c>
      <c r="E21" s="27">
        <f t="shared" ref="E21:G21" si="6">D21</f>
        <v>8.3299999999999999E-2</v>
      </c>
      <c r="F21" s="27">
        <f t="shared" si="6"/>
        <v>8.3299999999999999E-2</v>
      </c>
      <c r="G21" s="118">
        <f t="shared" si="6"/>
        <v>8.3299999999999999E-2</v>
      </c>
    </row>
    <row r="23" spans="2:7">
      <c r="B23" s="56" t="s">
        <v>36</v>
      </c>
      <c r="C23" s="57">
        <f>C19-C21</f>
        <v>170.358306053615</v>
      </c>
      <c r="D23" s="57">
        <f t="shared" ref="D23:G23" si="7">D19-D21</f>
        <v>83.315597956295747</v>
      </c>
      <c r="E23" s="57">
        <f t="shared" si="7"/>
        <v>131.17035450411055</v>
      </c>
      <c r="F23" s="57">
        <f t="shared" si="7"/>
        <v>138.98991003431604</v>
      </c>
      <c r="G23" s="57">
        <f t="shared" si="7"/>
        <v>110.73427424153188</v>
      </c>
    </row>
    <row r="24" spans="2:7">
      <c r="B24" s="121" t="s">
        <v>153</v>
      </c>
      <c r="C24" s="122">
        <f>C23/C11</f>
        <v>0.67517189610498907</v>
      </c>
      <c r="D24" s="122">
        <f t="shared" ref="D24:G24" si="8">D23/D11</f>
        <v>0.55276041158740286</v>
      </c>
      <c r="E24" s="122">
        <f t="shared" si="8"/>
        <v>0.81895194977160646</v>
      </c>
      <c r="F24" s="122">
        <f t="shared" si="8"/>
        <v>0.81946427928377175</v>
      </c>
      <c r="G24" s="122">
        <f t="shared" si="8"/>
        <v>0.79658813488121327</v>
      </c>
    </row>
    <row r="25" spans="2:7">
      <c r="B25" t="s">
        <v>39</v>
      </c>
      <c r="C25" s="26">
        <f>'Loan Schedule'!E12/10^7</f>
        <v>70.304400000000001</v>
      </c>
      <c r="D25" s="26">
        <f>'Loan Schedule'!E13/10^7</f>
        <v>59.193733213602158</v>
      </c>
      <c r="E25" s="26">
        <f>'Loan Schedule'!E14/10^7</f>
        <v>46.772007746409379</v>
      </c>
      <c r="F25" s="26">
        <f>'Loan Schedule'!E15/10^7</f>
        <v>32.884518674087857</v>
      </c>
      <c r="G25" s="120">
        <f>'Loan Schedule'!E16/10^7</f>
        <v>17.358305891232398</v>
      </c>
    </row>
    <row r="27" spans="2:7">
      <c r="B27" s="56" t="s">
        <v>115</v>
      </c>
      <c r="C27" s="57">
        <f>C23-C25</f>
        <v>100.05390605361499</v>
      </c>
      <c r="D27" s="57">
        <f t="shared" ref="D27:G27" si="9">D23-D25</f>
        <v>24.121864742693589</v>
      </c>
      <c r="E27" s="57">
        <f t="shared" si="9"/>
        <v>84.398346757701177</v>
      </c>
      <c r="F27" s="57">
        <f t="shared" si="9"/>
        <v>106.10539136022818</v>
      </c>
      <c r="G27" s="57">
        <f t="shared" si="9"/>
        <v>93.375968350299473</v>
      </c>
    </row>
    <row r="28" spans="2:7">
      <c r="B28" t="s">
        <v>116</v>
      </c>
      <c r="C28" s="27">
        <f>IF(C27&lt;0,0,C27*$C$32)</f>
        <v>25.181567075573824</v>
      </c>
      <c r="D28" s="27">
        <f>IF(D27&lt;0,0,D27*$C$32)</f>
        <v>6.0709909184411224</v>
      </c>
      <c r="E28" s="27">
        <f>IF(E27&lt;0,0,E27*$C$32)</f>
        <v>21.241375911978235</v>
      </c>
      <c r="F28" s="27">
        <f>IF(F27&lt;0,0,F27*$C$32)</f>
        <v>26.704604897542229</v>
      </c>
      <c r="G28" s="118">
        <f>IF(G27&lt;0,0,G27*$C$32)</f>
        <v>23.500863714403373</v>
      </c>
    </row>
    <row r="30" spans="2:7">
      <c r="B30" s="56" t="s">
        <v>42</v>
      </c>
      <c r="C30" s="57">
        <f>C27-C28</f>
        <v>74.872338978041171</v>
      </c>
      <c r="D30" s="57">
        <f>D27-D28</f>
        <v>18.050873824252466</v>
      </c>
      <c r="E30" s="57">
        <f>E27-E28</f>
        <v>63.156970845722938</v>
      </c>
      <c r="F30" s="57">
        <f>F27-F28</f>
        <v>79.400786462685957</v>
      </c>
      <c r="G30" s="57">
        <f>G27-G28</f>
        <v>69.875104635896093</v>
      </c>
    </row>
    <row r="31" spans="2:7">
      <c r="B31" s="121" t="s">
        <v>154</v>
      </c>
      <c r="C31" s="123">
        <f>C30/C11</f>
        <v>0.29673750722615166</v>
      </c>
      <c r="D31" s="123">
        <f>D30/D11</f>
        <v>0.11975918902772631</v>
      </c>
      <c r="E31" s="123">
        <f>E30/E11</f>
        <v>0.39431565624191744</v>
      </c>
      <c r="F31" s="123">
        <f>F30/F11</f>
        <v>0.46813548002977379</v>
      </c>
      <c r="G31" s="123">
        <f>G30/G11</f>
        <v>0.50265990053928289</v>
      </c>
    </row>
    <row r="32" spans="2:7">
      <c r="B32" t="s">
        <v>117</v>
      </c>
      <c r="C32" s="24">
        <v>0.25168000000000001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C5898-4571-4EDA-AE4D-E81308A773C8}">
  <dimension ref="A1:S35"/>
  <sheetViews>
    <sheetView topLeftCell="C1" workbookViewId="0">
      <selection activeCell="C6" sqref="C6:K8"/>
    </sheetView>
  </sheetViews>
  <sheetFormatPr defaultRowHeight="15"/>
  <cols>
    <col min="1" max="1" width="26.7109375" style="2" customWidth="1"/>
    <col min="2" max="2" width="9.140625" style="2"/>
    <col min="3" max="3" width="45.85546875" style="2" bestFit="1" customWidth="1"/>
    <col min="4" max="4" width="15.28515625" style="2" hidden="1" customWidth="1"/>
    <col min="5" max="5" width="14.28515625" style="2" hidden="1" customWidth="1"/>
    <col min="6" max="6" width="15.28515625" style="2" hidden="1" customWidth="1"/>
    <col min="7" max="11" width="15.28515625" style="2" bestFit="1" customWidth="1"/>
    <col min="12" max="16384" width="9.140625" style="2"/>
  </cols>
  <sheetData>
    <row r="1" spans="1:11">
      <c r="B1" s="76"/>
    </row>
    <row r="2" spans="1:11">
      <c r="B2" s="76"/>
      <c r="C2" s="81" t="s">
        <v>31</v>
      </c>
    </row>
    <row r="4" spans="1:11">
      <c r="C4" s="2" t="s">
        <v>138</v>
      </c>
      <c r="D4" s="82">
        <v>0.05</v>
      </c>
    </row>
    <row r="5" spans="1:11">
      <c r="C5" s="2" t="s">
        <v>139</v>
      </c>
      <c r="D5" s="35">
        <v>65.018000000000001</v>
      </c>
      <c r="E5" s="35">
        <v>65.018000000000001</v>
      </c>
      <c r="F5" s="35">
        <v>65.018000000000001</v>
      </c>
      <c r="G5" s="35">
        <v>66.900000000000006</v>
      </c>
      <c r="H5" s="35">
        <v>66.900000000000006</v>
      </c>
      <c r="I5" s="35">
        <v>66.900000000000006</v>
      </c>
      <c r="J5" s="35">
        <v>66.900000000000006</v>
      </c>
      <c r="K5" s="35">
        <v>66.900000000000006</v>
      </c>
    </row>
    <row r="6" spans="1:11">
      <c r="D6" s="74">
        <v>44286</v>
      </c>
      <c r="E6" s="74">
        <f>EDATE(D6,12)</f>
        <v>44651</v>
      </c>
      <c r="F6" s="74">
        <f t="shared" ref="F6:K6" si="0">EDATE(E6,12)</f>
        <v>45016</v>
      </c>
      <c r="G6" s="74">
        <f t="shared" si="0"/>
        <v>45382</v>
      </c>
      <c r="H6" s="74">
        <f t="shared" si="0"/>
        <v>45747</v>
      </c>
      <c r="I6" s="74">
        <f t="shared" si="0"/>
        <v>46112</v>
      </c>
      <c r="J6" s="74">
        <f t="shared" si="0"/>
        <v>46477</v>
      </c>
      <c r="K6" s="74">
        <f t="shared" si="0"/>
        <v>46843</v>
      </c>
    </row>
    <row r="7" spans="1:11">
      <c r="C7" s="2" t="s">
        <v>135</v>
      </c>
      <c r="D7" s="77">
        <f t="shared" ref="D7:K7" si="1">D8*12*D5</f>
        <v>93119559.816</v>
      </c>
      <c r="E7" s="77">
        <f t="shared" si="1"/>
        <v>97775537.806800008</v>
      </c>
      <c r="F7" s="77">
        <f t="shared" si="1"/>
        <v>102664314.69713999</v>
      </c>
      <c r="G7" s="77">
        <f t="shared" si="1"/>
        <v>110917819.46385001</v>
      </c>
      <c r="H7" s="77">
        <f t="shared" si="1"/>
        <v>116463710.4370425</v>
      </c>
      <c r="I7" s="77">
        <f t="shared" si="1"/>
        <v>122286895.95889466</v>
      </c>
      <c r="J7" s="77">
        <f t="shared" si="1"/>
        <v>128401240.75683939</v>
      </c>
      <c r="K7" s="77">
        <f t="shared" si="1"/>
        <v>134821302.79468134</v>
      </c>
    </row>
    <row r="8" spans="1:11" ht="30">
      <c r="A8" s="73" t="s">
        <v>136</v>
      </c>
      <c r="C8" s="2" t="s">
        <v>137</v>
      </c>
      <c r="D8" s="75">
        <v>119351</v>
      </c>
      <c r="E8" s="77">
        <f>D8*(1+$D$4)</f>
        <v>125318.55</v>
      </c>
      <c r="F8" s="77">
        <f t="shared" ref="F8:K8" si="2">E8*(1+$D$4)</f>
        <v>131584.47750000001</v>
      </c>
      <c r="G8" s="77">
        <f t="shared" si="2"/>
        <v>138163.701375</v>
      </c>
      <c r="H8" s="77">
        <f t="shared" si="2"/>
        <v>145071.88644375</v>
      </c>
      <c r="I8" s="77">
        <f t="shared" si="2"/>
        <v>152325.48076593751</v>
      </c>
      <c r="J8" s="77">
        <f t="shared" si="2"/>
        <v>159941.7548042344</v>
      </c>
      <c r="K8" s="77">
        <f t="shared" si="2"/>
        <v>167938.84254444612</v>
      </c>
    </row>
    <row r="9" spans="1:11">
      <c r="D9" s="77"/>
      <c r="E9" s="77"/>
      <c r="F9" s="77"/>
      <c r="G9" s="80"/>
      <c r="H9" s="77"/>
      <c r="I9" s="77"/>
      <c r="J9" s="77"/>
      <c r="K9" s="77"/>
    </row>
    <row r="10" spans="1:11">
      <c r="D10" s="77"/>
      <c r="E10" s="77"/>
      <c r="F10" s="77"/>
      <c r="G10" s="80"/>
      <c r="H10" s="77"/>
      <c r="I10" s="77"/>
      <c r="J10" s="77"/>
      <c r="K10" s="77"/>
    </row>
    <row r="11" spans="1:11">
      <c r="C11" s="81" t="s">
        <v>125</v>
      </c>
      <c r="D11" s="77"/>
      <c r="E11" s="76"/>
      <c r="F11" s="76"/>
      <c r="G11" s="76"/>
    </row>
    <row r="12" spans="1:11">
      <c r="C12" s="2" t="s">
        <v>138</v>
      </c>
      <c r="D12" s="82">
        <v>0.05</v>
      </c>
      <c r="E12" s="78"/>
      <c r="F12" s="78"/>
      <c r="G12" s="78"/>
    </row>
    <row r="13" spans="1:11">
      <c r="C13" s="2" t="s">
        <v>139</v>
      </c>
      <c r="D13" s="35">
        <v>72.396000000000001</v>
      </c>
      <c r="E13" s="2" t="s">
        <v>141</v>
      </c>
      <c r="G13" s="79"/>
    </row>
    <row r="14" spans="1:11">
      <c r="C14" s="2" t="s">
        <v>140</v>
      </c>
      <c r="D14" s="77">
        <v>3000000</v>
      </c>
    </row>
    <row r="16" spans="1:11">
      <c r="D16" s="62" t="s">
        <v>12</v>
      </c>
      <c r="E16" s="62" t="s">
        <v>140</v>
      </c>
      <c r="F16" s="62" t="s">
        <v>142</v>
      </c>
    </row>
    <row r="17" spans="4:6">
      <c r="D17" s="83">
        <v>2011</v>
      </c>
      <c r="E17" s="84">
        <f>D14/10^7</f>
        <v>0.3</v>
      </c>
      <c r="F17" s="64"/>
    </row>
    <row r="18" spans="4:6">
      <c r="D18" s="83">
        <f t="shared" ref="D18:D31" si="3">D17+1</f>
        <v>2012</v>
      </c>
      <c r="E18" s="84">
        <f>E17*(1+$D$12)</f>
        <v>0.315</v>
      </c>
      <c r="F18" s="64"/>
    </row>
    <row r="19" spans="4:6">
      <c r="D19" s="83">
        <f t="shared" si="3"/>
        <v>2013</v>
      </c>
      <c r="E19" s="84">
        <f t="shared" ref="E19:E31" si="4">E18*(1+$D$12)</f>
        <v>0.33075000000000004</v>
      </c>
      <c r="F19" s="64"/>
    </row>
    <row r="20" spans="4:6">
      <c r="D20" s="83">
        <f t="shared" si="3"/>
        <v>2014</v>
      </c>
      <c r="E20" s="84">
        <f t="shared" si="4"/>
        <v>0.34728750000000008</v>
      </c>
      <c r="F20" s="64"/>
    </row>
    <row r="21" spans="4:6">
      <c r="D21" s="83">
        <f t="shared" si="3"/>
        <v>2015</v>
      </c>
      <c r="E21" s="84">
        <f t="shared" si="4"/>
        <v>0.36465187500000013</v>
      </c>
      <c r="F21" s="64"/>
    </row>
    <row r="22" spans="4:6">
      <c r="D22" s="83">
        <f t="shared" si="3"/>
        <v>2016</v>
      </c>
      <c r="E22" s="84">
        <f t="shared" si="4"/>
        <v>0.38288446875000015</v>
      </c>
      <c r="F22" s="64"/>
    </row>
    <row r="23" spans="4:6">
      <c r="D23" s="83">
        <f t="shared" si="3"/>
        <v>2017</v>
      </c>
      <c r="E23" s="84">
        <f t="shared" si="4"/>
        <v>0.4020286921875002</v>
      </c>
      <c r="F23" s="64"/>
    </row>
    <row r="24" spans="4:6">
      <c r="D24" s="83">
        <f t="shared" si="3"/>
        <v>2018</v>
      </c>
      <c r="E24" s="84">
        <f t="shared" si="4"/>
        <v>0.42213012679687523</v>
      </c>
      <c r="F24" s="64"/>
    </row>
    <row r="25" spans="4:6">
      <c r="D25" s="83">
        <f t="shared" si="3"/>
        <v>2019</v>
      </c>
      <c r="E25" s="84">
        <f t="shared" si="4"/>
        <v>0.44323663313671902</v>
      </c>
      <c r="F25" s="64"/>
    </row>
    <row r="26" spans="4:6">
      <c r="D26" s="83">
        <f t="shared" si="3"/>
        <v>2020</v>
      </c>
      <c r="E26" s="84">
        <f t="shared" si="4"/>
        <v>0.46539846479355501</v>
      </c>
      <c r="F26" s="64"/>
    </row>
    <row r="27" spans="4:6">
      <c r="D27" s="83">
        <f t="shared" si="3"/>
        <v>2021</v>
      </c>
      <c r="E27" s="84">
        <f t="shared" si="4"/>
        <v>0.48866838803323276</v>
      </c>
      <c r="F27" s="64"/>
    </row>
    <row r="28" spans="4:6">
      <c r="D28" s="83">
        <f t="shared" si="3"/>
        <v>2022</v>
      </c>
      <c r="E28" s="84">
        <f t="shared" si="4"/>
        <v>0.51310180743489442</v>
      </c>
      <c r="F28" s="64"/>
    </row>
    <row r="29" spans="4:6">
      <c r="D29" s="83">
        <f t="shared" si="3"/>
        <v>2023</v>
      </c>
      <c r="E29" s="84">
        <f t="shared" si="4"/>
        <v>0.53875689780663916</v>
      </c>
      <c r="F29" s="64"/>
    </row>
    <row r="30" spans="4:6">
      <c r="D30" s="83">
        <f t="shared" si="3"/>
        <v>2024</v>
      </c>
      <c r="E30" s="84">
        <f t="shared" si="4"/>
        <v>0.56569474269697118</v>
      </c>
      <c r="F30" s="64"/>
    </row>
    <row r="31" spans="4:6">
      <c r="D31" s="85">
        <f t="shared" si="3"/>
        <v>2025</v>
      </c>
      <c r="E31" s="86">
        <f t="shared" si="4"/>
        <v>0.59397947983181976</v>
      </c>
      <c r="F31" s="86">
        <f>E31*D13</f>
        <v>43.00173842190442</v>
      </c>
    </row>
    <row r="33" spans="4:19">
      <c r="D33" s="62" t="s">
        <v>12</v>
      </c>
      <c r="E33" s="83">
        <v>2011</v>
      </c>
      <c r="F33" s="83">
        <f t="shared" ref="F33:S33" si="5">E33+1</f>
        <v>2012</v>
      </c>
      <c r="G33" s="83">
        <f t="shared" si="5"/>
        <v>2013</v>
      </c>
      <c r="H33" s="83">
        <f t="shared" si="5"/>
        <v>2014</v>
      </c>
      <c r="I33" s="83">
        <f t="shared" si="5"/>
        <v>2015</v>
      </c>
      <c r="J33" s="83">
        <f t="shared" si="5"/>
        <v>2016</v>
      </c>
      <c r="K33" s="83">
        <f t="shared" si="5"/>
        <v>2017</v>
      </c>
      <c r="L33" s="83">
        <f t="shared" si="5"/>
        <v>2018</v>
      </c>
      <c r="M33" s="83">
        <f t="shared" si="5"/>
        <v>2019</v>
      </c>
      <c r="N33" s="83">
        <f t="shared" si="5"/>
        <v>2020</v>
      </c>
      <c r="O33" s="83">
        <f t="shared" si="5"/>
        <v>2021</v>
      </c>
      <c r="P33" s="83">
        <f t="shared" si="5"/>
        <v>2022</v>
      </c>
      <c r="Q33" s="83">
        <f t="shared" si="5"/>
        <v>2023</v>
      </c>
      <c r="R33" s="83">
        <f t="shared" si="5"/>
        <v>2024</v>
      </c>
      <c r="S33" s="85">
        <f t="shared" si="5"/>
        <v>2025</v>
      </c>
    </row>
    <row r="34" spans="4:19">
      <c r="D34" s="62" t="s">
        <v>140</v>
      </c>
      <c r="E34" s="84">
        <f>D14/10^7</f>
        <v>0.3</v>
      </c>
      <c r="F34" s="84">
        <f t="shared" ref="F34:S34" si="6">E34*(1+$D$12)</f>
        <v>0.315</v>
      </c>
      <c r="G34" s="84">
        <f t="shared" si="6"/>
        <v>0.33075000000000004</v>
      </c>
      <c r="H34" s="84">
        <f t="shared" si="6"/>
        <v>0.34728750000000008</v>
      </c>
      <c r="I34" s="84">
        <f t="shared" si="6"/>
        <v>0.36465187500000013</v>
      </c>
      <c r="J34" s="84">
        <f t="shared" si="6"/>
        <v>0.38288446875000015</v>
      </c>
      <c r="K34" s="84">
        <f t="shared" si="6"/>
        <v>0.4020286921875002</v>
      </c>
      <c r="L34" s="84">
        <f t="shared" si="6"/>
        <v>0.42213012679687523</v>
      </c>
      <c r="M34" s="84">
        <f t="shared" si="6"/>
        <v>0.44323663313671902</v>
      </c>
      <c r="N34" s="84">
        <f t="shared" si="6"/>
        <v>0.46539846479355501</v>
      </c>
      <c r="O34" s="84">
        <f t="shared" si="6"/>
        <v>0.48866838803323276</v>
      </c>
      <c r="P34" s="84">
        <f t="shared" si="6"/>
        <v>0.51310180743489442</v>
      </c>
      <c r="Q34" s="84">
        <f t="shared" si="6"/>
        <v>0.53875689780663916</v>
      </c>
      <c r="R34" s="84">
        <f t="shared" si="6"/>
        <v>0.56569474269697118</v>
      </c>
      <c r="S34" s="86">
        <f t="shared" si="6"/>
        <v>0.59397947983181976</v>
      </c>
    </row>
    <row r="35" spans="4:19">
      <c r="D35" s="62" t="s">
        <v>142</v>
      </c>
      <c r="E35" s="64"/>
      <c r="F35" s="64"/>
      <c r="G35" s="64"/>
      <c r="H35" s="64"/>
      <c r="I35" s="64"/>
      <c r="J35" s="64"/>
      <c r="K35" s="64"/>
      <c r="L35" s="64"/>
      <c r="M35" s="64"/>
      <c r="N35" s="64"/>
      <c r="O35" s="64"/>
      <c r="P35" s="64"/>
      <c r="Q35" s="64"/>
      <c r="R35" s="64"/>
      <c r="S35" s="86">
        <f>S34*F31</f>
        <v>25.542150219706766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Basic</vt:lpstr>
      <vt:lpstr>EV Calc.</vt:lpstr>
      <vt:lpstr>Sheet2</vt:lpstr>
      <vt:lpstr>Projected P &amp; L</vt:lpstr>
      <vt:lpstr>Sheet1</vt:lpstr>
      <vt:lpstr>Historical P&amp;L(Lakhs)</vt:lpstr>
      <vt:lpstr>Historical P&amp;L</vt:lpstr>
      <vt:lpstr>Projected P&amp;L</vt:lpstr>
      <vt:lpstr>Maintenance</vt:lpstr>
      <vt:lpstr>Loan Schedule</vt:lpstr>
      <vt:lpstr>Depreciation</vt:lpstr>
      <vt:lpstr>WACC</vt:lpstr>
      <vt:lpstr>Claims Calculation</vt:lpstr>
      <vt:lpst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2023-10-10T12:20:03Z</dcterms:modified>
</cp:coreProperties>
</file>