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25" windowHeight="9735"/>
  </bookViews>
  <sheets>
    <sheet name="Sheet1" sheetId="1" r:id="rId1"/>
    <sheet name="Sheet2" sheetId="2" r:id="rId2"/>
  </sheets>
  <definedNames>
    <definedName name="_xlnm._FilterDatabase" localSheetId="0" hidden="1">Sheet1!$B$2:$Q$22</definedName>
  </definedNames>
  <calcPr calcId="152511"/>
</workbook>
</file>

<file path=xl/calcChain.xml><?xml version="1.0" encoding="utf-8"?>
<calcChain xmlns="http://schemas.openxmlformats.org/spreadsheetml/2006/main">
  <c r="Q27" i="1" l="1"/>
  <c r="Q26" i="1"/>
  <c r="H28" i="2"/>
  <c r="I27" i="2" s="1"/>
  <c r="G27" i="2"/>
  <c r="H27" i="2"/>
  <c r="K30" i="2"/>
  <c r="K29" i="2"/>
  <c r="F36" i="2"/>
  <c r="F35" i="2"/>
  <c r="F33" i="2"/>
  <c r="F30" i="2"/>
  <c r="M19" i="1"/>
  <c r="J19" i="1"/>
  <c r="G19" i="1"/>
  <c r="O19" i="1" s="1"/>
  <c r="P19" i="1" s="1"/>
  <c r="Q19" i="1" s="1"/>
  <c r="D37" i="2"/>
  <c r="M20" i="1" l="1"/>
  <c r="J20" i="1"/>
  <c r="G20" i="1"/>
  <c r="O20" i="1" s="1"/>
  <c r="M13" i="1"/>
  <c r="J13" i="1"/>
  <c r="G13" i="1"/>
  <c r="O13" i="1" s="1"/>
  <c r="M12" i="1"/>
  <c r="J12" i="1"/>
  <c r="G12" i="1"/>
  <c r="O12" i="1" s="1"/>
  <c r="D36" i="2"/>
  <c r="D6" i="2"/>
  <c r="D34" i="2"/>
  <c r="D25" i="2"/>
  <c r="F12" i="1"/>
  <c r="F36" i="1"/>
  <c r="F34" i="1"/>
  <c r="P20" i="1" l="1"/>
  <c r="Q20" i="1" s="1"/>
  <c r="P13" i="1"/>
  <c r="Q13" i="1" s="1"/>
  <c r="P12" i="1"/>
  <c r="Q12" i="1" s="1"/>
  <c r="M21" i="1"/>
  <c r="M18" i="1"/>
  <c r="M17" i="1"/>
  <c r="M16" i="1"/>
  <c r="M15" i="1"/>
  <c r="M14" i="1"/>
  <c r="M11" i="1"/>
  <c r="M10" i="1"/>
  <c r="M9" i="1"/>
  <c r="M8" i="1"/>
  <c r="M7" i="1"/>
  <c r="M6" i="1"/>
  <c r="M5" i="1"/>
  <c r="M4" i="1"/>
  <c r="J21" i="1"/>
  <c r="J18" i="1"/>
  <c r="J17" i="1"/>
  <c r="J16" i="1"/>
  <c r="J15" i="1"/>
  <c r="J14" i="1"/>
  <c r="J11" i="1"/>
  <c r="J10" i="1"/>
  <c r="J9" i="1"/>
  <c r="J8" i="1"/>
  <c r="J7" i="1"/>
  <c r="J6" i="1"/>
  <c r="J5" i="1"/>
  <c r="J4" i="1"/>
  <c r="M3" i="1"/>
  <c r="J3" i="1"/>
  <c r="F21" i="1" l="1"/>
  <c r="G21" i="1" s="1"/>
  <c r="O21" i="1" s="1"/>
  <c r="P21" i="1" s="1"/>
  <c r="Q21" i="1" s="1"/>
  <c r="F18" i="1"/>
  <c r="G18" i="1" s="1"/>
  <c r="O18" i="1" s="1"/>
  <c r="P18" i="1" s="1"/>
  <c r="Q18" i="1" s="1"/>
  <c r="F17" i="1"/>
  <c r="G17" i="1" s="1"/>
  <c r="O17" i="1" s="1"/>
  <c r="P17" i="1" s="1"/>
  <c r="Q17" i="1" s="1"/>
  <c r="F16" i="1"/>
  <c r="G16" i="1" s="1"/>
  <c r="O16" i="1" s="1"/>
  <c r="P16" i="1" s="1"/>
  <c r="Q16" i="1" s="1"/>
  <c r="F15" i="1"/>
  <c r="G15" i="1" s="1"/>
  <c r="O15" i="1" s="1"/>
  <c r="P15" i="1" s="1"/>
  <c r="Q15" i="1" s="1"/>
  <c r="F14" i="1"/>
  <c r="G14" i="1" s="1"/>
  <c r="O14" i="1" s="1"/>
  <c r="P14" i="1" s="1"/>
  <c r="Q14" i="1" s="1"/>
  <c r="F11" i="1"/>
  <c r="G11" i="1" s="1"/>
  <c r="O11" i="1" s="1"/>
  <c r="P11" i="1" s="1"/>
  <c r="Q11" i="1" s="1"/>
  <c r="F10" i="1"/>
  <c r="G10" i="1" s="1"/>
  <c r="O10" i="1" s="1"/>
  <c r="P10" i="1" s="1"/>
  <c r="Q10" i="1" s="1"/>
  <c r="F9" i="1"/>
  <c r="G9" i="1" s="1"/>
  <c r="O9" i="1" s="1"/>
  <c r="P9" i="1" s="1"/>
  <c r="Q9" i="1" s="1"/>
  <c r="F8" i="1"/>
  <c r="G8" i="1" s="1"/>
  <c r="O8" i="1" s="1"/>
  <c r="P8" i="1" s="1"/>
  <c r="Q8" i="1" s="1"/>
  <c r="F7" i="1"/>
  <c r="G7" i="1" s="1"/>
  <c r="O7" i="1" s="1"/>
  <c r="P7" i="1" s="1"/>
  <c r="Q7" i="1" s="1"/>
  <c r="F6" i="1"/>
  <c r="G6" i="1" s="1"/>
  <c r="O6" i="1" s="1"/>
  <c r="P6" i="1" s="1"/>
  <c r="Q6" i="1" s="1"/>
  <c r="F5" i="1"/>
  <c r="G5" i="1" s="1"/>
  <c r="O5" i="1" s="1"/>
  <c r="P5" i="1" s="1"/>
  <c r="Q5" i="1" s="1"/>
  <c r="F4" i="1"/>
  <c r="G4" i="1" s="1"/>
  <c r="O4" i="1" s="1"/>
  <c r="P4" i="1" s="1"/>
  <c r="Q4" i="1" s="1"/>
  <c r="F3" i="1"/>
  <c r="G3" i="1" s="1"/>
  <c r="O3" i="1" l="1"/>
  <c r="P3" i="1" s="1"/>
  <c r="G22" i="1"/>
  <c r="F22" i="1"/>
  <c r="F26" i="1" s="1"/>
  <c r="F38" i="1" s="1"/>
  <c r="O22" i="1"/>
  <c r="O29" i="1" s="1"/>
  <c r="Q3" i="1" l="1"/>
  <c r="Q22" i="1" s="1"/>
  <c r="Q24" i="1" s="1"/>
</calcChain>
</file>

<file path=xl/sharedStrings.xml><?xml version="1.0" encoding="utf-8"?>
<sst xmlns="http://schemas.openxmlformats.org/spreadsheetml/2006/main" count="84" uniqueCount="49">
  <si>
    <t>S. No.</t>
  </si>
  <si>
    <t>24 (12+12)</t>
  </si>
  <si>
    <t>20 (10+10)</t>
  </si>
  <si>
    <t>Floor</t>
  </si>
  <si>
    <t>Type of Structure</t>
  </si>
  <si>
    <t>Year of Construction</t>
  </si>
  <si>
    <t>Salvage value</t>
  </si>
  <si>
    <t>Depreciation Rate</t>
  </si>
  <si>
    <r>
      <t xml:space="preserve">Total Economical Life
</t>
    </r>
    <r>
      <rPr>
        <b/>
        <i/>
        <sz val="10"/>
        <color theme="0"/>
        <rFont val="Calibri"/>
        <family val="2"/>
        <scheme val="minor"/>
      </rPr>
      <t>(in years)</t>
    </r>
  </si>
  <si>
    <r>
      <t xml:space="preserve">Total Life Consumed 
</t>
    </r>
    <r>
      <rPr>
        <b/>
        <i/>
        <sz val="10"/>
        <color theme="0"/>
        <rFont val="Calibri"/>
        <family val="2"/>
        <scheme val="minor"/>
      </rPr>
      <t>(in years)</t>
    </r>
  </si>
  <si>
    <r>
      <t xml:space="preserve">Gross Replacement Value
</t>
    </r>
    <r>
      <rPr>
        <b/>
        <i/>
        <sz val="10"/>
        <color theme="0"/>
        <rFont val="Calibri"/>
        <family val="2"/>
        <scheme val="minor"/>
      </rPr>
      <t>(INR)</t>
    </r>
  </si>
  <si>
    <r>
      <t xml:space="preserve">Depreciated Replacement Market Value
</t>
    </r>
    <r>
      <rPr>
        <b/>
        <i/>
        <sz val="10"/>
        <color theme="0"/>
        <rFont val="Calibri"/>
        <family val="2"/>
        <scheme val="minor"/>
      </rPr>
      <t>(INR)</t>
    </r>
  </si>
  <si>
    <r>
      <t xml:space="preserve">Depreciation
</t>
    </r>
    <r>
      <rPr>
        <b/>
        <i/>
        <sz val="10"/>
        <color theme="0"/>
        <rFont val="Calibri"/>
        <family val="2"/>
        <scheme val="minor"/>
      </rPr>
      <t>(INR)</t>
    </r>
  </si>
  <si>
    <t>G+1</t>
  </si>
  <si>
    <t>Ground</t>
  </si>
  <si>
    <t>Machineshop Shed</t>
  </si>
  <si>
    <t>Forgeshop Shed</t>
  </si>
  <si>
    <t>Machineshop Office</t>
  </si>
  <si>
    <t>Forgeshop Office</t>
  </si>
  <si>
    <t>Ground: Hydraulic Room + LT Panel Room
First: SMS Panel Room</t>
  </si>
  <si>
    <t>Panel Room</t>
  </si>
  <si>
    <t>Utility Building back side of Machineshop</t>
  </si>
  <si>
    <t>Compressor Room &amp; Panel Room</t>
  </si>
  <si>
    <t>Parking Area</t>
  </si>
  <si>
    <t>Sub-station</t>
  </si>
  <si>
    <t>DG Set shed</t>
  </si>
  <si>
    <t>Store</t>
  </si>
  <si>
    <t>Met Lab</t>
  </si>
  <si>
    <t>Pump House</t>
  </si>
  <si>
    <t>Store near Scrap Yard</t>
  </si>
  <si>
    <r>
      <t xml:space="preserve">Plinth Rate
</t>
    </r>
    <r>
      <rPr>
        <b/>
        <i/>
        <sz val="10"/>
        <color theme="0"/>
        <rFont val="Calibri"/>
        <family val="2"/>
        <scheme val="minor"/>
      </rPr>
      <t>(INR)</t>
    </r>
  </si>
  <si>
    <t>Building Name</t>
  </si>
  <si>
    <t>Total</t>
  </si>
  <si>
    <r>
      <t xml:space="preserve">Area
</t>
    </r>
    <r>
      <rPr>
        <b/>
        <i/>
        <sz val="10"/>
        <color theme="0"/>
        <rFont val="Calibri"/>
        <family val="2"/>
        <scheme val="minor"/>
      </rPr>
      <t>(in sq.ft.)</t>
    </r>
  </si>
  <si>
    <r>
      <t xml:space="preserve">Height
</t>
    </r>
    <r>
      <rPr>
        <b/>
        <i/>
        <sz val="10"/>
        <color theme="0"/>
        <rFont val="Calibri"/>
        <family val="2"/>
        <scheme val="minor"/>
      </rPr>
      <t>(in ft.)</t>
    </r>
  </si>
  <si>
    <r>
      <t xml:space="preserve">Area
</t>
    </r>
    <r>
      <rPr>
        <b/>
        <i/>
        <sz val="10"/>
        <color theme="0"/>
        <rFont val="Calibri"/>
        <family val="2"/>
        <scheme val="minor"/>
      </rPr>
      <t>(in sq.mtr.)</t>
    </r>
  </si>
  <si>
    <t>Canteen</t>
  </si>
  <si>
    <t>Security Cabin</t>
  </si>
  <si>
    <t>Weigh Bridge</t>
  </si>
  <si>
    <t>ROAD</t>
  </si>
  <si>
    <t>INFRA</t>
  </si>
  <si>
    <t>Boundary</t>
  </si>
  <si>
    <t>PL242-xxx-304,307</t>
  </si>
  <si>
    <t>MKU, changes</t>
  </si>
  <si>
    <t>Tin Shed mounted on Brick Wall</t>
  </si>
  <si>
    <t>GI Shed mounted on Brick wall</t>
  </si>
  <si>
    <t>RCC framed structure</t>
  </si>
  <si>
    <t>Tin Shed mounted on iron pillars</t>
  </si>
  <si>
    <t>Lube Oil storage yard, Hazardous Material, Barrel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</si>
</sst>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72" formatCode="_ * #,##0.0_ ;_ * \-#,##0.0_ ;_ * &quot;-&quot;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0" applyFont="1"/>
    <xf numFmtId="164" fontId="0" fillId="0" borderId="0" xfId="1" applyNumberFormat="1" applyFont="1"/>
    <xf numFmtId="172" fontId="0" fillId="0" borderId="0" xfId="0" applyNumberFormat="1"/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8"/>
  <sheetViews>
    <sheetView tabSelected="1" topLeftCell="A10" workbookViewId="0">
      <selection activeCell="T16" sqref="T16"/>
    </sheetView>
  </sheetViews>
  <sheetFormatPr defaultRowHeight="15" x14ac:dyDescent="0.25"/>
  <cols>
    <col min="1" max="1" width="9.140625" style="2"/>
    <col min="2" max="2" width="6.140625" style="2" bestFit="1" customWidth="1"/>
    <col min="3" max="3" width="7.5703125" style="2" bestFit="1" customWidth="1"/>
    <col min="4" max="4" width="18" style="3" bestFit="1" customWidth="1"/>
    <col min="5" max="5" width="13" style="3" customWidth="1"/>
    <col min="6" max="6" width="9.42578125" style="1" bestFit="1" customWidth="1"/>
    <col min="7" max="7" width="9" style="1" hidden="1" customWidth="1"/>
    <col min="8" max="8" width="9.85546875" style="1" bestFit="1" customWidth="1"/>
    <col min="9" max="9" width="12.28515625" style="1" bestFit="1" customWidth="1"/>
    <col min="10" max="10" width="10.42578125" style="1" bestFit="1" customWidth="1"/>
    <col min="11" max="11" width="11" style="1" bestFit="1" customWidth="1"/>
    <col min="12" max="12" width="7.7109375" style="1" hidden="1" customWidth="1"/>
    <col min="13" max="13" width="12.7109375" style="1" hidden="1" customWidth="1"/>
    <col min="14" max="14" width="6.42578125" style="1" bestFit="1" customWidth="1"/>
    <col min="15" max="15" width="12.7109375" style="1" bestFit="1" customWidth="1"/>
    <col min="16" max="16" width="14.28515625" style="2" hidden="1" customWidth="1"/>
    <col min="17" max="17" width="13.140625" style="2" bestFit="1" customWidth="1"/>
    <col min="18" max="16384" width="9.140625" style="2"/>
  </cols>
  <sheetData>
    <row r="2" spans="2:17" ht="57.75" x14ac:dyDescent="0.25">
      <c r="B2" s="11" t="s">
        <v>0</v>
      </c>
      <c r="C2" s="11" t="s">
        <v>3</v>
      </c>
      <c r="D2" s="11" t="s">
        <v>31</v>
      </c>
      <c r="E2" s="11" t="s">
        <v>4</v>
      </c>
      <c r="F2" s="11" t="s">
        <v>35</v>
      </c>
      <c r="G2" s="4" t="s">
        <v>33</v>
      </c>
      <c r="H2" s="11" t="s">
        <v>34</v>
      </c>
      <c r="I2" s="11" t="s">
        <v>5</v>
      </c>
      <c r="J2" s="11" t="s">
        <v>9</v>
      </c>
      <c r="K2" s="11" t="s">
        <v>8</v>
      </c>
      <c r="L2" s="4" t="s">
        <v>6</v>
      </c>
      <c r="M2" s="4" t="s">
        <v>7</v>
      </c>
      <c r="N2" s="11" t="s">
        <v>30</v>
      </c>
      <c r="O2" s="11" t="s">
        <v>10</v>
      </c>
      <c r="P2" s="4" t="s">
        <v>12</v>
      </c>
      <c r="Q2" s="11" t="s">
        <v>11</v>
      </c>
    </row>
    <row r="3" spans="2:17" ht="45" x14ac:dyDescent="0.25">
      <c r="B3" s="5">
        <v>1</v>
      </c>
      <c r="C3" s="5" t="s">
        <v>14</v>
      </c>
      <c r="D3" s="9" t="s">
        <v>15</v>
      </c>
      <c r="E3" s="9" t="s">
        <v>45</v>
      </c>
      <c r="F3" s="10">
        <f>225*85</f>
        <v>19125</v>
      </c>
      <c r="G3" s="10">
        <f>F3*10.7639</f>
        <v>205859.58749999999</v>
      </c>
      <c r="H3" s="12">
        <v>45</v>
      </c>
      <c r="I3" s="5">
        <v>2008</v>
      </c>
      <c r="J3" s="5">
        <f>2023-I3</f>
        <v>15</v>
      </c>
      <c r="K3" s="5">
        <v>40</v>
      </c>
      <c r="L3" s="6">
        <v>0.1</v>
      </c>
      <c r="M3" s="7">
        <f>(1-L3)/K3</f>
        <v>2.2499999999999999E-2</v>
      </c>
      <c r="N3" s="10">
        <v>1900</v>
      </c>
      <c r="O3" s="10">
        <f t="shared" ref="O3:O21" si="0">N3*G3</f>
        <v>391133216.25</v>
      </c>
      <c r="P3" s="8">
        <f>O3*M3*IF(J3&gt;K3,K3,J3)</f>
        <v>132007460.484375</v>
      </c>
      <c r="Q3" s="14">
        <f>O3-P3</f>
        <v>259125755.765625</v>
      </c>
    </row>
    <row r="4" spans="2:17" ht="45" x14ac:dyDescent="0.25">
      <c r="B4" s="5">
        <v>2</v>
      </c>
      <c r="C4" s="5" t="s">
        <v>14</v>
      </c>
      <c r="D4" s="9" t="s">
        <v>16</v>
      </c>
      <c r="E4" s="9" t="s">
        <v>45</v>
      </c>
      <c r="F4" s="10">
        <f>213*50</f>
        <v>10650</v>
      </c>
      <c r="G4" s="10">
        <f t="shared" ref="G4:G21" si="1">F4*10.7639</f>
        <v>114635.53499999999</v>
      </c>
      <c r="H4" s="12">
        <v>60</v>
      </c>
      <c r="I4" s="5">
        <v>2008</v>
      </c>
      <c r="J4" s="5">
        <f t="shared" ref="J4:J21" si="2">2023-I4</f>
        <v>15</v>
      </c>
      <c r="K4" s="5">
        <v>40</v>
      </c>
      <c r="L4" s="6">
        <v>0.1</v>
      </c>
      <c r="M4" s="7">
        <f t="shared" ref="M4:M21" si="3">(1-L4)/K4</f>
        <v>2.2499999999999999E-2</v>
      </c>
      <c r="N4" s="10">
        <v>2000</v>
      </c>
      <c r="O4" s="10">
        <f t="shared" si="0"/>
        <v>229271069.99999997</v>
      </c>
      <c r="P4" s="8">
        <f t="shared" ref="P4:P21" si="4">O4*M4*IF(J4&gt;K4,K4,J4)</f>
        <v>77378986.124999985</v>
      </c>
      <c r="Q4" s="14">
        <f t="shared" ref="Q4:Q21" si="5">O4-P4</f>
        <v>151892083.875</v>
      </c>
    </row>
    <row r="5" spans="2:17" ht="30" x14ac:dyDescent="0.25">
      <c r="B5" s="5">
        <v>3</v>
      </c>
      <c r="C5" s="5" t="s">
        <v>13</v>
      </c>
      <c r="D5" s="9" t="s">
        <v>17</v>
      </c>
      <c r="E5" s="9" t="s">
        <v>46</v>
      </c>
      <c r="F5" s="10">
        <f>39*13*2</f>
        <v>1014</v>
      </c>
      <c r="G5" s="10">
        <f t="shared" si="1"/>
        <v>10914.5946</v>
      </c>
      <c r="H5" s="12" t="s">
        <v>1</v>
      </c>
      <c r="I5" s="5">
        <v>2008</v>
      </c>
      <c r="J5" s="5">
        <f t="shared" si="2"/>
        <v>15</v>
      </c>
      <c r="K5" s="5">
        <v>60</v>
      </c>
      <c r="L5" s="6">
        <v>0.1</v>
      </c>
      <c r="M5" s="7">
        <f t="shared" si="3"/>
        <v>1.5000000000000001E-2</v>
      </c>
      <c r="N5" s="10">
        <v>1500</v>
      </c>
      <c r="O5" s="10">
        <f t="shared" si="0"/>
        <v>16371891.9</v>
      </c>
      <c r="P5" s="8">
        <f t="shared" si="4"/>
        <v>3683675.6775000002</v>
      </c>
      <c r="Q5" s="14">
        <f t="shared" si="5"/>
        <v>12688216.2225</v>
      </c>
    </row>
    <row r="6" spans="2:17" ht="30" x14ac:dyDescent="0.25">
      <c r="B6" s="5">
        <v>4</v>
      </c>
      <c r="C6" s="5" t="s">
        <v>13</v>
      </c>
      <c r="D6" s="9" t="s">
        <v>18</v>
      </c>
      <c r="E6" s="9" t="s">
        <v>46</v>
      </c>
      <c r="F6" s="10">
        <f>25*9*2</f>
        <v>450</v>
      </c>
      <c r="G6" s="10">
        <f t="shared" si="1"/>
        <v>4843.7550000000001</v>
      </c>
      <c r="H6" s="12" t="s">
        <v>2</v>
      </c>
      <c r="I6" s="5">
        <v>2008</v>
      </c>
      <c r="J6" s="5">
        <f t="shared" si="2"/>
        <v>15</v>
      </c>
      <c r="K6" s="5">
        <v>60</v>
      </c>
      <c r="L6" s="6">
        <v>0.1</v>
      </c>
      <c r="M6" s="7">
        <f t="shared" si="3"/>
        <v>1.5000000000000001E-2</v>
      </c>
      <c r="N6" s="10">
        <v>1500</v>
      </c>
      <c r="O6" s="10">
        <f t="shared" si="0"/>
        <v>7265632.5</v>
      </c>
      <c r="P6" s="8">
        <f t="shared" si="4"/>
        <v>1634767.3125</v>
      </c>
      <c r="Q6" s="14">
        <f t="shared" si="5"/>
        <v>5630865.1875</v>
      </c>
    </row>
    <row r="7" spans="2:17" ht="75" x14ac:dyDescent="0.25">
      <c r="B7" s="5">
        <v>5</v>
      </c>
      <c r="C7" s="5" t="s">
        <v>13</v>
      </c>
      <c r="D7" s="9" t="s">
        <v>19</v>
      </c>
      <c r="E7" s="9" t="s">
        <v>46</v>
      </c>
      <c r="F7" s="10">
        <f>9*42*2</f>
        <v>756</v>
      </c>
      <c r="G7" s="10">
        <f t="shared" si="1"/>
        <v>8137.5083999999997</v>
      </c>
      <c r="H7" s="12" t="s">
        <v>2</v>
      </c>
      <c r="I7" s="5">
        <v>2008</v>
      </c>
      <c r="J7" s="5">
        <f t="shared" si="2"/>
        <v>15</v>
      </c>
      <c r="K7" s="5">
        <v>60</v>
      </c>
      <c r="L7" s="6">
        <v>0.1</v>
      </c>
      <c r="M7" s="7">
        <f t="shared" si="3"/>
        <v>1.5000000000000001E-2</v>
      </c>
      <c r="N7" s="10">
        <v>1500</v>
      </c>
      <c r="O7" s="10">
        <f t="shared" si="0"/>
        <v>12206262.6</v>
      </c>
      <c r="P7" s="8">
        <f t="shared" si="4"/>
        <v>2746409.085</v>
      </c>
      <c r="Q7" s="14">
        <f t="shared" si="5"/>
        <v>9459853.5150000006</v>
      </c>
    </row>
    <row r="8" spans="2:17" ht="30" x14ac:dyDescent="0.25">
      <c r="B8" s="5">
        <v>6</v>
      </c>
      <c r="C8" s="5" t="s">
        <v>14</v>
      </c>
      <c r="D8" s="9" t="s">
        <v>20</v>
      </c>
      <c r="E8" s="9" t="s">
        <v>46</v>
      </c>
      <c r="F8" s="10">
        <f>9*28</f>
        <v>252</v>
      </c>
      <c r="G8" s="10">
        <f t="shared" si="1"/>
        <v>2712.5027999999998</v>
      </c>
      <c r="H8" s="12">
        <v>10</v>
      </c>
      <c r="I8" s="5">
        <v>2008</v>
      </c>
      <c r="J8" s="5">
        <f t="shared" si="2"/>
        <v>15</v>
      </c>
      <c r="K8" s="5">
        <v>60</v>
      </c>
      <c r="L8" s="6">
        <v>0.1</v>
      </c>
      <c r="M8" s="7">
        <f t="shared" si="3"/>
        <v>1.5000000000000001E-2</v>
      </c>
      <c r="N8" s="10">
        <v>1500</v>
      </c>
      <c r="O8" s="10">
        <f t="shared" si="0"/>
        <v>4068754.1999999997</v>
      </c>
      <c r="P8" s="8">
        <f t="shared" si="4"/>
        <v>915469.69500000007</v>
      </c>
      <c r="Q8" s="14">
        <f t="shared" si="5"/>
        <v>3153284.5049999999</v>
      </c>
    </row>
    <row r="9" spans="2:17" ht="45" x14ac:dyDescent="0.25">
      <c r="B9" s="5">
        <v>7</v>
      </c>
      <c r="C9" s="5" t="s">
        <v>14</v>
      </c>
      <c r="D9" s="9" t="s">
        <v>21</v>
      </c>
      <c r="E9" s="9" t="s">
        <v>46</v>
      </c>
      <c r="F9" s="10">
        <f>6*100</f>
        <v>600</v>
      </c>
      <c r="G9" s="10">
        <f t="shared" si="1"/>
        <v>6458.34</v>
      </c>
      <c r="H9" s="12">
        <v>10</v>
      </c>
      <c r="I9" s="5">
        <v>2008</v>
      </c>
      <c r="J9" s="5">
        <f t="shared" si="2"/>
        <v>15</v>
      </c>
      <c r="K9" s="5">
        <v>60</v>
      </c>
      <c r="L9" s="6">
        <v>0.1</v>
      </c>
      <c r="M9" s="7">
        <f t="shared" si="3"/>
        <v>1.5000000000000001E-2</v>
      </c>
      <c r="N9" s="10">
        <v>1300</v>
      </c>
      <c r="O9" s="10">
        <f t="shared" si="0"/>
        <v>8395842</v>
      </c>
      <c r="P9" s="8">
        <f t="shared" si="4"/>
        <v>1889064.4500000002</v>
      </c>
      <c r="Q9" s="14">
        <f t="shared" si="5"/>
        <v>6506777.5499999998</v>
      </c>
    </row>
    <row r="10" spans="2:17" ht="30" x14ac:dyDescent="0.25">
      <c r="B10" s="5">
        <v>8</v>
      </c>
      <c r="C10" s="5" t="s">
        <v>14</v>
      </c>
      <c r="D10" s="9" t="s">
        <v>22</v>
      </c>
      <c r="E10" s="9" t="s">
        <v>46</v>
      </c>
      <c r="F10" s="10">
        <f>9*38</f>
        <v>342</v>
      </c>
      <c r="G10" s="10">
        <f t="shared" si="1"/>
        <v>3681.2538</v>
      </c>
      <c r="H10" s="12">
        <v>10</v>
      </c>
      <c r="I10" s="5">
        <v>2008</v>
      </c>
      <c r="J10" s="5">
        <f t="shared" si="2"/>
        <v>15</v>
      </c>
      <c r="K10" s="5">
        <v>60</v>
      </c>
      <c r="L10" s="6">
        <v>0.1</v>
      </c>
      <c r="M10" s="7">
        <f t="shared" si="3"/>
        <v>1.5000000000000001E-2</v>
      </c>
      <c r="N10" s="10">
        <v>1500</v>
      </c>
      <c r="O10" s="10">
        <f t="shared" si="0"/>
        <v>5521880.7000000002</v>
      </c>
      <c r="P10" s="8">
        <f t="shared" si="4"/>
        <v>1242423.1575000002</v>
      </c>
      <c r="Q10" s="14">
        <f t="shared" si="5"/>
        <v>4279457.5425000004</v>
      </c>
    </row>
    <row r="11" spans="2:17" ht="30" x14ac:dyDescent="0.25">
      <c r="B11" s="5">
        <v>9</v>
      </c>
      <c r="C11" s="5" t="s">
        <v>13</v>
      </c>
      <c r="D11" s="9" t="s">
        <v>23</v>
      </c>
      <c r="E11" s="9" t="s">
        <v>46</v>
      </c>
      <c r="F11" s="10">
        <f>1180*2</f>
        <v>2360</v>
      </c>
      <c r="G11" s="10">
        <f t="shared" si="1"/>
        <v>25402.804</v>
      </c>
      <c r="H11" s="12" t="s">
        <v>1</v>
      </c>
      <c r="I11" s="5">
        <v>2008</v>
      </c>
      <c r="J11" s="5">
        <f t="shared" si="2"/>
        <v>15</v>
      </c>
      <c r="K11" s="5">
        <v>60</v>
      </c>
      <c r="L11" s="6">
        <v>0.1</v>
      </c>
      <c r="M11" s="7">
        <f t="shared" si="3"/>
        <v>1.5000000000000001E-2</v>
      </c>
      <c r="N11" s="10">
        <v>1100</v>
      </c>
      <c r="O11" s="10">
        <f t="shared" si="0"/>
        <v>27943084.399999999</v>
      </c>
      <c r="P11" s="8">
        <f t="shared" si="4"/>
        <v>6287193.9900000002</v>
      </c>
      <c r="Q11" s="14">
        <f t="shared" si="5"/>
        <v>21655890.409999996</v>
      </c>
    </row>
    <row r="12" spans="2:17" ht="30" x14ac:dyDescent="0.25">
      <c r="B12" s="5">
        <v>10</v>
      </c>
      <c r="C12" s="5" t="s">
        <v>13</v>
      </c>
      <c r="D12" s="9" t="s">
        <v>36</v>
      </c>
      <c r="E12" s="9" t="s">
        <v>46</v>
      </c>
      <c r="F12" s="10">
        <f>690+360</f>
        <v>1050</v>
      </c>
      <c r="G12" s="10">
        <f t="shared" ref="G12:G13" si="6">F12*10.7639</f>
        <v>11302.094999999999</v>
      </c>
      <c r="H12" s="12" t="s">
        <v>1</v>
      </c>
      <c r="I12" s="5">
        <v>2008</v>
      </c>
      <c r="J12" s="5">
        <f t="shared" ref="J12:J13" si="7">2023-I12</f>
        <v>15</v>
      </c>
      <c r="K12" s="5">
        <v>60</v>
      </c>
      <c r="L12" s="6">
        <v>0.1</v>
      </c>
      <c r="M12" s="7">
        <f t="shared" ref="M12:M13" si="8">(1-L12)/K12</f>
        <v>1.5000000000000001E-2</v>
      </c>
      <c r="N12" s="10">
        <v>1400</v>
      </c>
      <c r="O12" s="10">
        <f t="shared" ref="O12:O13" si="9">N12*G12</f>
        <v>15822933</v>
      </c>
      <c r="P12" s="8">
        <f t="shared" ref="P12:P13" si="10">O12*M12*IF(J12&gt;K12,K12,J12)</f>
        <v>3560159.9250000003</v>
      </c>
      <c r="Q12" s="14">
        <f t="shared" ref="Q12:Q13" si="11">O12-P12</f>
        <v>12262773.074999999</v>
      </c>
    </row>
    <row r="13" spans="2:17" ht="60" x14ac:dyDescent="0.25">
      <c r="B13" s="5">
        <v>11</v>
      </c>
      <c r="C13" s="5" t="s">
        <v>14</v>
      </c>
      <c r="D13" s="19" t="s">
        <v>48</v>
      </c>
      <c r="E13" s="9" t="s">
        <v>44</v>
      </c>
      <c r="F13" s="10">
        <v>600</v>
      </c>
      <c r="G13" s="10">
        <f t="shared" si="6"/>
        <v>6458.34</v>
      </c>
      <c r="H13" s="12">
        <v>21</v>
      </c>
      <c r="I13" s="5">
        <v>2008</v>
      </c>
      <c r="J13" s="5">
        <f t="shared" si="7"/>
        <v>15</v>
      </c>
      <c r="K13" s="5">
        <v>60</v>
      </c>
      <c r="L13" s="6">
        <v>0.1</v>
      </c>
      <c r="M13" s="7">
        <f t="shared" si="8"/>
        <v>1.5000000000000001E-2</v>
      </c>
      <c r="N13" s="10">
        <v>1000</v>
      </c>
      <c r="O13" s="10">
        <f t="shared" si="9"/>
        <v>6458340</v>
      </c>
      <c r="P13" s="8">
        <f t="shared" si="10"/>
        <v>1453126.5</v>
      </c>
      <c r="Q13" s="14">
        <f t="shared" si="11"/>
        <v>5005213.5</v>
      </c>
    </row>
    <row r="14" spans="2:17" ht="30" x14ac:dyDescent="0.25">
      <c r="B14" s="5">
        <v>12</v>
      </c>
      <c r="C14" s="5" t="s">
        <v>14</v>
      </c>
      <c r="D14" s="9" t="s">
        <v>24</v>
      </c>
      <c r="E14" s="9" t="s">
        <v>46</v>
      </c>
      <c r="F14" s="10">
        <f>80.35*18.07</f>
        <v>1451.9244999999999</v>
      </c>
      <c r="G14" s="10">
        <f t="shared" si="1"/>
        <v>15628.370125549998</v>
      </c>
      <c r="H14" s="12">
        <v>10</v>
      </c>
      <c r="I14" s="5">
        <v>2008</v>
      </c>
      <c r="J14" s="5">
        <f t="shared" si="2"/>
        <v>15</v>
      </c>
      <c r="K14" s="5">
        <v>60</v>
      </c>
      <c r="L14" s="6">
        <v>0.1</v>
      </c>
      <c r="M14" s="7">
        <f t="shared" si="3"/>
        <v>1.5000000000000001E-2</v>
      </c>
      <c r="N14" s="10">
        <v>1400</v>
      </c>
      <c r="O14" s="10">
        <f t="shared" si="0"/>
        <v>21879718.175769996</v>
      </c>
      <c r="P14" s="8">
        <f t="shared" si="4"/>
        <v>4922936.5895482497</v>
      </c>
      <c r="Q14" s="14">
        <f t="shared" si="5"/>
        <v>16956781.586221747</v>
      </c>
    </row>
    <row r="15" spans="2:17" ht="45" x14ac:dyDescent="0.25">
      <c r="B15" s="5">
        <v>13</v>
      </c>
      <c r="C15" s="5" t="s">
        <v>14</v>
      </c>
      <c r="D15" s="9" t="s">
        <v>25</v>
      </c>
      <c r="E15" s="9" t="s">
        <v>47</v>
      </c>
      <c r="F15" s="10">
        <f>13*13</f>
        <v>169</v>
      </c>
      <c r="G15" s="10">
        <f t="shared" si="1"/>
        <v>1819.0990999999999</v>
      </c>
      <c r="H15" s="12">
        <v>20</v>
      </c>
      <c r="I15" s="5">
        <v>2008</v>
      </c>
      <c r="J15" s="5">
        <f t="shared" si="2"/>
        <v>15</v>
      </c>
      <c r="K15" s="5">
        <v>40</v>
      </c>
      <c r="L15" s="6">
        <v>0.1</v>
      </c>
      <c r="M15" s="7">
        <f t="shared" si="3"/>
        <v>2.2499999999999999E-2</v>
      </c>
      <c r="N15" s="10">
        <v>800</v>
      </c>
      <c r="O15" s="10">
        <f t="shared" si="0"/>
        <v>1455279.28</v>
      </c>
      <c r="P15" s="8">
        <f t="shared" si="4"/>
        <v>491156.75700000004</v>
      </c>
      <c r="Q15" s="14">
        <f t="shared" si="5"/>
        <v>964122.52300000004</v>
      </c>
    </row>
    <row r="16" spans="2:17" ht="30" x14ac:dyDescent="0.25">
      <c r="B16" s="5">
        <v>14</v>
      </c>
      <c r="C16" s="5" t="s">
        <v>14</v>
      </c>
      <c r="D16" s="9" t="s">
        <v>26</v>
      </c>
      <c r="E16" s="9" t="s">
        <v>46</v>
      </c>
      <c r="F16" s="10">
        <f>15*25</f>
        <v>375</v>
      </c>
      <c r="G16" s="10">
        <f t="shared" si="1"/>
        <v>4036.4624999999996</v>
      </c>
      <c r="H16" s="12">
        <v>10</v>
      </c>
      <c r="I16" s="5">
        <v>2008</v>
      </c>
      <c r="J16" s="5">
        <f t="shared" si="2"/>
        <v>15</v>
      </c>
      <c r="K16" s="5">
        <v>60</v>
      </c>
      <c r="L16" s="6">
        <v>0.1</v>
      </c>
      <c r="M16" s="7">
        <f t="shared" si="3"/>
        <v>1.5000000000000001E-2</v>
      </c>
      <c r="N16" s="10">
        <v>1200</v>
      </c>
      <c r="O16" s="10">
        <f t="shared" si="0"/>
        <v>4843755</v>
      </c>
      <c r="P16" s="8">
        <f t="shared" si="4"/>
        <v>1089844.8750000002</v>
      </c>
      <c r="Q16" s="14">
        <f t="shared" si="5"/>
        <v>3753910.125</v>
      </c>
    </row>
    <row r="17" spans="2:17" ht="30" x14ac:dyDescent="0.25">
      <c r="B17" s="5">
        <v>15</v>
      </c>
      <c r="C17" s="5" t="s">
        <v>14</v>
      </c>
      <c r="D17" s="9" t="s">
        <v>27</v>
      </c>
      <c r="E17" s="9" t="s">
        <v>46</v>
      </c>
      <c r="F17" s="10">
        <f>15*25</f>
        <v>375</v>
      </c>
      <c r="G17" s="10">
        <f t="shared" si="1"/>
        <v>4036.4624999999996</v>
      </c>
      <c r="H17" s="12">
        <v>12</v>
      </c>
      <c r="I17" s="5">
        <v>2008</v>
      </c>
      <c r="J17" s="5">
        <f t="shared" si="2"/>
        <v>15</v>
      </c>
      <c r="K17" s="5">
        <v>60</v>
      </c>
      <c r="L17" s="6">
        <v>0.1</v>
      </c>
      <c r="M17" s="7">
        <f t="shared" si="3"/>
        <v>1.5000000000000001E-2</v>
      </c>
      <c r="N17" s="10">
        <v>1500</v>
      </c>
      <c r="O17" s="10">
        <f t="shared" si="0"/>
        <v>6054693.7499999991</v>
      </c>
      <c r="P17" s="8">
        <f t="shared" si="4"/>
        <v>1362306.09375</v>
      </c>
      <c r="Q17" s="14">
        <f t="shared" si="5"/>
        <v>4692387.6562499991</v>
      </c>
    </row>
    <row r="18" spans="2:17" ht="30" x14ac:dyDescent="0.25">
      <c r="B18" s="5">
        <v>16</v>
      </c>
      <c r="C18" s="5" t="s">
        <v>14</v>
      </c>
      <c r="D18" s="9" t="s">
        <v>28</v>
      </c>
      <c r="E18" s="9" t="s">
        <v>46</v>
      </c>
      <c r="F18" s="10">
        <f>20*20</f>
        <v>400</v>
      </c>
      <c r="G18" s="10">
        <f t="shared" si="1"/>
        <v>4305.5599999999995</v>
      </c>
      <c r="H18" s="12">
        <v>12</v>
      </c>
      <c r="I18" s="5">
        <v>2008</v>
      </c>
      <c r="J18" s="5">
        <f t="shared" si="2"/>
        <v>15</v>
      </c>
      <c r="K18" s="5">
        <v>60</v>
      </c>
      <c r="L18" s="6">
        <v>0.1</v>
      </c>
      <c r="M18" s="7">
        <f t="shared" si="3"/>
        <v>1.5000000000000001E-2</v>
      </c>
      <c r="N18" s="10">
        <v>1400</v>
      </c>
      <c r="O18" s="10">
        <f t="shared" si="0"/>
        <v>6027783.9999999991</v>
      </c>
      <c r="P18" s="8">
        <f t="shared" si="4"/>
        <v>1356251.4</v>
      </c>
      <c r="Q18" s="14">
        <f t="shared" si="5"/>
        <v>4671532.5999999996</v>
      </c>
    </row>
    <row r="19" spans="2:17" ht="30" x14ac:dyDescent="0.25">
      <c r="B19" s="5">
        <v>17</v>
      </c>
      <c r="C19" s="5" t="s">
        <v>14</v>
      </c>
      <c r="D19" s="9" t="s">
        <v>38</v>
      </c>
      <c r="E19" s="9" t="s">
        <v>46</v>
      </c>
      <c r="F19" s="10">
        <v>25</v>
      </c>
      <c r="G19" s="10">
        <f t="shared" si="1"/>
        <v>269.09749999999997</v>
      </c>
      <c r="H19" s="12">
        <v>10</v>
      </c>
      <c r="I19" s="5">
        <v>2008</v>
      </c>
      <c r="J19" s="5">
        <f t="shared" ref="J19" si="12">2023-I19</f>
        <v>15</v>
      </c>
      <c r="K19" s="5">
        <v>60</v>
      </c>
      <c r="L19" s="6">
        <v>0.1</v>
      </c>
      <c r="M19" s="7">
        <f t="shared" ref="M19" si="13">(1-L19)/K19</f>
        <v>1.5000000000000001E-2</v>
      </c>
      <c r="N19" s="10">
        <v>1200</v>
      </c>
      <c r="O19" s="10">
        <f t="shared" ref="O19" si="14">N19*G19</f>
        <v>322916.99999999994</v>
      </c>
      <c r="P19" s="8">
        <f t="shared" ref="P19" si="15">O19*M19*IF(J19&gt;K19,K19,J19)</f>
        <v>72656.324999999983</v>
      </c>
      <c r="Q19" s="14">
        <f t="shared" ref="Q19" si="16">O19-P19</f>
        <v>250260.67499999996</v>
      </c>
    </row>
    <row r="20" spans="2:17" ht="30" x14ac:dyDescent="0.25">
      <c r="B20" s="5">
        <v>18</v>
      </c>
      <c r="C20" s="5" t="s">
        <v>14</v>
      </c>
      <c r="D20" s="9" t="s">
        <v>37</v>
      </c>
      <c r="E20" s="9" t="s">
        <v>46</v>
      </c>
      <c r="F20" s="10">
        <v>23</v>
      </c>
      <c r="G20" s="10">
        <f t="shared" ref="G20" si="17">F20*10.7639</f>
        <v>247.56969999999998</v>
      </c>
      <c r="H20" s="12">
        <v>12</v>
      </c>
      <c r="I20" s="5">
        <v>2008</v>
      </c>
      <c r="J20" s="5">
        <f t="shared" ref="J20" si="18">2023-I20</f>
        <v>15</v>
      </c>
      <c r="K20" s="5">
        <v>60</v>
      </c>
      <c r="L20" s="6">
        <v>0.1</v>
      </c>
      <c r="M20" s="7">
        <f t="shared" ref="M20" si="19">(1-L20)/K20</f>
        <v>1.5000000000000001E-2</v>
      </c>
      <c r="N20" s="10">
        <v>1200</v>
      </c>
      <c r="O20" s="10">
        <f t="shared" ref="O20" si="20">N20*G20</f>
        <v>297083.63999999996</v>
      </c>
      <c r="P20" s="8">
        <f t="shared" ref="P20" si="21">O20*M20*IF(J20&gt;K20,K20,J20)</f>
        <v>66843.818999999989</v>
      </c>
      <c r="Q20" s="14">
        <f t="shared" ref="Q20" si="22">O20-P20</f>
        <v>230239.82099999997</v>
      </c>
    </row>
    <row r="21" spans="2:17" ht="45" x14ac:dyDescent="0.25">
      <c r="B21" s="5">
        <v>19</v>
      </c>
      <c r="C21" s="5" t="s">
        <v>14</v>
      </c>
      <c r="D21" s="9" t="s">
        <v>29</v>
      </c>
      <c r="E21" s="9" t="s">
        <v>45</v>
      </c>
      <c r="F21" s="10">
        <f>20*13</f>
        <v>260</v>
      </c>
      <c r="G21" s="10">
        <f t="shared" si="1"/>
        <v>2798.614</v>
      </c>
      <c r="H21" s="12">
        <v>20</v>
      </c>
      <c r="I21" s="5">
        <v>2008</v>
      </c>
      <c r="J21" s="5">
        <f t="shared" si="2"/>
        <v>15</v>
      </c>
      <c r="K21" s="5">
        <v>40</v>
      </c>
      <c r="L21" s="6">
        <v>0.1</v>
      </c>
      <c r="M21" s="7">
        <f t="shared" si="3"/>
        <v>2.2499999999999999E-2</v>
      </c>
      <c r="N21" s="10">
        <v>1200</v>
      </c>
      <c r="O21" s="10">
        <f t="shared" si="0"/>
        <v>3358336.8</v>
      </c>
      <c r="P21" s="8">
        <f t="shared" si="4"/>
        <v>1133438.67</v>
      </c>
      <c r="Q21" s="14">
        <f t="shared" si="5"/>
        <v>2224898.13</v>
      </c>
    </row>
    <row r="22" spans="2:17" x14ac:dyDescent="0.25">
      <c r="B22" s="20" t="s">
        <v>32</v>
      </c>
      <c r="C22" s="20"/>
      <c r="D22" s="20"/>
      <c r="E22" s="20"/>
      <c r="F22" s="13">
        <f>SUM(F3:F21)</f>
        <v>40277.924500000001</v>
      </c>
      <c r="G22" s="21">
        <f>SUM(G3:G21)</f>
        <v>433547.55152555008</v>
      </c>
      <c r="H22" s="21"/>
      <c r="I22" s="21"/>
      <c r="J22" s="21"/>
      <c r="K22" s="21"/>
      <c r="L22" s="21"/>
      <c r="M22" s="21"/>
      <c r="N22" s="21"/>
      <c r="O22" s="13">
        <f>SUM(O3:O21)</f>
        <v>768698475.19577003</v>
      </c>
      <c r="P22" s="13"/>
      <c r="Q22" s="13">
        <f>SUM(Q3:Q21)</f>
        <v>525404304.26459676</v>
      </c>
    </row>
    <row r="23" spans="2:17" x14ac:dyDescent="0.25">
      <c r="F23" s="2"/>
      <c r="Q23" s="1">
        <v>20000000</v>
      </c>
    </row>
    <row r="24" spans="2:17" x14ac:dyDescent="0.25">
      <c r="F24" s="2"/>
      <c r="Q24" s="22">
        <f>SUM(Q22:Q23)</f>
        <v>545404304.2645967</v>
      </c>
    </row>
    <row r="25" spans="2:17" x14ac:dyDescent="0.25">
      <c r="F25" s="2"/>
      <c r="Q25" s="1">
        <v>545400000</v>
      </c>
    </row>
    <row r="26" spans="2:17" x14ac:dyDescent="0.25">
      <c r="F26" s="15">
        <f>SUM(F22:F25)</f>
        <v>40277.924500000001</v>
      </c>
      <c r="Q26" s="1">
        <f>Q25*0.85</f>
        <v>463590000</v>
      </c>
    </row>
    <row r="27" spans="2:17" x14ac:dyDescent="0.25">
      <c r="F27" s="2"/>
      <c r="Q27" s="1">
        <f>Q25*0.75</f>
        <v>409050000</v>
      </c>
    </row>
    <row r="28" spans="2:17" x14ac:dyDescent="0.25">
      <c r="F28" s="1">
        <v>40898.11</v>
      </c>
    </row>
    <row r="29" spans="2:17" x14ac:dyDescent="0.25">
      <c r="O29" s="1">
        <f>O22*0.7</f>
        <v>538088932.63703895</v>
      </c>
    </row>
    <row r="30" spans="2:17" x14ac:dyDescent="0.25">
      <c r="F30" s="1">
        <v>700</v>
      </c>
    </row>
    <row r="31" spans="2:17" x14ac:dyDescent="0.25">
      <c r="F31" s="1">
        <v>20.25</v>
      </c>
    </row>
    <row r="32" spans="2:17" x14ac:dyDescent="0.25">
      <c r="F32" s="1">
        <v>13.34</v>
      </c>
    </row>
    <row r="33" spans="6:6" x14ac:dyDescent="0.25">
      <c r="F33" s="1">
        <v>18</v>
      </c>
    </row>
    <row r="34" spans="6:6" x14ac:dyDescent="0.25">
      <c r="F34" s="1">
        <f>SUM(F30:F33)</f>
        <v>751.59</v>
      </c>
    </row>
    <row r="36" spans="6:6" x14ac:dyDescent="0.25">
      <c r="F36" s="1">
        <f>F28-F34</f>
        <v>40146.520000000004</v>
      </c>
    </row>
    <row r="38" spans="6:6" x14ac:dyDescent="0.25">
      <c r="F38" s="1">
        <f>F36-F26</f>
        <v>-131.40449999999691</v>
      </c>
    </row>
  </sheetData>
  <mergeCells count="1">
    <mergeCell ref="B22:E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37"/>
  <sheetViews>
    <sheetView topLeftCell="A10" workbookViewId="0">
      <selection activeCell="N26" sqref="N26"/>
    </sheetView>
  </sheetViews>
  <sheetFormatPr defaultRowHeight="15" x14ac:dyDescent="0.25"/>
  <cols>
    <col min="6" max="6" width="14.28515625" bestFit="1" customWidth="1"/>
    <col min="7" max="7" width="15.28515625" bestFit="1" customWidth="1"/>
    <col min="8" max="8" width="12.5703125" bestFit="1" customWidth="1"/>
    <col min="9" max="9" width="13.28515625" bestFit="1" customWidth="1"/>
    <col min="10" max="10" width="12.5703125" customWidth="1"/>
    <col min="12" max="13" width="12.5703125" bestFit="1" customWidth="1"/>
    <col min="14" max="14" width="10" bestFit="1" customWidth="1"/>
  </cols>
  <sheetData>
    <row r="2" spans="4:4" x14ac:dyDescent="0.25">
      <c r="D2">
        <v>38.86</v>
      </c>
    </row>
    <row r="3" spans="4:4" x14ac:dyDescent="0.25">
      <c r="D3">
        <v>1.1200000000000001</v>
      </c>
    </row>
    <row r="4" spans="4:4" x14ac:dyDescent="0.25">
      <c r="D4">
        <v>0.69</v>
      </c>
    </row>
    <row r="5" spans="4:4" x14ac:dyDescent="0.25">
      <c r="D5">
        <v>1</v>
      </c>
    </row>
    <row r="6" spans="4:4" x14ac:dyDescent="0.25">
      <c r="D6" s="16">
        <f>SUM(D2:D5)</f>
        <v>41.669999999999995</v>
      </c>
    </row>
    <row r="8" spans="4:4" x14ac:dyDescent="0.25">
      <c r="D8">
        <v>3.97</v>
      </c>
    </row>
    <row r="9" spans="4:4" x14ac:dyDescent="0.25">
      <c r="D9">
        <v>0.62</v>
      </c>
    </row>
    <row r="10" spans="4:4" x14ac:dyDescent="0.25">
      <c r="D10">
        <v>0.48</v>
      </c>
    </row>
    <row r="11" spans="4:4" x14ac:dyDescent="0.25">
      <c r="D11">
        <v>0.28000000000000003</v>
      </c>
    </row>
    <row r="12" spans="4:4" x14ac:dyDescent="0.25">
      <c r="D12">
        <v>8.5299999999999994</v>
      </c>
    </row>
    <row r="13" spans="4:4" x14ac:dyDescent="0.25">
      <c r="D13">
        <v>0.35</v>
      </c>
    </row>
    <row r="14" spans="4:4" x14ac:dyDescent="0.25">
      <c r="D14">
        <v>0.23</v>
      </c>
    </row>
    <row r="15" spans="4:4" x14ac:dyDescent="0.25">
      <c r="D15">
        <v>49.56</v>
      </c>
    </row>
    <row r="16" spans="4:4" x14ac:dyDescent="0.25">
      <c r="D16">
        <v>8.39</v>
      </c>
    </row>
    <row r="17" spans="4:14" x14ac:dyDescent="0.25">
      <c r="D17">
        <v>53.88</v>
      </c>
    </row>
    <row r="18" spans="4:14" x14ac:dyDescent="0.25">
      <c r="D18">
        <v>2.11</v>
      </c>
    </row>
    <row r="19" spans="4:14" x14ac:dyDescent="0.25">
      <c r="D19">
        <v>21.41</v>
      </c>
    </row>
    <row r="20" spans="4:14" x14ac:dyDescent="0.25">
      <c r="D20">
        <v>0.42</v>
      </c>
    </row>
    <row r="21" spans="4:14" x14ac:dyDescent="0.25">
      <c r="D21">
        <v>12.32</v>
      </c>
    </row>
    <row r="22" spans="4:14" x14ac:dyDescent="0.25">
      <c r="D22">
        <v>8.16</v>
      </c>
    </row>
    <row r="23" spans="4:14" x14ac:dyDescent="0.25">
      <c r="D23">
        <v>4.82</v>
      </c>
    </row>
    <row r="24" spans="4:14" x14ac:dyDescent="0.25">
      <c r="D24">
        <v>22.02</v>
      </c>
    </row>
    <row r="25" spans="4:14" x14ac:dyDescent="0.25">
      <c r="D25" s="16">
        <f>SUM(D8:D24)</f>
        <v>197.54999999999998</v>
      </c>
    </row>
    <row r="26" spans="4:14" x14ac:dyDescent="0.25">
      <c r="F26" t="s">
        <v>39</v>
      </c>
      <c r="G26" t="s">
        <v>40</v>
      </c>
      <c r="H26" t="s">
        <v>41</v>
      </c>
      <c r="N26" t="s">
        <v>43</v>
      </c>
    </row>
    <row r="27" spans="4:14" x14ac:dyDescent="0.25">
      <c r="D27">
        <v>21.76</v>
      </c>
      <c r="F27">
        <v>772</v>
      </c>
      <c r="G27" s="17">
        <f>10000000</f>
        <v>10000000</v>
      </c>
      <c r="H27">
        <f>1.7*1000</f>
        <v>1700</v>
      </c>
      <c r="I27" s="18">
        <f>H28+G27+F36</f>
        <v>19730000</v>
      </c>
      <c r="K27">
        <v>39700000</v>
      </c>
      <c r="N27" t="s">
        <v>42</v>
      </c>
    </row>
    <row r="28" spans="4:14" x14ac:dyDescent="0.25">
      <c r="D28">
        <v>15.32</v>
      </c>
      <c r="F28">
        <v>474</v>
      </c>
      <c r="H28" s="17">
        <f>H27*4000*0.8</f>
        <v>5440000</v>
      </c>
      <c r="I28" s="17"/>
      <c r="J28" s="17"/>
      <c r="K28">
        <v>2776.88</v>
      </c>
    </row>
    <row r="29" spans="4:14" x14ac:dyDescent="0.25">
      <c r="D29">
        <v>34.020000000000003</v>
      </c>
      <c r="F29">
        <v>240</v>
      </c>
      <c r="K29">
        <f>K27/K28</f>
        <v>14296.620667799833</v>
      </c>
    </row>
    <row r="30" spans="4:14" x14ac:dyDescent="0.25">
      <c r="D30">
        <v>2.23</v>
      </c>
      <c r="F30">
        <f>SUM(F27:F29)</f>
        <v>1486</v>
      </c>
      <c r="K30">
        <f>K29/10.7639</f>
        <v>1328.2008071237965</v>
      </c>
    </row>
    <row r="31" spans="4:14" x14ac:dyDescent="0.25">
      <c r="D31">
        <v>4.21</v>
      </c>
      <c r="F31">
        <v>1500</v>
      </c>
    </row>
    <row r="32" spans="4:14" x14ac:dyDescent="0.25">
      <c r="D32">
        <v>1.64</v>
      </c>
      <c r="F32">
        <v>13</v>
      </c>
    </row>
    <row r="33" spans="4:6" x14ac:dyDescent="0.25">
      <c r="D33">
        <v>9.31</v>
      </c>
      <c r="F33">
        <f>F31*F32</f>
        <v>19500</v>
      </c>
    </row>
    <row r="34" spans="4:6" x14ac:dyDescent="0.25">
      <c r="D34" s="16">
        <f>SUM(D27:D33)</f>
        <v>88.49</v>
      </c>
      <c r="F34">
        <v>2200</v>
      </c>
    </row>
    <row r="35" spans="4:6" x14ac:dyDescent="0.25">
      <c r="F35" s="17">
        <f>F33*F34</f>
        <v>42900000</v>
      </c>
    </row>
    <row r="36" spans="4:6" x14ac:dyDescent="0.25">
      <c r="D36" s="16">
        <f>D34+D25+D6</f>
        <v>327.71</v>
      </c>
      <c r="F36" s="18">
        <f>F35*0.1</f>
        <v>4290000</v>
      </c>
    </row>
    <row r="37" spans="4:6" x14ac:dyDescent="0.25">
      <c r="D37">
        <f>D36/100</f>
        <v>3.2770999999999999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2023-10-27T13:07:48Z</dcterms:modified>
</cp:coreProperties>
</file>