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bhinav Chaturvedi's Assignments\In-Progress\Draft Shared\VIS(2023-24)-PL431-356-561_Coastel Energen\Report\"/>
    </mc:Choice>
  </mc:AlternateContent>
  <bookViews>
    <workbookView xWindow="0" yWindow="0" windowWidth="24000" windowHeight="9735" activeTab="1"/>
  </bookViews>
  <sheets>
    <sheet name="Sheet2" sheetId="3" r:id="rId1"/>
    <sheet name="Building Sheet" sheetId="1" r:id="rId2"/>
    <sheet name="Summary" sheetId="2" r:id="rId3"/>
    <sheet name="Sheet3" sheetId="4" r:id="rId4"/>
    <sheet name="Sheet1" sheetId="5" r:id="rId5"/>
  </sheets>
  <externalReferences>
    <externalReference r:id="rId6"/>
  </externalReferences>
  <definedNames>
    <definedName name="_xlnm._FilterDatabase" localSheetId="1" hidden="1">'Building Sheet'!$A$2:$R$116</definedName>
    <definedName name="_xlnm.Print_Area" localSheetId="1">'Building Sheet'!$A$2:$L$114</definedName>
    <definedName name="_xlnm.Print_Titles" localSheetId="1">'Building Sheet'!$2:$2</definedName>
  </definedNames>
  <calcPr calcId="152511"/>
  <pivotCaches>
    <pivotCache cacheId="0" r:id="rId7"/>
  </pivotCaches>
</workbook>
</file>

<file path=xl/calcChain.xml><?xml version="1.0" encoding="utf-8"?>
<calcChain xmlns="http://schemas.openxmlformats.org/spreadsheetml/2006/main">
  <c r="R104" i="1" l="1"/>
  <c r="P104" i="1"/>
  <c r="F16" i="2" l="1"/>
  <c r="F14" i="2"/>
  <c r="F9" i="2" l="1"/>
  <c r="L2" i="2" l="1"/>
  <c r="M2" i="2" s="1"/>
  <c r="G27" i="2" l="1"/>
  <c r="F17" i="2" l="1"/>
  <c r="F18" i="2" s="1"/>
  <c r="F23" i="2" l="1"/>
  <c r="G23" i="2" s="1"/>
  <c r="G17" i="2"/>
  <c r="F22" i="2" l="1"/>
  <c r="G22" i="2" s="1"/>
  <c r="G16" i="2"/>
  <c r="F20" i="2"/>
  <c r="G20" i="2" s="1"/>
  <c r="G14" i="2"/>
  <c r="F15" i="2"/>
  <c r="F21" i="2" l="1"/>
  <c r="G21" i="2" s="1"/>
  <c r="G15" i="2"/>
  <c r="K11" i="2"/>
  <c r="K13" i="2" s="1"/>
  <c r="L13" i="2" s="1"/>
  <c r="F10" i="2" l="1"/>
  <c r="G16" i="5"/>
  <c r="E16" i="5"/>
  <c r="K3" i="2" l="1"/>
  <c r="E13" i="5"/>
  <c r="G7" i="5"/>
  <c r="E7" i="5"/>
  <c r="F29" i="4" l="1"/>
  <c r="F28" i="4"/>
  <c r="F8" i="2" l="1"/>
  <c r="E8" i="2"/>
  <c r="K1" i="2" s="1"/>
  <c r="K4" i="2" s="1"/>
  <c r="L4" i="2" s="1"/>
  <c r="M4" i="2" s="1"/>
  <c r="H119" i="1"/>
  <c r="I119" i="1" s="1"/>
  <c r="P119" i="1" s="1"/>
  <c r="R119" i="1" s="1"/>
  <c r="P116" i="1"/>
  <c r="P115" i="1"/>
  <c r="Q115" i="1" s="1"/>
  <c r="Q116" i="1" l="1"/>
  <c r="R116" i="1" s="1"/>
  <c r="R115" i="1"/>
  <c r="J114" i="1" l="1"/>
  <c r="L114" i="1" s="1"/>
  <c r="J113" i="1"/>
  <c r="L113" i="1" s="1"/>
  <c r="J112" i="1"/>
  <c r="L112" i="1" s="1"/>
  <c r="K112" i="1" l="1"/>
  <c r="K113" i="1"/>
  <c r="K114" i="1"/>
  <c r="J111" i="1"/>
  <c r="L111" i="1" s="1"/>
  <c r="P111" i="1" s="1"/>
  <c r="Q111" i="1" s="1"/>
  <c r="R111" i="1" s="1"/>
  <c r="J96" i="1"/>
  <c r="L96" i="1" s="1"/>
  <c r="P96" i="1" s="1"/>
  <c r="J95" i="1"/>
  <c r="L95" i="1" s="1"/>
  <c r="P95" i="1" s="1"/>
  <c r="Q95" i="1" s="1"/>
  <c r="R95" i="1" s="1"/>
  <c r="J110" i="1"/>
  <c r="L110" i="1" s="1"/>
  <c r="P110" i="1" s="1"/>
  <c r="Q96" i="1" l="1"/>
  <c r="R96" i="1" s="1"/>
  <c r="Q110" i="1"/>
  <c r="R110" i="1" s="1"/>
  <c r="K95" i="1"/>
  <c r="K111" i="1"/>
  <c r="K96" i="1"/>
  <c r="K110" i="1"/>
  <c r="J109" i="1"/>
  <c r="L109" i="1" s="1"/>
  <c r="J108" i="1"/>
  <c r="L108" i="1" s="1"/>
  <c r="J57" i="1"/>
  <c r="L57" i="1" s="1"/>
  <c r="P57" i="1" s="1"/>
  <c r="J56" i="1"/>
  <c r="L56" i="1" s="1"/>
  <c r="J107" i="1"/>
  <c r="L107" i="1" s="1"/>
  <c r="P107" i="1" s="1"/>
  <c r="J103" i="1"/>
  <c r="K103" i="1" s="1"/>
  <c r="J102" i="1"/>
  <c r="K102" i="1" s="1"/>
  <c r="J101" i="1"/>
  <c r="K101" i="1" s="1"/>
  <c r="J100" i="1"/>
  <c r="K100" i="1" s="1"/>
  <c r="J99" i="1"/>
  <c r="K99" i="1" s="1"/>
  <c r="J98" i="1"/>
  <c r="K98" i="1" s="1"/>
  <c r="L105" i="1"/>
  <c r="J91" i="1"/>
  <c r="K91" i="1" s="1"/>
  <c r="L67" i="1"/>
  <c r="P67" i="1" s="1"/>
  <c r="L71" i="1"/>
  <c r="P71" i="1" s="1"/>
  <c r="L77" i="1"/>
  <c r="P77" i="1" s="1"/>
  <c r="L78" i="1"/>
  <c r="P78" i="1" s="1"/>
  <c r="L79" i="1"/>
  <c r="P79" i="1" s="1"/>
  <c r="L80" i="1"/>
  <c r="P80" i="1" s="1"/>
  <c r="L81" i="1"/>
  <c r="P81" i="1" s="1"/>
  <c r="L82" i="1"/>
  <c r="P82" i="1" s="1"/>
  <c r="L83" i="1"/>
  <c r="P83" i="1" s="1"/>
  <c r="L90" i="1"/>
  <c r="P90" i="1" s="1"/>
  <c r="L31" i="1"/>
  <c r="P31" i="1" s="1"/>
  <c r="K67" i="1"/>
  <c r="K71" i="1"/>
  <c r="K77" i="1"/>
  <c r="K78" i="1"/>
  <c r="K79" i="1"/>
  <c r="K80" i="1"/>
  <c r="K81" i="1"/>
  <c r="K82" i="1"/>
  <c r="K83" i="1"/>
  <c r="K90" i="1"/>
  <c r="K97" i="1"/>
  <c r="K104" i="1"/>
  <c r="K105" i="1"/>
  <c r="J92" i="1"/>
  <c r="L92" i="1" s="1"/>
  <c r="P92" i="1" s="1"/>
  <c r="K31" i="1"/>
  <c r="J85" i="1"/>
  <c r="L85" i="1" s="1"/>
  <c r="P85" i="1" s="1"/>
  <c r="J86" i="1"/>
  <c r="K86" i="1" s="1"/>
  <c r="J93" i="1"/>
  <c r="J94" i="1" s="1"/>
  <c r="K94" i="1" s="1"/>
  <c r="J106" i="1"/>
  <c r="L106" i="1" s="1"/>
  <c r="P106" i="1" s="1"/>
  <c r="J89" i="1"/>
  <c r="L89" i="1" s="1"/>
  <c r="P89" i="1" s="1"/>
  <c r="J88" i="1"/>
  <c r="L88" i="1" s="1"/>
  <c r="P88" i="1" s="1"/>
  <c r="Q88" i="1" s="1"/>
  <c r="R88" i="1" s="1"/>
  <c r="J55" i="1"/>
  <c r="L55" i="1" s="1"/>
  <c r="P55" i="1" s="1"/>
  <c r="J54" i="1"/>
  <c r="K54" i="1" s="1"/>
  <c r="J53" i="1"/>
  <c r="L53" i="1" s="1"/>
  <c r="P53" i="1" s="1"/>
  <c r="J52" i="1"/>
  <c r="K52" i="1" s="1"/>
  <c r="J51" i="1"/>
  <c r="L51" i="1" s="1"/>
  <c r="P51" i="1" s="1"/>
  <c r="J50" i="1"/>
  <c r="K50" i="1" s="1"/>
  <c r="J49" i="1"/>
  <c r="L49" i="1" s="1"/>
  <c r="P49" i="1" s="1"/>
  <c r="J48" i="1"/>
  <c r="K48" i="1" s="1"/>
  <c r="J47" i="1"/>
  <c r="L47" i="1" s="1"/>
  <c r="P47" i="1" s="1"/>
  <c r="J46" i="1"/>
  <c r="K46" i="1" s="1"/>
  <c r="J45" i="1"/>
  <c r="L45" i="1" s="1"/>
  <c r="P45" i="1" s="1"/>
  <c r="J44" i="1"/>
  <c r="L44" i="1" s="1"/>
  <c r="P44" i="1" s="1"/>
  <c r="L100" i="1" l="1"/>
  <c r="P100" i="1"/>
  <c r="R100" i="1"/>
  <c r="P105" i="1"/>
  <c r="R105" i="1"/>
  <c r="L101" i="1"/>
  <c r="P101" i="1"/>
  <c r="R101" i="1"/>
  <c r="Q90" i="1"/>
  <c r="R90" i="1" s="1"/>
  <c r="L98" i="1"/>
  <c r="R98" i="1"/>
  <c r="P98" i="1"/>
  <c r="L102" i="1"/>
  <c r="R102" i="1"/>
  <c r="P102" i="1"/>
  <c r="Q57" i="1"/>
  <c r="R57" i="1" s="1"/>
  <c r="Q92" i="1"/>
  <c r="R92" i="1" s="1"/>
  <c r="L99" i="1"/>
  <c r="R99" i="1"/>
  <c r="P99" i="1"/>
  <c r="L103" i="1"/>
  <c r="R103" i="1"/>
  <c r="P103" i="1"/>
  <c r="Q47" i="1"/>
  <c r="R47" i="1" s="1"/>
  <c r="Q83" i="1"/>
  <c r="R83" i="1" s="1"/>
  <c r="Q79" i="1"/>
  <c r="R79" i="1" s="1"/>
  <c r="Q67" i="1"/>
  <c r="R67" i="1" s="1"/>
  <c r="Q55" i="1"/>
  <c r="R55" i="1" s="1"/>
  <c r="Q44" i="1"/>
  <c r="R44" i="1" s="1"/>
  <c r="Q82" i="1"/>
  <c r="R82" i="1" s="1"/>
  <c r="Q78" i="1"/>
  <c r="R78" i="1" s="1"/>
  <c r="Q51" i="1"/>
  <c r="R51" i="1" s="1"/>
  <c r="Q53" i="1"/>
  <c r="R53" i="1" s="1"/>
  <c r="Q89" i="1"/>
  <c r="R89" i="1" s="1"/>
  <c r="Q85" i="1"/>
  <c r="R85" i="1" s="1"/>
  <c r="Q31" i="1"/>
  <c r="R31" i="1" s="1"/>
  <c r="Q81" i="1"/>
  <c r="R81" i="1" s="1"/>
  <c r="Q77" i="1"/>
  <c r="R77" i="1" s="1"/>
  <c r="Q45" i="1"/>
  <c r="R45" i="1" s="1"/>
  <c r="Q49" i="1"/>
  <c r="R49" i="1" s="1"/>
  <c r="Q80" i="1"/>
  <c r="R80" i="1" s="1"/>
  <c r="Q71" i="1"/>
  <c r="R71" i="1" s="1"/>
  <c r="K57" i="1"/>
  <c r="K109" i="1"/>
  <c r="K108" i="1"/>
  <c r="K56" i="1"/>
  <c r="K107" i="1"/>
  <c r="K106" i="1"/>
  <c r="K92" i="1"/>
  <c r="L48" i="1"/>
  <c r="P48" i="1" s="1"/>
  <c r="L54" i="1"/>
  <c r="P54" i="1" s="1"/>
  <c r="L46" i="1"/>
  <c r="P46" i="1" s="1"/>
  <c r="K44" i="1"/>
  <c r="K88" i="1"/>
  <c r="L52" i="1"/>
  <c r="P52" i="1" s="1"/>
  <c r="L86" i="1"/>
  <c r="P86" i="1" s="1"/>
  <c r="L50" i="1"/>
  <c r="P50" i="1" s="1"/>
  <c r="K85" i="1"/>
  <c r="K53" i="1"/>
  <c r="K49" i="1"/>
  <c r="K45" i="1"/>
  <c r="L91" i="1"/>
  <c r="P91" i="1" s="1"/>
  <c r="Q91" i="1" s="1"/>
  <c r="R91" i="1" s="1"/>
  <c r="K93" i="1"/>
  <c r="K89" i="1"/>
  <c r="L94" i="1"/>
  <c r="P94" i="1" s="1"/>
  <c r="K55" i="1"/>
  <c r="K51" i="1"/>
  <c r="K47" i="1"/>
  <c r="L93" i="1"/>
  <c r="P93" i="1" s="1"/>
  <c r="Q93" i="1" s="1"/>
  <c r="R93" i="1" s="1"/>
  <c r="J29" i="1"/>
  <c r="J30" i="1"/>
  <c r="J32" i="1"/>
  <c r="J73" i="1"/>
  <c r="J19" i="1"/>
  <c r="J42" i="1"/>
  <c r="J18" i="1"/>
  <c r="J17" i="1"/>
  <c r="J16" i="1"/>
  <c r="J15" i="1"/>
  <c r="J14" i="1"/>
  <c r="J13" i="1"/>
  <c r="J41" i="1"/>
  <c r="J26" i="1"/>
  <c r="J25" i="1"/>
  <c r="J10" i="1"/>
  <c r="J9" i="1"/>
  <c r="J8" i="1"/>
  <c r="J7" i="1"/>
  <c r="J23" i="1"/>
  <c r="J21" i="1"/>
  <c r="J22" i="1"/>
  <c r="J4" i="1"/>
  <c r="J3" i="1"/>
  <c r="K3" i="1" s="1"/>
  <c r="J33" i="1"/>
  <c r="J38" i="1"/>
  <c r="J37" i="1"/>
  <c r="J39" i="1"/>
  <c r="J40" i="1"/>
  <c r="J36" i="1"/>
  <c r="J35" i="1"/>
  <c r="J63" i="1"/>
  <c r="J84" i="1"/>
  <c r="J70" i="1"/>
  <c r="J69" i="1"/>
  <c r="Q94" i="1" l="1"/>
  <c r="R94" i="1" s="1"/>
  <c r="Q86" i="1"/>
  <c r="R86" i="1" s="1"/>
  <c r="Q46" i="1"/>
  <c r="R46" i="1" s="1"/>
  <c r="Q54" i="1"/>
  <c r="R54" i="1" s="1"/>
  <c r="Q52" i="1"/>
  <c r="R52" i="1" s="1"/>
  <c r="Q48" i="1"/>
  <c r="R48" i="1" s="1"/>
  <c r="Q50" i="1"/>
  <c r="R50" i="1" s="1"/>
  <c r="K18" i="1"/>
  <c r="L18" i="1"/>
  <c r="P18" i="1" s="1"/>
  <c r="L32" i="1"/>
  <c r="P32" i="1" s="1"/>
  <c r="K32" i="1"/>
  <c r="L15" i="1"/>
  <c r="P15" i="1" s="1"/>
  <c r="K15" i="1"/>
  <c r="K42" i="1"/>
  <c r="L42" i="1"/>
  <c r="P42" i="1" s="1"/>
  <c r="K70" i="1"/>
  <c r="L70" i="1"/>
  <c r="P70" i="1" s="1"/>
  <c r="K38" i="1"/>
  <c r="L38" i="1"/>
  <c r="P38" i="1" s="1"/>
  <c r="L7" i="1"/>
  <c r="P7" i="1" s="1"/>
  <c r="K7" i="1"/>
  <c r="K14" i="1"/>
  <c r="L14" i="1"/>
  <c r="P14" i="1" s="1"/>
  <c r="L84" i="1"/>
  <c r="P84" i="1" s="1"/>
  <c r="K84" i="1"/>
  <c r="L40" i="1"/>
  <c r="P40" i="1" s="1"/>
  <c r="K40" i="1"/>
  <c r="K22" i="1"/>
  <c r="L22" i="1"/>
  <c r="P22" i="1" s="1"/>
  <c r="K26" i="1"/>
  <c r="L26" i="1"/>
  <c r="P26" i="1" s="1"/>
  <c r="L63" i="1"/>
  <c r="P63" i="1" s="1"/>
  <c r="K63" i="1"/>
  <c r="K39" i="1"/>
  <c r="L39" i="1"/>
  <c r="P39" i="1" s="1"/>
  <c r="K33" i="1"/>
  <c r="L33" i="1"/>
  <c r="P33" i="1" s="1"/>
  <c r="K21" i="1"/>
  <c r="L21" i="1"/>
  <c r="P21" i="1" s="1"/>
  <c r="K9" i="1"/>
  <c r="L9" i="1"/>
  <c r="P9" i="1" s="1"/>
  <c r="L41" i="1"/>
  <c r="P41" i="1" s="1"/>
  <c r="K41" i="1"/>
  <c r="L16" i="1"/>
  <c r="P16" i="1" s="1"/>
  <c r="K16" i="1"/>
  <c r="L19" i="1"/>
  <c r="P19" i="1" s="1"/>
  <c r="K19" i="1"/>
  <c r="K30" i="1"/>
  <c r="L30" i="1"/>
  <c r="P30" i="1" s="1"/>
  <c r="L36" i="1"/>
  <c r="P36" i="1" s="1"/>
  <c r="K36" i="1"/>
  <c r="J5" i="1"/>
  <c r="L4" i="1"/>
  <c r="P4" i="1" s="1"/>
  <c r="K4" i="1"/>
  <c r="K25" i="1"/>
  <c r="L25" i="1"/>
  <c r="P25" i="1" s="1"/>
  <c r="L8" i="1"/>
  <c r="P8" i="1" s="1"/>
  <c r="K8" i="1"/>
  <c r="L69" i="1"/>
  <c r="P69" i="1" s="1"/>
  <c r="K69" i="1"/>
  <c r="K35" i="1"/>
  <c r="L35" i="1"/>
  <c r="P35" i="1" s="1"/>
  <c r="L37" i="1"/>
  <c r="P37" i="1" s="1"/>
  <c r="K37" i="1"/>
  <c r="L23" i="1"/>
  <c r="P23" i="1" s="1"/>
  <c r="K23" i="1"/>
  <c r="J11" i="1"/>
  <c r="K10" i="1"/>
  <c r="L10" i="1"/>
  <c r="P10" i="1" s="1"/>
  <c r="K13" i="1"/>
  <c r="L13" i="1"/>
  <c r="P13" i="1" s="1"/>
  <c r="K17" i="1"/>
  <c r="L17" i="1"/>
  <c r="P17" i="1" s="1"/>
  <c r="L73" i="1"/>
  <c r="P73" i="1" s="1"/>
  <c r="K73" i="1"/>
  <c r="K29" i="1"/>
  <c r="L29" i="1"/>
  <c r="P29" i="1" s="1"/>
  <c r="J68" i="1"/>
  <c r="J65" i="1"/>
  <c r="J66" i="1"/>
  <c r="J61" i="1"/>
  <c r="J60" i="1"/>
  <c r="J59" i="1"/>
  <c r="Q33" i="1" l="1"/>
  <c r="R33" i="1" s="1"/>
  <c r="Q37" i="1"/>
  <c r="R37" i="1" s="1"/>
  <c r="Q69" i="1"/>
  <c r="R69" i="1" s="1"/>
  <c r="Q21" i="1"/>
  <c r="R21" i="1" s="1"/>
  <c r="Q39" i="1"/>
  <c r="R39" i="1" s="1"/>
  <c r="Q26" i="1"/>
  <c r="R26" i="1" s="1"/>
  <c r="Q14" i="1"/>
  <c r="R14" i="1" s="1"/>
  <c r="Q38" i="1"/>
  <c r="R38" i="1" s="1"/>
  <c r="Q42" i="1"/>
  <c r="R42" i="1" s="1"/>
  <c r="Q36" i="1"/>
  <c r="R36" i="1" s="1"/>
  <c r="Q19" i="1"/>
  <c r="R19" i="1" s="1"/>
  <c r="Q40" i="1"/>
  <c r="R40" i="1" s="1"/>
  <c r="Q32" i="1"/>
  <c r="R32" i="1" s="1"/>
  <c r="Q17" i="1"/>
  <c r="R17" i="1" s="1"/>
  <c r="Q23" i="1"/>
  <c r="R23" i="1" s="1"/>
  <c r="Q4" i="1"/>
  <c r="R4" i="1" s="1"/>
  <c r="Q9" i="1"/>
  <c r="R9" i="1" s="1"/>
  <c r="Q22" i="1"/>
  <c r="R22" i="1" s="1"/>
  <c r="Q70" i="1"/>
  <c r="R70" i="1" s="1"/>
  <c r="Q18" i="1"/>
  <c r="R18" i="1" s="1"/>
  <c r="Q13" i="1"/>
  <c r="R13" i="1" s="1"/>
  <c r="Q73" i="1"/>
  <c r="R73" i="1" s="1"/>
  <c r="Q35" i="1"/>
  <c r="R35" i="1" s="1"/>
  <c r="Q41" i="1"/>
  <c r="R41" i="1" s="1"/>
  <c r="Q29" i="1"/>
  <c r="R29" i="1" s="1"/>
  <c r="Q10" i="1"/>
  <c r="R10" i="1" s="1"/>
  <c r="Q8" i="1"/>
  <c r="R8" i="1" s="1"/>
  <c r="Q30" i="1"/>
  <c r="R30" i="1" s="1"/>
  <c r="Q25" i="1"/>
  <c r="R25" i="1" s="1"/>
  <c r="Q16" i="1"/>
  <c r="R16" i="1" s="1"/>
  <c r="Q63" i="1"/>
  <c r="R63" i="1" s="1"/>
  <c r="Q84" i="1"/>
  <c r="R84" i="1" s="1"/>
  <c r="Q7" i="1"/>
  <c r="R7" i="1" s="1"/>
  <c r="Q15" i="1"/>
  <c r="R15" i="1" s="1"/>
  <c r="K66" i="1"/>
  <c r="L66" i="1"/>
  <c r="P66" i="1" s="1"/>
  <c r="J6" i="1"/>
  <c r="K5" i="1"/>
  <c r="L5" i="1"/>
  <c r="P5" i="1" s="1"/>
  <c r="L59" i="1"/>
  <c r="P59" i="1" s="1"/>
  <c r="K59" i="1"/>
  <c r="L65" i="1"/>
  <c r="P65" i="1" s="1"/>
  <c r="K65" i="1"/>
  <c r="J12" i="1"/>
  <c r="L11" i="1"/>
  <c r="P11" i="1" s="1"/>
  <c r="K11" i="1"/>
  <c r="L60" i="1"/>
  <c r="P60" i="1" s="1"/>
  <c r="K60" i="1"/>
  <c r="L68" i="1"/>
  <c r="P68" i="1" s="1"/>
  <c r="K68" i="1"/>
  <c r="K61" i="1"/>
  <c r="L61" i="1"/>
  <c r="P61" i="1" s="1"/>
  <c r="J62" i="1"/>
  <c r="J76" i="1"/>
  <c r="J75" i="1"/>
  <c r="J74" i="1"/>
  <c r="Q59" i="1" l="1"/>
  <c r="R59" i="1" s="1"/>
  <c r="Q66" i="1"/>
  <c r="R66" i="1" s="1"/>
  <c r="Q5" i="1"/>
  <c r="R5" i="1" s="1"/>
  <c r="Q61" i="1"/>
  <c r="R61" i="1" s="1"/>
  <c r="Q60" i="1"/>
  <c r="R60" i="1" s="1"/>
  <c r="Q65" i="1"/>
  <c r="R65" i="1" s="1"/>
  <c r="Q68" i="1"/>
  <c r="R68" i="1" s="1"/>
  <c r="Q11" i="1"/>
  <c r="R11" i="1" s="1"/>
  <c r="L75" i="1"/>
  <c r="P75" i="1" s="1"/>
  <c r="K75" i="1"/>
  <c r="L76" i="1"/>
  <c r="P76" i="1" s="1"/>
  <c r="K76" i="1"/>
  <c r="L62" i="1"/>
  <c r="P62" i="1" s="1"/>
  <c r="K62" i="1"/>
  <c r="K6" i="1"/>
  <c r="L6" i="1"/>
  <c r="P6" i="1" s="1"/>
  <c r="K74" i="1"/>
  <c r="L74" i="1"/>
  <c r="P74" i="1" s="1"/>
  <c r="L12" i="1"/>
  <c r="P12" i="1" s="1"/>
  <c r="K12" i="1"/>
  <c r="J72" i="1"/>
  <c r="J28" i="1"/>
  <c r="J27" i="1"/>
  <c r="J24" i="1"/>
  <c r="J20" i="1"/>
  <c r="L3" i="1"/>
  <c r="P3" i="1" s="1"/>
  <c r="Q6" i="1" l="1"/>
  <c r="R6" i="1" s="1"/>
  <c r="Q76" i="1"/>
  <c r="R76" i="1" s="1"/>
  <c r="Q12" i="1"/>
  <c r="R12" i="1" s="1"/>
  <c r="Q3" i="1"/>
  <c r="R3" i="1" s="1"/>
  <c r="Q74" i="1"/>
  <c r="R74" i="1" s="1"/>
  <c r="Q62" i="1"/>
  <c r="R62" i="1" s="1"/>
  <c r="Q75" i="1"/>
  <c r="R75" i="1" s="1"/>
  <c r="J1" i="1"/>
  <c r="L20" i="1"/>
  <c r="P20" i="1" s="1"/>
  <c r="K20" i="1"/>
  <c r="L72" i="1"/>
  <c r="P72" i="1" s="1"/>
  <c r="K72" i="1"/>
  <c r="L24" i="1"/>
  <c r="P24" i="1" s="1"/>
  <c r="K24" i="1"/>
  <c r="L27" i="1"/>
  <c r="P27" i="1" s="1"/>
  <c r="K27" i="1"/>
  <c r="L28" i="1"/>
  <c r="P28" i="1" s="1"/>
  <c r="K28" i="1"/>
  <c r="Q27" i="1" l="1"/>
  <c r="R27" i="1" s="1"/>
  <c r="Q72" i="1"/>
  <c r="R72" i="1" s="1"/>
  <c r="Q28" i="1"/>
  <c r="R28" i="1" s="1"/>
  <c r="Q24" i="1"/>
  <c r="R24" i="1" s="1"/>
  <c r="Q20" i="1"/>
  <c r="R20" i="1" s="1"/>
  <c r="L1" i="1"/>
  <c r="K1" i="1"/>
  <c r="F11" i="2" l="1"/>
  <c r="F12" i="2" s="1"/>
  <c r="G12" i="2" l="1"/>
</calcChain>
</file>

<file path=xl/sharedStrings.xml><?xml version="1.0" encoding="utf-8"?>
<sst xmlns="http://schemas.openxmlformats.org/spreadsheetml/2006/main" count="717" uniqueCount="284">
  <si>
    <t>Block Name</t>
  </si>
  <si>
    <t>Total Slabs/ Floors</t>
  </si>
  <si>
    <t>Year of construction</t>
  </si>
  <si>
    <t>Structure condition</t>
  </si>
  <si>
    <t>RCC framed pillar beam column structure on RCC slab</t>
  </si>
  <si>
    <t>RCC load bearing structure on beam column and 9" brick walls</t>
  </si>
  <si>
    <t>RB wall structure</t>
  </si>
  <si>
    <t>GI shed roof mounted on iron pillars, trusses frame structure</t>
  </si>
  <si>
    <t>GI shed roof mounted on iron pillars, trusses frame structure resting on brick wall</t>
  </si>
  <si>
    <t>Glass facade on RCC steel frame</t>
  </si>
  <si>
    <t>AC sheet roofed building mounted on steel trusses resting on RCC column</t>
  </si>
  <si>
    <t>RCC column beams stone masonry wails in cement, bricks, steel etc.</t>
  </si>
  <si>
    <t>Plain Tin shed roof mounted on iron pillars, trusses frame structure resting on brick wall</t>
  </si>
  <si>
    <t>S.No.</t>
  </si>
  <si>
    <t>Type of construction     (select from drop down)</t>
  </si>
  <si>
    <t>Area (in sq. mtr.)</t>
  </si>
  <si>
    <t>Area (sq. fts.)</t>
  </si>
  <si>
    <t>Rates Adopted per sq. ft.</t>
  </si>
  <si>
    <t>Current Depreciated Market Value</t>
  </si>
  <si>
    <t>Floor wise Height (ft.)</t>
  </si>
  <si>
    <t>CEMS Building</t>
  </si>
  <si>
    <t>Compressor House</t>
  </si>
  <si>
    <t>Sea Water Pump House</t>
  </si>
  <si>
    <t>Wear House</t>
  </si>
  <si>
    <t>RO - DM Building</t>
  </si>
  <si>
    <t>IDCT PMCC Building</t>
  </si>
  <si>
    <t xml:space="preserve">Service Building </t>
  </si>
  <si>
    <t>Crusher House Building</t>
  </si>
  <si>
    <t>Water Treatment Plant</t>
  </si>
  <si>
    <t>Switch Gear and Control Room</t>
  </si>
  <si>
    <t>Pump House for Clarified Water Storage Tank</t>
  </si>
  <si>
    <t>Electrolyzer Building</t>
  </si>
  <si>
    <t>Coal Handling Plant</t>
  </si>
  <si>
    <t>Fire Water/Desalinated Water Tranfer Pump House</t>
  </si>
  <si>
    <t>CPU Building</t>
  </si>
  <si>
    <t>Workshop Building</t>
  </si>
  <si>
    <t>Chemical/Material Storage Building</t>
  </si>
  <si>
    <t>Ash Handling Plant</t>
  </si>
  <si>
    <t>Electrical Building</t>
  </si>
  <si>
    <t>Chemical Building A</t>
  </si>
  <si>
    <t>Chemical Building B</t>
  </si>
  <si>
    <t>Over Head water Tank</t>
  </si>
  <si>
    <t>Insulation Shed</t>
  </si>
  <si>
    <t>Gas Storage Building</t>
  </si>
  <si>
    <t>Oil Storage Building</t>
  </si>
  <si>
    <t>4 Slabs / 3 Floors</t>
  </si>
  <si>
    <t>OCH &amp; Weigh Bridge Control Room</t>
  </si>
  <si>
    <t xml:space="preserve">Saftey Induction Room &amp; Security Office </t>
  </si>
  <si>
    <t>Security Checking Room</t>
  </si>
  <si>
    <t>Site Staff Guest House</t>
  </si>
  <si>
    <t>Site MD Guest House</t>
  </si>
  <si>
    <t>Canteen for Staff</t>
  </si>
  <si>
    <t>Main Office 1</t>
  </si>
  <si>
    <t>Main Office 2</t>
  </si>
  <si>
    <t>Main Office 3</t>
  </si>
  <si>
    <t>2 Slab / 1 Floor</t>
  </si>
  <si>
    <t>2 slab / 1 Floor</t>
  </si>
  <si>
    <t>6 Slabs/6 Floors</t>
  </si>
  <si>
    <t>2Slab / 1 Floor</t>
  </si>
  <si>
    <t>2Slab /1Floor</t>
  </si>
  <si>
    <t>3 Slabs/2Floor</t>
  </si>
  <si>
    <t>1 Slab/1Floor</t>
  </si>
  <si>
    <t>3 Slabs/2Floors</t>
  </si>
  <si>
    <t>Good</t>
  </si>
  <si>
    <t>Very Good</t>
  </si>
  <si>
    <t>Average</t>
  </si>
  <si>
    <t>Track Hopper MH 1 &amp;2  TH 1</t>
  </si>
  <si>
    <t>TH 2</t>
  </si>
  <si>
    <t>PENT House</t>
  </si>
  <si>
    <t>MCC 2</t>
  </si>
  <si>
    <t>Crusher House Toilets &amp; Wash Rooms</t>
  </si>
  <si>
    <t>Drive House 1 &amp; 2</t>
  </si>
  <si>
    <t>CHP Control Building &amp; MCC 1, Pump House</t>
  </si>
  <si>
    <t>CHP Switch Gear MCC -3 &amp; BVS Compressor House</t>
  </si>
  <si>
    <t>3Slabs/2 Floor</t>
  </si>
  <si>
    <t>2 Slabs/ 1 Floors</t>
  </si>
  <si>
    <t>3 slabs/ 3Floors</t>
  </si>
  <si>
    <t>2 slabs/ 1 Floor</t>
  </si>
  <si>
    <t>3 Slabs/ 2 Floors</t>
  </si>
  <si>
    <t>Juntion Towers  1</t>
  </si>
  <si>
    <t>Juntion Towers 2</t>
  </si>
  <si>
    <t>Juntion Towers 3</t>
  </si>
  <si>
    <t>Juntion Towers 4 &amp; 5</t>
  </si>
  <si>
    <t>3 Slabs / 3 Floors</t>
  </si>
  <si>
    <t>4 Slabs / 4 Floors</t>
  </si>
  <si>
    <t>5 Slabs / 5 Floors</t>
  </si>
  <si>
    <t>1 slabs/ 1 Floor</t>
  </si>
  <si>
    <t>6 Slabs/5 Floors</t>
  </si>
  <si>
    <t>14'8"</t>
  </si>
  <si>
    <t>16'4"</t>
  </si>
  <si>
    <t>12'6"</t>
  </si>
  <si>
    <t>13'00"</t>
  </si>
  <si>
    <t>11'5"</t>
  </si>
  <si>
    <t>10'00"</t>
  </si>
  <si>
    <t>12'5"</t>
  </si>
  <si>
    <t>16'8"/11'8"</t>
  </si>
  <si>
    <t>33'00"</t>
  </si>
  <si>
    <t>18'6"/23'6"</t>
  </si>
  <si>
    <t>FOPH Pump House /MCC</t>
  </si>
  <si>
    <t>39'5"</t>
  </si>
  <si>
    <t>0 Slab/1Floor</t>
  </si>
  <si>
    <t>ABB Office 1</t>
  </si>
  <si>
    <t>Closed Material Storage Shed 2</t>
  </si>
  <si>
    <t>Closed Material Storage Shed 1</t>
  </si>
  <si>
    <t>18'6"</t>
  </si>
  <si>
    <t>Fire Tender Building</t>
  </si>
  <si>
    <t>2 Slabs/2Floors</t>
  </si>
  <si>
    <t>1 Slab / 1Floor</t>
  </si>
  <si>
    <t>16'4"/29'6"</t>
  </si>
  <si>
    <t>16'4"/13'00"</t>
  </si>
  <si>
    <t>19'6"</t>
  </si>
  <si>
    <t>32'8"</t>
  </si>
  <si>
    <t>26'00"</t>
  </si>
  <si>
    <t>17'8"</t>
  </si>
  <si>
    <t>12'00"</t>
  </si>
  <si>
    <t>131'00"</t>
  </si>
  <si>
    <t>65'6"</t>
  </si>
  <si>
    <t>60'00"</t>
  </si>
  <si>
    <t>185'3"</t>
  </si>
  <si>
    <t>51'8"</t>
  </si>
  <si>
    <t>40'6"</t>
  </si>
  <si>
    <t>64'3"</t>
  </si>
  <si>
    <t>81'6"</t>
  </si>
  <si>
    <t>36"6"</t>
  </si>
  <si>
    <t>32'8"/26'/15'7"</t>
  </si>
  <si>
    <t>1 Slabs / 1 Floors</t>
  </si>
  <si>
    <t>56'2"</t>
  </si>
  <si>
    <t xml:space="preserve">GIS Building - GF </t>
  </si>
  <si>
    <t>14'6"</t>
  </si>
  <si>
    <t>GIS Building - FF</t>
  </si>
  <si>
    <t>2 Slabs / 1 Floors</t>
  </si>
  <si>
    <t>9'8"</t>
  </si>
  <si>
    <t>GIS Building - SF</t>
  </si>
  <si>
    <t>31'4"</t>
  </si>
  <si>
    <t>16'3"</t>
  </si>
  <si>
    <t>13'</t>
  </si>
  <si>
    <t>19'5"</t>
  </si>
  <si>
    <t>1 Slabs/ 1 Floors</t>
  </si>
  <si>
    <t>22'5"</t>
  </si>
  <si>
    <t>Station Building TG Floor</t>
  </si>
  <si>
    <t>62'7"</t>
  </si>
  <si>
    <t>Station Building HP Floor</t>
  </si>
  <si>
    <t>Station Building EDR/LP Floor</t>
  </si>
  <si>
    <t>40'</t>
  </si>
  <si>
    <t>Station Building DEREATOR Floor</t>
  </si>
  <si>
    <t>32'5"</t>
  </si>
  <si>
    <t>Station Building Trippler Floor</t>
  </si>
  <si>
    <t>16'</t>
  </si>
  <si>
    <t>36'5"</t>
  </si>
  <si>
    <r>
      <rPr>
        <b/>
        <sz val="11"/>
        <color theme="1"/>
        <rFont val="Calibri"/>
        <family val="2"/>
        <scheme val="minor"/>
      </rPr>
      <t>GIS Building</t>
    </r>
    <r>
      <rPr>
        <sz val="11"/>
        <color theme="1"/>
        <rFont val="Calibri"/>
        <family val="2"/>
        <scheme val="minor"/>
      </rPr>
      <t xml:space="preserve"> - Hall</t>
    </r>
  </si>
  <si>
    <r>
      <rPr>
        <b/>
        <sz val="11"/>
        <color theme="1"/>
        <rFont val="Calibri"/>
        <family val="2"/>
        <scheme val="minor"/>
      </rPr>
      <t xml:space="preserve">Station Building </t>
    </r>
    <r>
      <rPr>
        <sz val="11"/>
        <color theme="1"/>
        <rFont val="Calibri"/>
        <family val="2"/>
        <scheme val="minor"/>
      </rPr>
      <t>GF</t>
    </r>
  </si>
  <si>
    <r>
      <rPr>
        <b/>
        <sz val="11"/>
        <color theme="1"/>
        <rFont val="Calibri"/>
        <family val="2"/>
        <scheme val="minor"/>
      </rPr>
      <t xml:space="preserve">ESP Control Building </t>
    </r>
    <r>
      <rPr>
        <sz val="11"/>
        <color theme="1"/>
        <rFont val="Calibri"/>
        <family val="2"/>
        <scheme val="minor"/>
      </rPr>
      <t>GF</t>
    </r>
  </si>
  <si>
    <t>FF Gabel Gallery</t>
  </si>
  <si>
    <t>Control Room</t>
  </si>
  <si>
    <t>AW Room</t>
  </si>
  <si>
    <t>11'3"</t>
  </si>
  <si>
    <t xml:space="preserve">Main Control Building GF </t>
  </si>
  <si>
    <t xml:space="preserve">Main Control Building FF </t>
  </si>
  <si>
    <t>11'7"</t>
  </si>
  <si>
    <t>Main Control Building SF CG</t>
  </si>
  <si>
    <t>10'4"</t>
  </si>
  <si>
    <t>Main Control Building TF CCR</t>
  </si>
  <si>
    <t>Main Control Building FF Conf.</t>
  </si>
  <si>
    <t>14'7"</t>
  </si>
  <si>
    <t>Main Control Building FF AWR.</t>
  </si>
  <si>
    <t>20'5"</t>
  </si>
  <si>
    <r>
      <rPr>
        <b/>
        <sz val="11"/>
        <color theme="1"/>
        <rFont val="Calibri"/>
        <family val="2"/>
        <scheme val="minor"/>
      </rPr>
      <t>Main Control Building</t>
    </r>
    <r>
      <rPr>
        <sz val="11"/>
        <color theme="1"/>
        <rFont val="Calibri"/>
        <family val="2"/>
        <scheme val="minor"/>
      </rPr>
      <t xml:space="preserve"> UGF </t>
    </r>
  </si>
  <si>
    <t>Concrete Structures</t>
  </si>
  <si>
    <t>Miscellaneous Buildings</t>
  </si>
  <si>
    <t>Security Officer Room</t>
  </si>
  <si>
    <t>11'</t>
  </si>
  <si>
    <t>10'</t>
  </si>
  <si>
    <t>2slabs/1 Floor</t>
  </si>
  <si>
    <r>
      <rPr>
        <b/>
        <sz val="11"/>
        <color theme="1"/>
        <rFont val="Calibri"/>
        <family val="2"/>
        <scheme val="minor"/>
      </rPr>
      <t xml:space="preserve">CW Pump House </t>
    </r>
    <r>
      <rPr>
        <sz val="11"/>
        <color theme="1"/>
        <rFont val="Calibri"/>
        <family val="2"/>
        <scheme val="minor"/>
      </rPr>
      <t>Pump area</t>
    </r>
  </si>
  <si>
    <t>27'7"</t>
  </si>
  <si>
    <t>22'8"</t>
  </si>
  <si>
    <t xml:space="preserve">Intake Well </t>
  </si>
  <si>
    <t>Weigh Bridge</t>
  </si>
  <si>
    <t>Ash Bund</t>
  </si>
  <si>
    <t>Fly Ash Silo</t>
  </si>
  <si>
    <t>Bottom Ash Silo</t>
  </si>
  <si>
    <t>Clarifier A</t>
  </si>
  <si>
    <t>Clarifier B</t>
  </si>
  <si>
    <t xml:space="preserve">Bridges </t>
  </si>
  <si>
    <t>43'</t>
  </si>
  <si>
    <t>1 Slabs</t>
  </si>
  <si>
    <t xml:space="preserve">2 Slabs </t>
  </si>
  <si>
    <t>5'</t>
  </si>
  <si>
    <t>0 Slabs</t>
  </si>
  <si>
    <t>-</t>
  </si>
  <si>
    <t>RR Stone Masonry with concrete piller and beams 450mm width</t>
  </si>
  <si>
    <t>Boundary Walls in RM</t>
  </si>
  <si>
    <t>1 slab</t>
  </si>
  <si>
    <t>18'00"</t>
  </si>
  <si>
    <t>Main Store for CHP &amp; AHP</t>
  </si>
  <si>
    <t>Material Storage shed CHP</t>
  </si>
  <si>
    <t>Nos</t>
  </si>
  <si>
    <t>Total Area ( In Sq.mtr)</t>
  </si>
  <si>
    <t>2 Slabs</t>
  </si>
  <si>
    <t>101'2"</t>
  </si>
  <si>
    <t>Earth Bund with Bitumen mat topping</t>
  </si>
  <si>
    <t>118'</t>
  </si>
  <si>
    <t>Roads in KM</t>
  </si>
  <si>
    <t>Drians in KM</t>
  </si>
  <si>
    <t>Bitumen / WBM Raods</t>
  </si>
  <si>
    <t xml:space="preserve">RCC raft &amp; wall </t>
  </si>
  <si>
    <t>Mack Building</t>
  </si>
  <si>
    <t>Material Movement Road</t>
  </si>
  <si>
    <t>Bituminious concrete road</t>
  </si>
  <si>
    <t>Plant Internal Road</t>
  </si>
  <si>
    <t>Plant Periferial road</t>
  </si>
  <si>
    <t>WBM Road</t>
  </si>
  <si>
    <t>DBM Road</t>
  </si>
  <si>
    <t>Plant internal road</t>
  </si>
  <si>
    <t>Bouleward Inside Road</t>
  </si>
  <si>
    <t>GSB Road</t>
  </si>
  <si>
    <t>Bouleward outside Road</t>
  </si>
  <si>
    <t>Culverts</t>
  </si>
  <si>
    <t>12'</t>
  </si>
  <si>
    <t>Nallah Lining</t>
  </si>
  <si>
    <t>Watch Towers</t>
  </si>
  <si>
    <t>Stock Pile</t>
  </si>
  <si>
    <t>1slab</t>
  </si>
  <si>
    <t>service water tank</t>
  </si>
  <si>
    <t>2 slab</t>
  </si>
  <si>
    <t>30'</t>
  </si>
  <si>
    <t>Sewage Treatment Plant</t>
  </si>
  <si>
    <t>33'2"</t>
  </si>
  <si>
    <t>18'5"</t>
  </si>
  <si>
    <t>Construction water tank</t>
  </si>
  <si>
    <t>Desalinated Tank</t>
  </si>
  <si>
    <t>21'2"</t>
  </si>
  <si>
    <t>Clarrifier Tank</t>
  </si>
  <si>
    <t>13'4"</t>
  </si>
  <si>
    <t>sea water intake line (GRP)</t>
  </si>
  <si>
    <t>9'</t>
  </si>
  <si>
    <t>Sea water outfall line (GRP)</t>
  </si>
  <si>
    <t>Intake line( Well to PH) HDPE)</t>
  </si>
  <si>
    <t>RCC Foundations, MS structural beams &amp;coloumns,Floor beams with deck sheet &amp; RCC slab / Wall- semi unitized Glass and HF panels / Roof- llyods profile sheet with insulation, side wall- brick wall with vitrified tiles.</t>
  </si>
  <si>
    <t>RCC Foundations, MS structural beams &amp;coloumns,Floor beams with deck sheet &amp; RCC slab, granolithic flooring / Wall- semi unitized Glass and HF panels / Roof- llyods profile sheet with insulation, side wall- brick wall with plastering and painting.</t>
  </si>
  <si>
    <t xml:space="preserve">Common Toilet </t>
  </si>
  <si>
    <t xml:space="preserve">Good </t>
  </si>
  <si>
    <t xml:space="preserve">Labour Dining Hall </t>
  </si>
  <si>
    <t xml:space="preserve">Plain Tin shed roof mounted on iron pillars, trusses frame structure with Sheet wall cladding  </t>
  </si>
  <si>
    <t>Building</t>
  </si>
  <si>
    <t>Development</t>
  </si>
  <si>
    <t>Type</t>
  </si>
  <si>
    <t>Eco Life</t>
  </si>
  <si>
    <t>Sal Value</t>
  </si>
  <si>
    <t>GCRC</t>
  </si>
  <si>
    <t>Depreciation</t>
  </si>
  <si>
    <t>Road</t>
  </si>
  <si>
    <t>Tank/Silo</t>
  </si>
  <si>
    <t>Bridge/Culverts/Drain Boundary Wall Etc.</t>
  </si>
  <si>
    <t>DRC</t>
  </si>
  <si>
    <t>Particulars</t>
  </si>
  <si>
    <t>Total</t>
  </si>
  <si>
    <t>Row Labels</t>
  </si>
  <si>
    <t>(blank)</t>
  </si>
  <si>
    <t>Grand Total</t>
  </si>
  <si>
    <t>Sum of GCRC</t>
  </si>
  <si>
    <t>Sum of Current Depreciated Market Value</t>
  </si>
  <si>
    <t>P&amp;M</t>
  </si>
  <si>
    <t>Land</t>
  </si>
  <si>
    <t>Per MW</t>
  </si>
  <si>
    <t>total</t>
  </si>
  <si>
    <t>Discount</t>
  </si>
  <si>
    <t>Final</t>
  </si>
  <si>
    <t>Valuation-2018</t>
  </si>
  <si>
    <t>FMV</t>
  </si>
  <si>
    <t>RV</t>
  </si>
  <si>
    <t>DV</t>
  </si>
  <si>
    <t>LV</t>
  </si>
  <si>
    <t>Rs. Cr.</t>
  </si>
  <si>
    <t>Value</t>
  </si>
  <si>
    <t>Fair Value</t>
  </si>
  <si>
    <t>Realizable Value</t>
  </si>
  <si>
    <t>Distress value</t>
  </si>
  <si>
    <t>Liquidation Value</t>
  </si>
  <si>
    <t>Diff</t>
  </si>
  <si>
    <t>SUB Critical</t>
  </si>
  <si>
    <t>Ultra Critical</t>
  </si>
  <si>
    <t>After EO&amp;TO</t>
  </si>
  <si>
    <t>Er. P. Senthoor Pandian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</si>
</sst>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[$Rs.-4009]\ * #,##0.00_ ;_ [$Rs.-4009]\ * \-#,##0.00_ ;_ [$Rs.-4009]\ * &quot;-&quot;??_ ;_ @_ "/>
    <numFmt numFmtId="165" formatCode="_ * #,##0_ ;_ * \-#,##0_ ;_ * &quot;-&quot;??_ ;_ @_ "/>
    <numFmt numFmtId="166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3" fillId="3" borderId="1" xfId="1" applyFont="1" applyFill="1" applyBorder="1" applyAlignment="1">
      <alignment horizontal="left" vertical="center" wrapText="1"/>
    </xf>
    <xf numFmtId="2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165" fontId="1" fillId="2" borderId="1" xfId="2" applyNumberFormat="1" applyFont="1" applyFill="1" applyBorder="1" applyAlignment="1">
      <alignment horizontal="center" vertical="center" wrapText="1"/>
    </xf>
    <xf numFmtId="165" fontId="0" fillId="0" borderId="1" xfId="2" applyNumberFormat="1" applyFont="1" applyBorder="1" applyAlignment="1">
      <alignment horizontal="center" vertical="center"/>
    </xf>
    <xf numFmtId="165" fontId="0" fillId="4" borderId="1" xfId="2" applyNumberFormat="1" applyFont="1" applyFill="1" applyBorder="1" applyAlignment="1">
      <alignment horizontal="center" vertical="center"/>
    </xf>
    <xf numFmtId="165" fontId="0" fillId="0" borderId="0" xfId="2" applyNumberFormat="1" applyFont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2" fontId="0" fillId="5" borderId="1" xfId="0" applyNumberFormat="1" applyFont="1" applyFill="1" applyBorder="1" applyAlignment="1">
      <alignment horizontal="center" vertical="center"/>
    </xf>
    <xf numFmtId="165" fontId="0" fillId="5" borderId="1" xfId="2" applyNumberFormat="1" applyFon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center" wrapText="1"/>
    </xf>
    <xf numFmtId="9" fontId="0" fillId="0" borderId="1" xfId="3" applyFont="1" applyBorder="1" applyAlignment="1">
      <alignment horizontal="center" vertical="center"/>
    </xf>
    <xf numFmtId="43" fontId="0" fillId="0" borderId="0" xfId="2" applyFont="1"/>
    <xf numFmtId="165" fontId="0" fillId="0" borderId="0" xfId="2" applyNumberFormat="1" applyFont="1"/>
    <xf numFmtId="9" fontId="0" fillId="5" borderId="1" xfId="3" applyFont="1" applyFill="1" applyBorder="1" applyAlignment="1">
      <alignment horizontal="center" vertical="center"/>
    </xf>
    <xf numFmtId="165" fontId="0" fillId="0" borderId="0" xfId="2" applyNumberFormat="1" applyFont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6" fillId="0" borderId="0" xfId="0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5" fillId="6" borderId="0" xfId="0" applyFont="1" applyFill="1" applyAlignment="1">
      <alignment horizontal="center" vertical="center"/>
    </xf>
    <xf numFmtId="165" fontId="5" fillId="6" borderId="0" xfId="2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right" vertical="center"/>
    </xf>
    <xf numFmtId="165" fontId="1" fillId="7" borderId="0" xfId="2" applyNumberFormat="1" applyFont="1" applyFill="1"/>
    <xf numFmtId="0" fontId="0" fillId="0" borderId="0" xfId="0" pivotButton="1"/>
    <xf numFmtId="165" fontId="0" fillId="0" borderId="0" xfId="0" applyNumberFormat="1"/>
    <xf numFmtId="10" fontId="0" fillId="0" borderId="0" xfId="3" applyNumberFormat="1" applyFont="1"/>
    <xf numFmtId="165" fontId="1" fillId="0" borderId="0" xfId="2" applyNumberFormat="1" applyFont="1"/>
    <xf numFmtId="0" fontId="1" fillId="0" borderId="0" xfId="0" applyFont="1"/>
    <xf numFmtId="43" fontId="0" fillId="0" borderId="0" xfId="0" applyNumberFormat="1"/>
    <xf numFmtId="9" fontId="0" fillId="0" borderId="0" xfId="0" applyNumberFormat="1"/>
    <xf numFmtId="9" fontId="0" fillId="0" borderId="0" xfId="3" applyFont="1"/>
    <xf numFmtId="9" fontId="0" fillId="0" borderId="0" xfId="2" applyNumberFormat="1" applyFont="1"/>
    <xf numFmtId="165" fontId="1" fillId="0" borderId="0" xfId="2" applyNumberFormat="1" applyFont="1" applyAlignment="1">
      <alignment horizontal="center" vertical="center"/>
    </xf>
    <xf numFmtId="165" fontId="0" fillId="0" borderId="0" xfId="2" applyNumberFormat="1" applyFont="1" applyAlignment="1">
      <alignment horizontal="right" vertical="center"/>
    </xf>
    <xf numFmtId="43" fontId="0" fillId="0" borderId="0" xfId="2" applyNumberFormat="1" applyFont="1"/>
    <xf numFmtId="0" fontId="1" fillId="8" borderId="0" xfId="0" applyFont="1" applyFill="1" applyAlignment="1">
      <alignment horizontal="center"/>
    </xf>
  </cellXfs>
  <cellStyles count="5">
    <cellStyle name="Comma" xfId="2" builtinId="3"/>
    <cellStyle name="Comma 5" xfId="4"/>
    <cellStyle name="Normal" xfId="0" builtinId="0"/>
    <cellStyle name="Normal 2" xfId="1"/>
    <cellStyle name="Percent" xfId="3" builtinId="5"/>
  </cellStyles>
  <dxfs count="2">
    <dxf>
      <numFmt numFmtId="165" formatCode="_ * #,##0_ ;_ * \-#,##0_ ;_ * &quot;-&quot;??_ ;_ @_ "/>
    </dxf>
    <dxf>
      <numFmt numFmtId="165" formatCode="_ * #,##0_ ;_ * \-#,##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22</xdr:row>
      <xdr:rowOff>179838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151" t="9407" r="3559" b="1223"/>
        <a:stretch/>
      </xdr:blipFill>
      <xdr:spPr>
        <a:xfrm>
          <a:off x="0" y="0"/>
          <a:ext cx="6372225" cy="43708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EPL_FAR_Working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3"/>
      <sheetName val="Working"/>
      <sheetName val="SVEL"/>
      <sheetName val="Cat-3"/>
      <sheetName val="Cat-4"/>
      <sheetName val="Sheet1"/>
      <sheetName val="Sheet4"/>
    </sheetNames>
    <sheetDataSet>
      <sheetData sheetId="0" refreshError="1"/>
      <sheetData sheetId="1" refreshError="1"/>
      <sheetData sheetId="2">
        <row r="3">
          <cell r="AK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229.557222337964" createdVersion="5" refreshedVersion="5" minRefreshableVersion="3" recordCount="114">
  <cacheSource type="worksheet">
    <worksheetSource ref="A2:R116" sheet="Building Sheet"/>
  </cacheSource>
  <cacheFields count="18">
    <cacheField name="S.No." numFmtId="0">
      <sharedItems containsString="0" containsBlank="1" containsNumber="1" containsInteger="1" minValue="1" maxValue="82"/>
    </cacheField>
    <cacheField name="Block Name" numFmtId="0">
      <sharedItems containsBlank="1"/>
    </cacheField>
    <cacheField name="Total Slabs/ Floors" numFmtId="0">
      <sharedItems containsBlank="1"/>
    </cacheField>
    <cacheField name="Floor wise Height (ft.)" numFmtId="0">
      <sharedItems containsBlank="1"/>
    </cacheField>
    <cacheField name="Year of construction" numFmtId="0">
      <sharedItems containsBlank="1" containsMixedTypes="1" containsNumber="1" containsInteger="1" minValue="2009" maxValue="2018"/>
    </cacheField>
    <cacheField name="Type" numFmtId="0">
      <sharedItems containsBlank="1" count="5">
        <s v="Building"/>
        <s v="Tank/Silo"/>
        <m/>
        <s v="Road"/>
        <s v="Development"/>
      </sharedItems>
    </cacheField>
    <cacheField name="Type of construction     (select from drop down)" numFmtId="0">
      <sharedItems containsBlank="1"/>
    </cacheField>
    <cacheField name="Structure condition" numFmtId="0">
      <sharedItems containsBlank="1"/>
    </cacheField>
    <cacheField name="Nos" numFmtId="0">
      <sharedItems containsString="0" containsBlank="1" containsNumber="1" containsInteger="1" minValue="1" maxValue="8"/>
    </cacheField>
    <cacheField name="Area (in sq. mtr.)" numFmtId="165">
      <sharedItems containsString="0" containsBlank="1" containsNumber="1" minValue="18" maxValue="277772"/>
    </cacheField>
    <cacheField name="Total Area ( In Sq.mtr)" numFmtId="165">
      <sharedItems containsString="0" containsBlank="1" containsNumber="1" minValue="0" maxValue="80000"/>
    </cacheField>
    <cacheField name="Area (sq. fts.)" numFmtId="165">
      <sharedItems containsBlank="1" containsMixedTypes="1" containsNumber="1" minValue="193.5" maxValue="2986049"/>
    </cacheField>
    <cacheField name="Eco Life" numFmtId="165">
      <sharedItems containsString="0" containsBlank="1" containsNumber="1" containsInteger="1" minValue="0" maxValue="30"/>
    </cacheField>
    <cacheField name="Sal Value" numFmtId="0">
      <sharedItems containsString="0" containsBlank="1" containsNumber="1" minValue="0" maxValue="0.95"/>
    </cacheField>
    <cacheField name="Rates Adopted per sq. ft." numFmtId="165">
      <sharedItems containsString="0" containsBlank="1" containsNumber="1" containsInteger="1" minValue="50" maxValue="3000"/>
    </cacheField>
    <cacheField name="GCRC" numFmtId="165">
      <sharedItems containsString="0" containsBlank="1" containsNumber="1" minValue="193500" maxValue="190000000"/>
    </cacheField>
    <cacheField name="Depreciation" numFmtId="165">
      <sharedItems containsString="0" containsBlank="1" containsNumber="1" minValue="42892.499999999993" maxValue="42551198.249999993"/>
    </cacheField>
    <cacheField name="Current Depreciated Market Value" numFmtId="165">
      <sharedItems containsString="0" containsBlank="1" containsNumber="1" minValue="150607.5" maxValue="106751251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">
  <r>
    <n v="1"/>
    <s v="GIS Building - Hall"/>
    <s v="1 Slabs / 1 Floors"/>
    <s v="56'2&quot;"/>
    <n v="2012"/>
    <x v="0"/>
    <s v="RCC Foundations, MS structural beams &amp;coloumns,Floor beams with deck sheet &amp; RCC slab / Wall- semi unitized Glass and HF panels / Roof- llyods profile sheet with insulation, side wall- brick wall with vitrified tiles."/>
    <s v="Very Good"/>
    <n v="1"/>
    <n v="502.46070000000003"/>
    <n v="502.46070000000003"/>
    <n v="5401.4525250000006"/>
    <n v="30"/>
    <n v="0.95"/>
    <n v="1800"/>
    <n v="9722614.5450000018"/>
    <n v="3386710.7331750002"/>
    <n v="6335903.8118250016"/>
  </r>
  <r>
    <m/>
    <s v="GIS Building - GF "/>
    <s v="1 Slabs / 1 Floors"/>
    <s v="14'6&quot;"/>
    <n v="2012"/>
    <x v="0"/>
    <s v="RCC load bearing structure on beam column and 9&quot; brick walls"/>
    <s v="Very Good"/>
    <n v="1"/>
    <n v="323.52702000000005"/>
    <n v="323.52702000000005"/>
    <n v="3477.9154650000005"/>
    <n v="30"/>
    <n v="0.95"/>
    <n v="1400"/>
    <n v="4869081.6510000005"/>
    <n v="1696063.4417649999"/>
    <n v="3173018.2092350004"/>
  </r>
  <r>
    <m/>
    <s v="GIS Building - FF"/>
    <s v="1 Slabs / 1 Floors"/>
    <s v="9'8&quot;"/>
    <n v="2012"/>
    <x v="0"/>
    <s v="RCC load bearing structure on beam column and 9&quot; brick walls"/>
    <s v="Very Good"/>
    <n v="1"/>
    <n v="323.52702000000005"/>
    <n v="323.52702000000005"/>
    <n v="3477.9154650000005"/>
    <n v="30"/>
    <n v="0.95"/>
    <n v="1400"/>
    <n v="4869081.6510000005"/>
    <n v="1696063.4417649999"/>
    <n v="3173018.2092350004"/>
  </r>
  <r>
    <m/>
    <s v="GIS Building - SF"/>
    <s v="2 Slabs / 1 Floors"/>
    <s v="31'4&quot;"/>
    <n v="2012"/>
    <x v="0"/>
    <s v="Plain Tin shed roof mounted on iron pillars, trusses frame structure resting on brick wall"/>
    <s v="Very Good"/>
    <n v="1"/>
    <n v="323.52702000000005"/>
    <n v="323.52702000000005"/>
    <n v="3477.9154650000005"/>
    <n v="30"/>
    <n v="0.95"/>
    <n v="1400"/>
    <n v="4869081.6510000005"/>
    <n v="1696063.4417649999"/>
    <n v="3173018.2092350004"/>
  </r>
  <r>
    <n v="2"/>
    <s v="Station Building GF"/>
    <s v="1 Slabs/ 1 Floors"/>
    <s v="22'5&quot;"/>
    <n v="2014"/>
    <x v="0"/>
    <s v="RCC Foundations, MS structural beams &amp;coloumns,Floor beams with deck sheet &amp; RCC slab, granolithic flooring / Wall- semi unitized Glass and HF panels / Roof- llyods profile sheet with insulation, side wall- brick wall with plastering and painting."/>
    <s v="Very Good"/>
    <n v="2"/>
    <n v="5509.2442999999994"/>
    <n v="11018.488599999999"/>
    <n v="59224.376224999993"/>
    <n v="30"/>
    <n v="0.95"/>
    <n v="1600"/>
    <n v="94759001.959999993"/>
    <n v="27006315.558599994"/>
    <n v="67752686.4014"/>
  </r>
  <r>
    <m/>
    <s v="Station Building EDR/LP Floor"/>
    <s v="1 Slabs/ 1 Floors"/>
    <s v="22'5&quot;"/>
    <n v="2014"/>
    <x v="0"/>
    <s v="RCC load bearing structure on beam column and 9&quot; brick walls"/>
    <s v="Very Good"/>
    <n v="2"/>
    <n v="5509.2442999999994"/>
    <n v="11018.488599999999"/>
    <n v="59224.376224999993"/>
    <n v="30"/>
    <n v="0.95"/>
    <n v="1800"/>
    <n v="106603877.20499998"/>
    <n v="30382105.003424995"/>
    <n v="76221772.201574981"/>
  </r>
  <r>
    <m/>
    <s v="Station Building TG Floor"/>
    <s v="1 Slabs/ 1 Floors"/>
    <s v="62'7&quot;"/>
    <n v="2014"/>
    <x v="0"/>
    <s v="Glass facade on RCC steel frame"/>
    <s v="Very Good"/>
    <n v="2"/>
    <n v="3270.5459999999994"/>
    <n v="6541.0919999999987"/>
    <n v="35158.369499999993"/>
    <n v="30"/>
    <n v="0.95"/>
    <n v="1800"/>
    <n v="63285065.099999987"/>
    <n v="18036243.553499993"/>
    <n v="45248821.546499997"/>
  </r>
  <r>
    <m/>
    <s v="Station Building HP Floor"/>
    <s v="1 Slabs/ 1 Floors"/>
    <s v="40'"/>
    <n v="2014"/>
    <x v="0"/>
    <s v="RCC load bearing structure on beam column and 9&quot; brick walls"/>
    <s v="Very Good"/>
    <n v="2"/>
    <n v="1243.19"/>
    <n v="2486.38"/>
    <n v="13364.292500000001"/>
    <n v="30"/>
    <n v="0.95"/>
    <n v="1800"/>
    <n v="24055726.500000004"/>
    <n v="6855882.0525000002"/>
    <n v="17199844.447500005"/>
  </r>
  <r>
    <m/>
    <s v="Station Building DEREATOR Floor"/>
    <s v="1 Slabs/ 1 Floors"/>
    <s v="32'5&quot;"/>
    <n v="2014"/>
    <x v="0"/>
    <s v="Plain Tin shed roof mounted on iron pillars, trusses frame structure resting on brick wall"/>
    <s v="Very Good"/>
    <n v="2"/>
    <n v="1243.19"/>
    <n v="2486.38"/>
    <n v="13364.292500000001"/>
    <n v="30"/>
    <n v="0.95"/>
    <n v="1400"/>
    <n v="18710009.500000004"/>
    <n v="5332352.7074999996"/>
    <n v="13377656.792500004"/>
  </r>
  <r>
    <m/>
    <s v="Station Building Trippler Floor"/>
    <s v="2 Slabs/ 1 Floors"/>
    <s v="32'5&quot;"/>
    <n v="2014"/>
    <x v="0"/>
    <s v="Plain Tin shed roof mounted on iron pillars, trusses frame structure resting on brick wall"/>
    <s v="Very Good"/>
    <n v="2"/>
    <n v="1243.19"/>
    <n v="2486.38"/>
    <n v="13364.292500000001"/>
    <n v="30"/>
    <n v="0.95"/>
    <n v="1400"/>
    <n v="18710009.500000004"/>
    <n v="5332352.7074999996"/>
    <n v="13377656.792500004"/>
  </r>
  <r>
    <n v="3"/>
    <s v="Main Control Building UGF "/>
    <s v="1 Slabs / 1 Floors"/>
    <s v="11'3&quot;"/>
    <n v="2014"/>
    <x v="0"/>
    <s v="RCC Foundations, MS structural beams &amp;coloumns,Floor beams with deck sheet &amp; RCC slab, granolithic flooring / Wall- semi unitized Glass and HF panels / Roof- llyods profile sheet with insulation, side wall- brick wall with plastering and painting."/>
    <s v="Very Good"/>
    <n v="1"/>
    <n v="2096.66"/>
    <n v="2096.66"/>
    <n v="22539.094999999998"/>
    <n v="30"/>
    <n v="0.95"/>
    <n v="1400"/>
    <n v="31554732.999999996"/>
    <n v="8993098.9049999975"/>
    <n v="22561634.094999999"/>
  </r>
  <r>
    <m/>
    <s v="Main Control Building GF "/>
    <s v="1 Slabs / 1 Floors"/>
    <s v="16'3&quot;"/>
    <n v="2014"/>
    <x v="0"/>
    <s v="RCC load bearing structure on beam column and 9&quot; brick walls"/>
    <s v="Very Good"/>
    <n v="1"/>
    <n v="2097.924"/>
    <n v="2097.924"/>
    <n v="22552.683000000001"/>
    <n v="30"/>
    <n v="0.95"/>
    <n v="1600"/>
    <n v="36084292.800000004"/>
    <n v="10284023.447999999"/>
    <n v="25800269.352000006"/>
  </r>
  <r>
    <m/>
    <s v="Main Control Building FF "/>
    <s v="1 Slabs / 1 Floors"/>
    <s v="11'7&quot;"/>
    <n v="2014"/>
    <x v="0"/>
    <s v="RCC load bearing structure on beam column and 9&quot; brick walls"/>
    <s v="Very Good"/>
    <n v="1"/>
    <n v="2097.924"/>
    <n v="2097.924"/>
    <n v="22552.683000000001"/>
    <n v="30"/>
    <n v="0.95"/>
    <n v="1400"/>
    <n v="31573756.200000003"/>
    <n v="8998520.5170000009"/>
    <n v="22575235.683000002"/>
  </r>
  <r>
    <m/>
    <s v="Main Control Building SF CG"/>
    <s v="1 Slabs / 1 Floors"/>
    <s v="10'4&quot;"/>
    <n v="2014"/>
    <x v="0"/>
    <s v="RCC load bearing structure on beam column and 9&quot; brick walls"/>
    <s v="Very Good"/>
    <n v="1"/>
    <n v="2097.924"/>
    <n v="2097.924"/>
    <n v="22552.683000000001"/>
    <n v="30"/>
    <n v="0.95"/>
    <n v="1400"/>
    <n v="31573756.200000003"/>
    <n v="8998520.5170000009"/>
    <n v="22575235.683000002"/>
  </r>
  <r>
    <m/>
    <s v="Main Control Building TF CCR"/>
    <s v="2 Slabs / 1 Floors"/>
    <s v="14'7&quot;"/>
    <n v="2014"/>
    <x v="0"/>
    <s v="RCC load bearing structure on beam column and 9&quot; brick walls"/>
    <s v="Very Good"/>
    <n v="1"/>
    <n v="2097.924"/>
    <n v="2097.924"/>
    <n v="22552.683000000001"/>
    <n v="30"/>
    <n v="0.95"/>
    <n v="1400"/>
    <n v="31573756.200000003"/>
    <n v="8998520.5170000009"/>
    <n v="22575235.683000002"/>
  </r>
  <r>
    <m/>
    <s v="Main Control Building FF Conf."/>
    <s v="1 Slabs / 1 Floors"/>
    <s v="14'7&quot;"/>
    <n v="2014"/>
    <x v="0"/>
    <s v="RCC load bearing structure on beam column and 9&quot; brick walls"/>
    <s v="Very Good"/>
    <n v="1"/>
    <n v="2124.9420000000005"/>
    <n v="2124.9420000000005"/>
    <n v="22843.126500000006"/>
    <n v="30"/>
    <n v="0.95"/>
    <n v="1400"/>
    <n v="31980377.100000009"/>
    <n v="9114407.4735000022"/>
    <n v="22865969.626500007"/>
  </r>
  <r>
    <m/>
    <s v="Main Control Building FF AWR."/>
    <s v="2 Slabs / 1 Floors"/>
    <s v="20'5&quot;"/>
    <n v="2014"/>
    <x v="0"/>
    <s v="RCC load bearing structure on beam column and 9&quot; brick walls"/>
    <s v="Very Good"/>
    <n v="1"/>
    <n v="97.960000000000008"/>
    <n v="97.960000000000008"/>
    <n v="1053.0700000000002"/>
    <n v="30"/>
    <n v="0.95"/>
    <n v="1800"/>
    <n v="1895526.0000000002"/>
    <n v="540224.91"/>
    <n v="1355301.0900000003"/>
  </r>
  <r>
    <n v="4"/>
    <s v="ESP Control Building GF"/>
    <s v="1 Slabs / 1 Floors"/>
    <s v="16'3&quot;"/>
    <n v="2012"/>
    <x v="0"/>
    <s v="RCC Foundations, MS structural beams &amp;coloumns,Floor beams with deck sheet &amp; RCC slab, granolithic flooring / Wall- semi unitized Glass and HF panels / Roof- llyods profile sheet with insulation, side wall- brick wall with plastering and painting."/>
    <s v="Very Good"/>
    <n v="1"/>
    <n v="1175.04"/>
    <n v="1175.04"/>
    <n v="12631.68"/>
    <n v="30"/>
    <n v="0.95"/>
    <n v="1600"/>
    <n v="20210688"/>
    <n v="7040056.3199999984"/>
    <n v="13170631.680000002"/>
  </r>
  <r>
    <m/>
    <s v="FF Gabel Gallery"/>
    <s v="1 Slabs / 1 Floors"/>
    <s v="13'"/>
    <n v="2012"/>
    <x v="0"/>
    <s v="RCC load bearing structure on beam column and 9&quot; brick walls"/>
    <s v="Very Good"/>
    <n v="1"/>
    <n v="1175.04"/>
    <n v="1175.04"/>
    <n v="12631.68"/>
    <n v="30"/>
    <n v="0.95"/>
    <n v="1400"/>
    <n v="17684352"/>
    <n v="6160049.2799999993"/>
    <n v="11524302.720000001"/>
  </r>
  <r>
    <m/>
    <s v="Control Room"/>
    <s v="2 Slabs / 1 Floors"/>
    <s v="19'5&quot;"/>
    <n v="2012"/>
    <x v="0"/>
    <s v="RCC load bearing structure on beam column and 9&quot; brick walls"/>
    <s v="Very Good"/>
    <n v="1"/>
    <n v="1175.04"/>
    <n v="1175.04"/>
    <n v="12631.68"/>
    <n v="30"/>
    <n v="0.95"/>
    <n v="1600"/>
    <n v="20210688"/>
    <n v="7040056.3199999984"/>
    <n v="13170631.680000002"/>
  </r>
  <r>
    <m/>
    <s v="AW Room"/>
    <s v="1 Slabs / 1 Floors"/>
    <s v="16'3&quot;"/>
    <n v="2012"/>
    <x v="0"/>
    <s v="RCC load bearing structure on beam column and 9&quot; brick walls"/>
    <s v="Very Good"/>
    <n v="1"/>
    <n v="501.12"/>
    <n v="501.12"/>
    <n v="5387.04"/>
    <n v="30"/>
    <n v="0.95"/>
    <n v="1600"/>
    <n v="8619264"/>
    <n v="3002376.96"/>
    <n v="5616887.04"/>
  </r>
  <r>
    <n v="5"/>
    <s v="CEMS Building"/>
    <s v="2 Slab / 1 Floor"/>
    <s v="12'6&quot;"/>
    <n v="2014"/>
    <x v="0"/>
    <s v="RCC load bearing structure on beam column and 9&quot; brick walls"/>
    <s v="Very Good"/>
    <n v="1"/>
    <n v="61.622499999999995"/>
    <n v="61.622499999999995"/>
    <n v="662.44187499999998"/>
    <n v="30"/>
    <n v="0.95"/>
    <n v="1400"/>
    <n v="927418.625"/>
    <n v="264314.30812499998"/>
    <n v="663104.31687500002"/>
  </r>
  <r>
    <n v="6"/>
    <s v="Compressor House"/>
    <s v="2 Slab / 1 Floor"/>
    <s v="36'5&quot;"/>
    <n v="2013"/>
    <x v="0"/>
    <s v="RCC Foundations, MS structural beams &amp;coloumns,Floor beams with deck sheet &amp; RCC slab, granolithic flooring / Wall- semi unitized Glass and HF panels / Roof- llyods profile sheet with insulation, side wall- brick wall with plastering and painting."/>
    <s v="Very Good"/>
    <n v="1"/>
    <n v="304.5"/>
    <n v="304.5"/>
    <n v="3273.375"/>
    <n v="30"/>
    <n v="0.95"/>
    <n v="1800"/>
    <n v="5892075"/>
    <n v="1865823.7499999998"/>
    <n v="4026251.25"/>
  </r>
  <r>
    <m/>
    <m/>
    <s v="2 Slab / 1 Floor"/>
    <s v="16'"/>
    <n v="2013"/>
    <x v="0"/>
    <s v="RCC load bearing structure on beam column and 9&quot; brick walls"/>
    <s v="Very Good"/>
    <n v="1"/>
    <n v="478.5"/>
    <n v="478.5"/>
    <n v="5143.875"/>
    <n v="30"/>
    <n v="0.95"/>
    <n v="1600"/>
    <n v="8230200"/>
    <n v="2606229.9999999995"/>
    <n v="5623970"/>
  </r>
  <r>
    <n v="7"/>
    <s v="Service Building "/>
    <s v="6 Slabs/6 Floors"/>
    <s v="14'8&quot;"/>
    <n v="2016"/>
    <x v="0"/>
    <s v="RCC load bearing structure on beam column and 9&quot; brick walls"/>
    <s v="Very Good"/>
    <n v="6"/>
    <n v="1174.3599999999999"/>
    <n v="7046.16"/>
    <n v="12624.369999999999"/>
    <n v="30"/>
    <n v="0.95"/>
    <n v="1400"/>
    <n v="17674118"/>
    <n v="3917762.8233333323"/>
    <n v="13756355.176666668"/>
  </r>
  <r>
    <n v="8"/>
    <s v="IDCT PMCC Building"/>
    <s v="2Slab / 1 Floor"/>
    <s v="16'4&quot;"/>
    <n v="2014"/>
    <x v="0"/>
    <s v="RCC load bearing structure on beam column and 9&quot; brick walls"/>
    <s v="Very Good"/>
    <n v="2"/>
    <n v="326.82"/>
    <n v="653.64"/>
    <n v="3513.3150000000001"/>
    <n v="30"/>
    <n v="0.95"/>
    <n v="1600"/>
    <n v="5621304"/>
    <n v="1602071.6399999997"/>
    <n v="4019232.3600000003"/>
  </r>
  <r>
    <n v="9"/>
    <s v="Sea Water Pump House"/>
    <s v="2Slab / 1 Floor"/>
    <s v="51'8&quot;"/>
    <n v="2012"/>
    <x v="0"/>
    <s v="Plain Tin shed roof mounted on iron pillars, trusses frame structure resting on brick wall"/>
    <s v="Very Good"/>
    <n v="1"/>
    <n v="648"/>
    <n v="648"/>
    <n v="6966"/>
    <n v="30"/>
    <n v="0.95"/>
    <n v="1600"/>
    <n v="11145600"/>
    <n v="3882383.9999999995"/>
    <n v="7263216"/>
  </r>
  <r>
    <m/>
    <m/>
    <s v="2Slab / 1 Floor"/>
    <s v="22'8&quot;"/>
    <n v="2012"/>
    <x v="0"/>
    <s v="RCC load bearing structure on beam column and 9&quot; brick walls"/>
    <s v="Very Good"/>
    <n v="1"/>
    <n v="457.56000000000006"/>
    <n v="457.56000000000006"/>
    <n v="4918.7700000000004"/>
    <n v="30"/>
    <n v="0.95"/>
    <n v="1800"/>
    <n v="8853786"/>
    <n v="3084068.7899999996"/>
    <n v="5769717.2100000009"/>
  </r>
  <r>
    <n v="10"/>
    <s v="CW Pump House Pump area"/>
    <s v="2slabs/1 Floor"/>
    <s v="65'6&quot;"/>
    <n v="2012"/>
    <x v="0"/>
    <s v="Plain Tin shed roof mounted on iron pillars, trusses frame structure resting on brick wall"/>
    <s v="Very Good"/>
    <n v="1"/>
    <n v="918"/>
    <n v="918"/>
    <n v="9868.5"/>
    <n v="30"/>
    <n v="0.95"/>
    <n v="1600"/>
    <n v="15789600"/>
    <n v="5500043.9999999991"/>
    <n v="10289556"/>
  </r>
  <r>
    <m/>
    <s v="Control Room"/>
    <s v="2slabs/1 Floor"/>
    <s v="27'7&quot;"/>
    <n v="2012"/>
    <x v="0"/>
    <s v="RCC load bearing structure on beam column and 9&quot; brick walls"/>
    <s v="Very Good"/>
    <n v="1"/>
    <n v="218.4"/>
    <n v="218.4"/>
    <n v="2347.8000000000002"/>
    <n v="30"/>
    <n v="0.95"/>
    <n v="1800"/>
    <n v="4226040"/>
    <n v="1472070.5999999996"/>
    <n v="2753969.4000000004"/>
  </r>
  <r>
    <n v="11"/>
    <s v="Over Head water Tank"/>
    <s v="2Slab / 1 Floor"/>
    <s v="131'00&quot;"/>
    <n v="2013"/>
    <x v="1"/>
    <s v="RCC load bearing structure on beam column and 9&quot; brick walls"/>
    <s v="Very Good"/>
    <n v="1"/>
    <n v="29.52"/>
    <n v="29.52"/>
    <n v="317.33999999999997"/>
    <n v="30"/>
    <n v="0.95"/>
    <n v="3000"/>
    <n v="952019.99999999988"/>
    <n v="301472.99999999994"/>
    <n v="650547"/>
  </r>
  <r>
    <m/>
    <s v="Water Treatment Plant"/>
    <m/>
    <m/>
    <m/>
    <x v="2"/>
    <m/>
    <m/>
    <m/>
    <m/>
    <m/>
    <m/>
    <m/>
    <m/>
    <m/>
    <m/>
    <m/>
    <m/>
  </r>
  <r>
    <n v="12"/>
    <s v="Switch Gear and Control Room"/>
    <s v="3Slabs/2 Floor"/>
    <s v="16'4&quot;/13'00&quot;"/>
    <n v="2013"/>
    <x v="0"/>
    <s v="RCC load bearing structure on beam column and 9&quot; brick walls"/>
    <s v="Very Good"/>
    <n v="1"/>
    <n v="999.59999999999991"/>
    <n v="999.59999999999991"/>
    <n v="10745.699999999999"/>
    <n v="30"/>
    <n v="0.95"/>
    <n v="1600"/>
    <n v="17193120"/>
    <n v="5444487.9999999991"/>
    <n v="11748632"/>
  </r>
  <r>
    <n v="13"/>
    <s v="RO - DM Building"/>
    <s v="2 Slab / 1 Floor"/>
    <s v="19'6&quot;"/>
    <n v="2012"/>
    <x v="0"/>
    <s v="RCC load bearing structure on beam column and 9&quot; brick walls"/>
    <s v="Very Good"/>
    <n v="1"/>
    <n v="1487.8555999999999"/>
    <n v="1487.8555999999999"/>
    <n v="15994.447699999999"/>
    <n v="30"/>
    <n v="0.95"/>
    <n v="1600"/>
    <n v="25591116.319999997"/>
    <n v="8914238.851466665"/>
    <n v="16676877.468533332"/>
  </r>
  <r>
    <n v="14"/>
    <s v="Fire Water/Desalinated Water Tranfer Pump House"/>
    <s v="2 Slab / 1 Floor"/>
    <s v="26'00&quot;"/>
    <n v="2013"/>
    <x v="0"/>
    <s v="RCC load bearing structure on beam column and 9&quot; brick walls"/>
    <s v="Very Good"/>
    <n v="1"/>
    <n v="373.27500000000003"/>
    <n v="373.27500000000003"/>
    <n v="4012.7062500000002"/>
    <n v="30"/>
    <n v="0.95"/>
    <n v="1800"/>
    <n v="7222871.25"/>
    <n v="2287242.5625"/>
    <n v="4935628.6875"/>
  </r>
  <r>
    <n v="15"/>
    <s v="Pump House for Clarified Water Storage Tank"/>
    <s v="2 Slab / 1 Floor"/>
    <s v="17'8&quot;"/>
    <n v="2012"/>
    <x v="0"/>
    <s v="RCC load bearing structure on beam column and 9&quot; brick walls"/>
    <s v="Very Good"/>
    <n v="1"/>
    <n v="310.39999999999998"/>
    <n v="310.39999999999998"/>
    <n v="3336.7999999999997"/>
    <n v="30"/>
    <n v="0.95"/>
    <n v="1600"/>
    <n v="5338880"/>
    <n v="1859709.8666666662"/>
    <n v="3479170.1333333338"/>
  </r>
  <r>
    <n v="16"/>
    <s v="CPU Building"/>
    <s v="2 Slab / 1 Floor"/>
    <s v="32'8&quot;"/>
    <n v="2012"/>
    <x v="0"/>
    <s v="RCC load bearing structure on beam column and 9&quot; brick walls"/>
    <s v="Very Good"/>
    <n v="1"/>
    <n v="112.88500000000001"/>
    <n v="112.88500000000001"/>
    <n v="1213.5137500000001"/>
    <n v="30"/>
    <n v="0.95"/>
    <n v="1800"/>
    <n v="2184324.75"/>
    <n v="760873.12124999985"/>
    <n v="1423451.6287500001"/>
  </r>
  <r>
    <n v="17"/>
    <s v="Electrolyzer Building"/>
    <s v="2 Slab / 1 Floor"/>
    <s v="19'6&quot;"/>
    <n v="2013"/>
    <x v="0"/>
    <s v="RCC load bearing structure on beam column and 9&quot; brick walls"/>
    <s v="Very Good"/>
    <n v="1"/>
    <n v="314.39999999999998"/>
    <n v="314.39999999999998"/>
    <n v="3379.7999999999997"/>
    <n v="30"/>
    <n v="0.95"/>
    <n v="1600"/>
    <n v="5407680"/>
    <n v="1712431.9999999998"/>
    <n v="3695248"/>
  </r>
  <r>
    <n v="18"/>
    <s v="Workshop Building"/>
    <s v="1 Slab/1Floor"/>
    <s v="12'00&quot;"/>
    <n v="2015"/>
    <x v="0"/>
    <s v="RB wall structure"/>
    <s v="Good"/>
    <n v="1"/>
    <n v="32"/>
    <n v="32"/>
    <n v="344"/>
    <n v="30"/>
    <n v="0.95"/>
    <n v="1400"/>
    <n v="481600"/>
    <n v="122005.33333333331"/>
    <n v="359594.66666666669"/>
  </r>
  <r>
    <n v="19"/>
    <s v="Chemical/Material Storage Building"/>
    <s v="1 Slab/1Floor"/>
    <s v="12'00&quot;"/>
    <n v="2015"/>
    <x v="0"/>
    <s v="GI shed roof mounted on iron pillars, trusses frame structure"/>
    <s v="Good"/>
    <n v="1"/>
    <n v="94.3"/>
    <n v="94.3"/>
    <n v="1013.725"/>
    <n v="30"/>
    <n v="0.95"/>
    <n v="1200"/>
    <n v="1216470"/>
    <n v="308172.39999999997"/>
    <n v="908297.60000000009"/>
  </r>
  <r>
    <m/>
    <s v="Coal Handling Plant"/>
    <m/>
    <m/>
    <m/>
    <x v="2"/>
    <m/>
    <m/>
    <m/>
    <m/>
    <m/>
    <m/>
    <m/>
    <m/>
    <m/>
    <m/>
    <m/>
    <m/>
  </r>
  <r>
    <n v="20"/>
    <s v="Track Hopper MH 1 &amp;2  TH 1"/>
    <s v="3 slabs/ 3Floors"/>
    <s v="60'00&quot;"/>
    <n v="2012"/>
    <x v="0"/>
    <s v="Plain Tin shed roof mounted on iron pillars, trusses frame structure resting on brick wall"/>
    <s v="Very Good"/>
    <n v="1"/>
    <n v="1274"/>
    <n v="1274"/>
    <n v="13695.5"/>
    <n v="30"/>
    <n v="0.95"/>
    <n v="1600"/>
    <n v="21912800"/>
    <n v="7632958.666666666"/>
    <n v="14279841.333333334"/>
  </r>
  <r>
    <n v="21"/>
    <s v="TH 2"/>
    <s v="4 Slabs / 3 Floors"/>
    <m/>
    <n v="2012"/>
    <x v="0"/>
    <s v="RCC load bearing structure on beam column and 9&quot; brick walls"/>
    <s v="Very Good"/>
    <n v="1"/>
    <n v="540"/>
    <n v="540"/>
    <n v="5805"/>
    <n v="30"/>
    <n v="0.95"/>
    <n v="1400"/>
    <n v="8127000"/>
    <n v="2830904.9999999995"/>
    <n v="5296095"/>
  </r>
  <r>
    <n v="22"/>
    <s v="MCC 2"/>
    <s v="2 slabs/ 1 Floor"/>
    <m/>
    <n v="2012"/>
    <x v="0"/>
    <s v="RCC load bearing structure on beam column and 9&quot; brick walls"/>
    <s v="Very Good"/>
    <n v="1"/>
    <n v="450"/>
    <n v="450"/>
    <n v="4837.5"/>
    <n v="30"/>
    <n v="0.95"/>
    <n v="1400"/>
    <n v="6772500"/>
    <n v="2359087.4999999995"/>
    <n v="4413412.5"/>
  </r>
  <r>
    <n v="23"/>
    <s v="PENT House"/>
    <s v="2 slabs/ 1 Floor"/>
    <m/>
    <n v="2012"/>
    <x v="0"/>
    <s v="RCC load bearing structure on beam column and 9&quot; brick walls"/>
    <s v="Very Good"/>
    <n v="1"/>
    <n v="144"/>
    <n v="144"/>
    <n v="1548"/>
    <n v="30"/>
    <n v="0.95"/>
    <n v="1400"/>
    <n v="2167200"/>
    <n v="754907.99999999988"/>
    <n v="1412292"/>
  </r>
  <r>
    <n v="24"/>
    <s v="Crusher House Building"/>
    <s v="6 Slabs/5 Floors"/>
    <s v="32'8&quot;/26'/15'7&quot;"/>
    <n v="2012"/>
    <x v="0"/>
    <s v="RCC load bearing structure on beam column and 9&quot; brick walls"/>
    <s v="Very Good"/>
    <n v="6"/>
    <n v="661.5"/>
    <n v="3969"/>
    <n v="7111.125"/>
    <n v="30"/>
    <n v="0.95"/>
    <n v="1800"/>
    <n v="12800025"/>
    <n v="4458675.3749999991"/>
    <n v="8341349.6250000009"/>
  </r>
  <r>
    <n v="25"/>
    <s v="CHP Control Building &amp; MCC 1, Pump House"/>
    <s v="3 Slabs/ 2 Floors"/>
    <m/>
    <n v="2012"/>
    <x v="0"/>
    <s v="RCC load bearing structure on beam column and 9&quot; brick walls"/>
    <s v="Very Good"/>
    <n v="1"/>
    <n v="800"/>
    <n v="800"/>
    <n v="8600"/>
    <n v="30"/>
    <n v="0.95"/>
    <n v="1400"/>
    <n v="12040000"/>
    <n v="4193933.333333333"/>
    <n v="7846066.666666667"/>
  </r>
  <r>
    <n v="26"/>
    <s v="Juntion Towers  1"/>
    <s v="3 Slabs / 3 Floors"/>
    <s v="185'3&quot;"/>
    <n v="2013"/>
    <x v="0"/>
    <s v="Plain Tin shed roof mounted on iron pillars, trusses frame structure resting on brick wall"/>
    <s v="Very Good"/>
    <n v="1"/>
    <n v="222.5"/>
    <n v="222.5"/>
    <n v="2391.875"/>
    <n v="30"/>
    <n v="0.95"/>
    <n v="1600"/>
    <n v="3827000"/>
    <n v="1211883.333333333"/>
    <n v="2615116.666666667"/>
  </r>
  <r>
    <n v="27"/>
    <s v="Juntion Towers 2"/>
    <s v="4 Slabs / 4 Floors"/>
    <s v="40'6&quot;"/>
    <n v="2013"/>
    <x v="0"/>
    <s v="Plain Tin shed roof mounted on iron pillars, trusses frame structure resting on brick wall"/>
    <s v="Very Good"/>
    <n v="1"/>
    <n v="79.95"/>
    <n v="79.95"/>
    <n v="859.46249999999998"/>
    <n v="30"/>
    <n v="0.95"/>
    <n v="1600"/>
    <n v="1375140"/>
    <n v="435460.99999999988"/>
    <n v="939679.00000000012"/>
  </r>
  <r>
    <n v="28"/>
    <s v="Juntion Towers 3"/>
    <s v="4 Slabs / 4 Floors"/>
    <s v="64'3&quot;"/>
    <n v="2013"/>
    <x v="0"/>
    <s v="Plain Tin shed roof mounted on iron pillars, trusses frame structure resting on brick wall"/>
    <s v="Very Good"/>
    <n v="1"/>
    <n v="209"/>
    <n v="209"/>
    <n v="2246.75"/>
    <n v="30"/>
    <n v="0.95"/>
    <n v="1600"/>
    <n v="3594800"/>
    <n v="1138353.333333333"/>
    <n v="2456446.666666667"/>
  </r>
  <r>
    <n v="29"/>
    <s v="Juntion Towers 4 &amp; 5"/>
    <s v="5 Slabs / 5 Floors"/>
    <s v="81'6&quot;"/>
    <n v="2013"/>
    <x v="0"/>
    <s v="Plain Tin shed roof mounted on iron pillars, trusses frame structure resting on brick wall"/>
    <s v="Very Good"/>
    <n v="1"/>
    <n v="455.40000000000003"/>
    <n v="455.40000000000003"/>
    <n v="4895.55"/>
    <n v="30"/>
    <n v="0.95"/>
    <n v="1600"/>
    <n v="7832880"/>
    <n v="2480411.9999999995"/>
    <n v="5352468"/>
  </r>
  <r>
    <n v="30"/>
    <s v="Drive House 1 &amp; 2"/>
    <s v="1 slabs/ 1 Floor"/>
    <s v="36&quot;6&quot;"/>
    <n v="2013"/>
    <x v="0"/>
    <s v="Plain Tin shed roof mounted on iron pillars, trusses frame structure resting on brick wall"/>
    <s v="Very Good"/>
    <n v="1"/>
    <n v="63.75"/>
    <n v="63.75"/>
    <n v="685.3125"/>
    <n v="30"/>
    <n v="0.95"/>
    <n v="1600"/>
    <n v="1096500"/>
    <n v="347224.99999999994"/>
    <n v="749275"/>
  </r>
  <r>
    <n v="31"/>
    <s v="CHP Switch Gear MCC -3 &amp; BVS Compressor House"/>
    <s v="2 Slabs/ 1 Floors"/>
    <m/>
    <n v="2012"/>
    <x v="0"/>
    <s v="RCC load bearing structure on beam column and 9&quot; brick walls"/>
    <s v="Very Good"/>
    <n v="1"/>
    <n v="450"/>
    <n v="450"/>
    <n v="4837.5"/>
    <n v="30"/>
    <n v="0.95"/>
    <n v="1400"/>
    <n v="6772500"/>
    <n v="2359087.4999999995"/>
    <n v="4413412.5"/>
  </r>
  <r>
    <n v="32"/>
    <s v="Stock Pile"/>
    <s v="1slab"/>
    <s v="-"/>
    <n v="2014"/>
    <x v="1"/>
    <m/>
    <s v="Very Good"/>
    <n v="4"/>
    <n v="20000"/>
    <n v="80000"/>
    <n v="215000"/>
    <n v="30"/>
    <n v="0.95"/>
    <m/>
    <m/>
    <m/>
    <m/>
  </r>
  <r>
    <n v="33"/>
    <s v="service water tank"/>
    <s v="2 slab"/>
    <s v="30'"/>
    <n v="2014"/>
    <x v="1"/>
    <s v="RCC load bearing structure on beam column and 9&quot; brick walls"/>
    <s v="Very Good"/>
    <n v="1"/>
    <n v="72"/>
    <n v="72"/>
    <n v="774"/>
    <n v="30"/>
    <n v="0.95"/>
    <n v="2000"/>
    <n v="1548000"/>
    <n v="441179.99999999994"/>
    <n v="1106820"/>
  </r>
  <r>
    <m/>
    <s v="Ash Handling Plant"/>
    <m/>
    <m/>
    <m/>
    <x v="2"/>
    <m/>
    <m/>
    <m/>
    <m/>
    <m/>
    <m/>
    <m/>
    <m/>
    <m/>
    <m/>
    <m/>
    <m/>
  </r>
  <r>
    <n v="34"/>
    <s v="Electrical Building"/>
    <s v="2 Slabs/ 1 Floors"/>
    <s v="16'8&quot;/11'8&quot;"/>
    <n v="2013"/>
    <x v="0"/>
    <s v="RCC load bearing structure on beam column and 9&quot; brick walls"/>
    <s v="Very Good"/>
    <n v="1"/>
    <n v="694.19999999999993"/>
    <n v="694.19999999999993"/>
    <n v="7462.65"/>
    <n v="30"/>
    <n v="0.95"/>
    <n v="1600"/>
    <n v="11940240"/>
    <n v="3781076"/>
    <n v="8159164"/>
  </r>
  <r>
    <n v="35"/>
    <s v="Compressor House"/>
    <s v="2 Slabs/ 1 Floors"/>
    <s v="33'00&quot;"/>
    <n v="2013"/>
    <x v="0"/>
    <s v="RCC load bearing structure on beam column and 9&quot; brick walls"/>
    <s v="Very Good"/>
    <n v="1"/>
    <n v="820"/>
    <n v="820"/>
    <n v="8815"/>
    <n v="30"/>
    <n v="0.95"/>
    <n v="1800"/>
    <n v="15867000"/>
    <n v="5024549.9999999991"/>
    <n v="10842450"/>
  </r>
  <r>
    <n v="36"/>
    <s v="Chemical Building A"/>
    <s v="3 Slabs/ 2 Floors"/>
    <s v="18'6&quot;/23'6&quot;"/>
    <n v="2013"/>
    <x v="0"/>
    <s v="RCC load bearing structure on beam column and 9&quot; brick walls"/>
    <s v="Very Good"/>
    <n v="1"/>
    <n v="218.93999999999997"/>
    <n v="218.93999999999997"/>
    <n v="2353.6049999999996"/>
    <n v="30"/>
    <n v="0.95"/>
    <n v="1600"/>
    <n v="3765767.9999999991"/>
    <n v="1192493.1999999995"/>
    <n v="2573274.7999999998"/>
  </r>
  <r>
    <n v="37"/>
    <s v="Chemical Building B"/>
    <s v="3 Slabs/ 2 Floors"/>
    <s v="18'6&quot;/23'6&quot;"/>
    <n v="2014"/>
    <x v="0"/>
    <s v="RCC load bearing structure on beam column and 9&quot; brick walls"/>
    <s v="Very Good"/>
    <n v="1"/>
    <n v="218.93999999999997"/>
    <n v="218.93999999999997"/>
    <n v="2353.6049999999996"/>
    <n v="30"/>
    <n v="0.95"/>
    <n v="1600"/>
    <n v="3765767.9999999991"/>
    <n v="1073243.8799999994"/>
    <n v="2692524.1199999996"/>
  </r>
  <r>
    <n v="38"/>
    <s v="FOPH Pump House /MCC"/>
    <s v="1 Slab / 1Floor"/>
    <s v="16'4&quot;/29'6&quot;"/>
    <n v="2014"/>
    <x v="0"/>
    <s v="Plain Tin shed roof mounted on iron pillars, trusses frame structure resting on brick wall"/>
    <s v="Very Good"/>
    <n v="1"/>
    <n v="1069.875"/>
    <n v="1069.875"/>
    <n v="11501.15625"/>
    <n v="30"/>
    <n v="0.95"/>
    <n v="1600"/>
    <n v="18401850"/>
    <n v="5244527.2499999991"/>
    <n v="13157322.75"/>
  </r>
  <r>
    <m/>
    <s v="Miscellaneous Buildings"/>
    <m/>
    <m/>
    <m/>
    <x v="2"/>
    <m/>
    <m/>
    <m/>
    <m/>
    <m/>
    <m/>
    <m/>
    <m/>
    <m/>
    <m/>
    <m/>
    <m/>
  </r>
  <r>
    <n v="39"/>
    <s v="Wear House"/>
    <s v="2Slab /1Floor"/>
    <s v="39'5&quot;"/>
    <n v="2011"/>
    <x v="0"/>
    <s v="Plain Tin shed roof mounted on iron pillars, trusses frame structure resting on brick wall"/>
    <s v="Very Good"/>
    <n v="1"/>
    <n v="1796.4375"/>
    <n v="1796.4375"/>
    <n v="19311.703125"/>
    <n v="30"/>
    <n v="0.95"/>
    <n v="1600"/>
    <n v="30898725"/>
    <n v="11741515.499999998"/>
    <n v="19157209.5"/>
  </r>
  <r>
    <n v="40"/>
    <s v="Insulation Shed"/>
    <s v="1 Slab/1Floor"/>
    <s v="16'4&quot;"/>
    <n v="2012"/>
    <x v="0"/>
    <s v="Plain Tin shed roof mounted on iron pillars, trusses frame structure resting on brick wall"/>
    <s v="Good"/>
    <n v="1"/>
    <n v="4831.75"/>
    <n v="4831.75"/>
    <n v="51941.3125"/>
    <n v="30"/>
    <n v="0.95"/>
    <n v="700"/>
    <n v="36358918.75"/>
    <n v="12665023.364583332"/>
    <n v="23693895.385416668"/>
  </r>
  <r>
    <n v="41"/>
    <s v="Gas Storage Building"/>
    <s v="1 Slab/1Floor"/>
    <m/>
    <n v="2016"/>
    <x v="0"/>
    <s v="Plain Tin shed roof mounted on iron pillars, trusses frame structure resting on brick wall"/>
    <s v="Very Good"/>
    <n v="1"/>
    <n v="196"/>
    <n v="196"/>
    <n v="2107"/>
    <n v="30"/>
    <n v="0.95"/>
    <n v="900"/>
    <n v="1896300"/>
    <n v="420346.49999999994"/>
    <n v="1475953.5"/>
  </r>
  <r>
    <n v="42"/>
    <s v="Oil Storage Building"/>
    <s v="1 Slab/1Floor"/>
    <s v="13'00&quot;"/>
    <n v="2017"/>
    <x v="0"/>
    <s v="Plain Tin shed roof mounted on iron pillars, trusses frame structure resting on brick wall"/>
    <s v="Very Good"/>
    <n v="1"/>
    <n v="186.04999999999998"/>
    <n v="186.04999999999998"/>
    <n v="2000.0374999999999"/>
    <n v="30"/>
    <n v="0.95"/>
    <n v="600"/>
    <n v="1200022.5"/>
    <n v="228004.27499999997"/>
    <n v="972018.22500000009"/>
  </r>
  <r>
    <n v="43"/>
    <s v="Closed Material Storage Shed 1"/>
    <s v="1 Slab/1Floor"/>
    <s v="18'6&quot;"/>
    <n v="2016"/>
    <x v="0"/>
    <s v="Plain Tin shed roof mounted on iron pillars, trusses frame structure resting on brick wall"/>
    <s v="Very Good"/>
    <n v="1"/>
    <n v="989"/>
    <n v="989"/>
    <n v="10631.75"/>
    <n v="30"/>
    <n v="0.95"/>
    <n v="600"/>
    <n v="6379050"/>
    <n v="1414022.7499999998"/>
    <n v="4965027.25"/>
  </r>
  <r>
    <n v="44"/>
    <s v="Closed Material Storage Shed 2"/>
    <s v="1 Slab/1Floor"/>
    <s v="18'6&quot;"/>
    <n v="2014"/>
    <x v="0"/>
    <s v="Plain Tin shed roof mounted on iron pillars, trusses frame structure resting on brick wall"/>
    <s v="Good"/>
    <n v="1"/>
    <n v="576"/>
    <n v="576"/>
    <n v="6192"/>
    <n v="30"/>
    <n v="0.95"/>
    <n v="600"/>
    <n v="3715200"/>
    <n v="1058831.9999999998"/>
    <n v="2656368"/>
  </r>
  <r>
    <n v="45"/>
    <s v="ABB Office 1"/>
    <s v="0 Slab/1Floor"/>
    <s v="10'00&quot;"/>
    <n v="2012"/>
    <x v="0"/>
    <s v="Plain Tin shed roof mounted on iron pillars, trusses frame structure resting on brick wall"/>
    <s v="Good"/>
    <n v="1"/>
    <n v="221.25"/>
    <n v="221.25"/>
    <n v="2378.4375"/>
    <n v="30"/>
    <n v="0.95"/>
    <n v="800"/>
    <n v="1902750"/>
    <n v="662791.24999999988"/>
    <n v="1239958.75"/>
  </r>
  <r>
    <n v="46"/>
    <s v="OCH &amp; Weigh Bridge Control Room"/>
    <s v="1 Slab/1Floor"/>
    <s v="10'00&quot;"/>
    <n v="2015"/>
    <x v="0"/>
    <s v="Plain Tin shed roof mounted on iron pillars, trusses frame structure resting on brick wall"/>
    <s v="Very Good"/>
    <n v="1"/>
    <n v="237.51"/>
    <n v="237.51"/>
    <n v="2553.2325000000001"/>
    <n v="30"/>
    <n v="0.95"/>
    <n v="1000"/>
    <n v="2553232.5"/>
    <n v="646818.89999999991"/>
    <n v="1906413.6"/>
  </r>
  <r>
    <m/>
    <s v="Security Officer Room"/>
    <s v="1 Slab/1Floor"/>
    <s v="10'00&quot;"/>
    <n v="2015"/>
    <x v="0"/>
    <s v="Plain Tin shed roof mounted on iron pillars, trusses frame structure resting on brick wall"/>
    <s v="Very Good"/>
    <n v="1"/>
    <n v="72.25"/>
    <n v="72.25"/>
    <n v="776.6875"/>
    <n v="30"/>
    <n v="0.95"/>
    <n v="1000"/>
    <n v="776687.5"/>
    <n v="196760.83333333331"/>
    <n v="579926.66666666674"/>
  </r>
  <r>
    <n v="47"/>
    <s v="Saftey Induction Room &amp; Security Office "/>
    <s v="1 Slab/1Floor"/>
    <s v="10'00&quot;"/>
    <n v="2015"/>
    <x v="0"/>
    <s v="Plain Tin shed roof mounted on iron pillars, trusses frame structure resting on brick wall"/>
    <s v="Very Good"/>
    <n v="1"/>
    <n v="141.98400000000001"/>
    <n v="141.98400000000001"/>
    <n v="1526.3280000000002"/>
    <n v="30"/>
    <n v="0.95"/>
    <n v="1000"/>
    <n v="1526328.0000000002"/>
    <n v="386669.76"/>
    <n v="1139658.2400000002"/>
  </r>
  <r>
    <n v="48"/>
    <s v="Security Checking Room"/>
    <s v="1 Slab/1Floor"/>
    <s v="10'00&quot;"/>
    <n v="2016"/>
    <x v="0"/>
    <s v="Plain Tin shed roof mounted on iron pillars, trusses frame structure resting on brick wall"/>
    <s v="Good"/>
    <n v="1"/>
    <n v="18"/>
    <n v="18"/>
    <n v="193.5"/>
    <n v="30"/>
    <n v="0.95"/>
    <n v="1000"/>
    <n v="193500"/>
    <n v="42892.499999999993"/>
    <n v="150607.5"/>
  </r>
  <r>
    <n v="49"/>
    <s v="Site Staff Guest House"/>
    <s v="3 Slabs/2Floors"/>
    <s v="12'5&quot;"/>
    <n v="2014"/>
    <x v="0"/>
    <s v="RCC load bearing structure on beam column and 9&quot; brick walls"/>
    <s v="Very Good"/>
    <n v="1"/>
    <n v="358.96499999999997"/>
    <n v="358.96499999999997"/>
    <n v="3858.8737499999997"/>
    <n v="30"/>
    <n v="0.95"/>
    <n v="1400"/>
    <n v="5402423.25"/>
    <n v="1539690.62625"/>
    <n v="3862732.6237500003"/>
  </r>
  <r>
    <n v="50"/>
    <s v="Site MD Guest House"/>
    <s v="1 Slab/1Floor"/>
    <s v="13'"/>
    <n v="2011"/>
    <x v="0"/>
    <s v="Plain Tin shed roof mounted on iron pillars, trusses frame structure resting on brick wall"/>
    <s v="Very Good"/>
    <n v="1"/>
    <n v="136"/>
    <n v="136"/>
    <n v="1462"/>
    <n v="30"/>
    <n v="0.95"/>
    <n v="900"/>
    <n v="1315800"/>
    <n v="500003.99999999988"/>
    <n v="815796.00000000012"/>
  </r>
  <r>
    <n v="51"/>
    <s v="Main Office 1"/>
    <s v="1 Slab/1Floor"/>
    <s v="13'"/>
    <n v="2011"/>
    <x v="0"/>
    <s v="Plain Tin shed roof mounted on iron pillars, trusses frame structure resting on brick wall"/>
    <s v="Very Good"/>
    <n v="1"/>
    <n v="1200"/>
    <n v="1200"/>
    <n v="12900"/>
    <n v="30"/>
    <n v="0.95"/>
    <n v="800"/>
    <n v="10320000"/>
    <n v="3921599.9999999991"/>
    <n v="6398400.0000000009"/>
  </r>
  <r>
    <n v="52"/>
    <s v="Main Office 2"/>
    <s v="1 Slab/1Floor"/>
    <s v="13'"/>
    <n v="2009"/>
    <x v="0"/>
    <s v="Plain Tin shed roof mounted on iron pillars, trusses frame structure resting on brick wall"/>
    <s v="Very Good"/>
    <n v="1"/>
    <n v="1200"/>
    <n v="1200"/>
    <n v="12900"/>
    <n v="30"/>
    <n v="0.95"/>
    <n v="800"/>
    <n v="10320000"/>
    <n v="4575199.9999999991"/>
    <n v="5744800.0000000009"/>
  </r>
  <r>
    <n v="53"/>
    <s v="Main Office 3"/>
    <s v="1 Slab/1Floor"/>
    <s v="13'"/>
    <n v="2009"/>
    <x v="0"/>
    <s v="Plain Tin shed roof mounted on iron pillars, trusses frame structure resting on brick wall"/>
    <s v="Very Good"/>
    <n v="1"/>
    <n v="1200"/>
    <n v="1200"/>
    <n v="12900"/>
    <n v="30"/>
    <n v="0.95"/>
    <n v="800"/>
    <n v="10320000"/>
    <n v="4575199.9999999991"/>
    <n v="5744800.0000000009"/>
  </r>
  <r>
    <n v="54"/>
    <s v="Canteen for Staff"/>
    <s v="1 Slab/1Floor"/>
    <s v="13'"/>
    <n v="2012"/>
    <x v="0"/>
    <s v="Plain Tin shed roof mounted on iron pillars, trusses frame structure resting on brick wall"/>
    <s v="Good"/>
    <n v="1"/>
    <n v="3000"/>
    <n v="3000"/>
    <n v="32250"/>
    <n v="30"/>
    <n v="0.95"/>
    <n v="800"/>
    <n v="25800000"/>
    <n v="8986999.9999999981"/>
    <n v="16813000"/>
  </r>
  <r>
    <n v="55"/>
    <s v="Mack Building"/>
    <s v="3 Slabs/2Floor"/>
    <s v="11'"/>
    <n v="2009"/>
    <x v="0"/>
    <s v="RCC framed pillar beam column structure on RCC slab"/>
    <s v="Good"/>
    <n v="1"/>
    <n v="240"/>
    <n v="240"/>
    <n v="2580"/>
    <n v="30"/>
    <n v="0.95"/>
    <n v="1400"/>
    <n v="3612000"/>
    <n v="1601319.9999999998"/>
    <n v="2010680.0000000002"/>
  </r>
  <r>
    <n v="56"/>
    <s v="Crusher House Toilets &amp; Wash Rooms"/>
    <s v="1 Slab/1Floor"/>
    <s v="10'"/>
    <n v="2016"/>
    <x v="0"/>
    <s v="Plain Tin shed roof mounted on iron pillars, trusses frame structure resting on brick wall"/>
    <s v="Good"/>
    <n v="1"/>
    <n v="32"/>
    <n v="32"/>
    <n v="344"/>
    <n v="30"/>
    <n v="0.95"/>
    <n v="1000"/>
    <n v="344000"/>
    <n v="76253.333333333328"/>
    <n v="267746.66666666669"/>
  </r>
  <r>
    <n v="57"/>
    <s v="Fire Tender Building"/>
    <s v="2 Slabs/2Floors"/>
    <s v="11'5&quot;"/>
    <n v="2013"/>
    <x v="0"/>
    <s v="Plain Tin shed roof mounted on iron pillars, trusses frame structure resting on brick wall"/>
    <s v="Very Good"/>
    <n v="2"/>
    <n v="138"/>
    <n v="276"/>
    <n v="1483.5"/>
    <n v="30"/>
    <n v="0.95"/>
    <n v="1000"/>
    <n v="1483500"/>
    <n v="469774.99999999994"/>
    <n v="1013725"/>
  </r>
  <r>
    <n v="58"/>
    <s v="Main Store for CHP &amp; AHP"/>
    <s v="1 Slab/1Floor"/>
    <s v="18'00&quot;"/>
    <n v="2015"/>
    <x v="0"/>
    <s v="RB wall structure"/>
    <s v="Average"/>
    <n v="1"/>
    <n v="384.75"/>
    <n v="384.75"/>
    <n v="4136.0625"/>
    <n v="30"/>
    <n v="0.95"/>
    <n v="950"/>
    <n v="3929259.375"/>
    <n v="995412.37499999988"/>
    <n v="2933847"/>
  </r>
  <r>
    <n v="59"/>
    <s v="Material Storage shed CHP"/>
    <s v="1 Slab/1Floor"/>
    <s v="12'00&quot;"/>
    <n v="2015"/>
    <x v="0"/>
    <s v="GI shed roof mounted on iron pillars, trusses frame structure"/>
    <s v="Average"/>
    <n v="1"/>
    <n v="432"/>
    <n v="432"/>
    <n v="4644"/>
    <n v="30"/>
    <n v="0.95"/>
    <n v="1000"/>
    <n v="4644000"/>
    <n v="1176479.9999999998"/>
    <n v="3467520"/>
  </r>
  <r>
    <m/>
    <s v="Concrete Structures"/>
    <m/>
    <m/>
    <m/>
    <x v="2"/>
    <m/>
    <m/>
    <m/>
    <m/>
    <m/>
    <m/>
    <m/>
    <m/>
    <m/>
    <m/>
    <m/>
    <m/>
  </r>
  <r>
    <n v="60"/>
    <s v="Intake Well "/>
    <s v="2 Slabs "/>
    <s v="43'"/>
    <n v="2013"/>
    <x v="1"/>
    <s v="RCC framed pillar beam column structure on RCC slab"/>
    <s v="Very Good"/>
    <n v="2"/>
    <n v="63.625499999999995"/>
    <n v="127.25099999999999"/>
    <n v="683.97412499999996"/>
    <n v="30"/>
    <n v="0.95"/>
    <n v="1500"/>
    <n v="1025961.1874999999"/>
    <n v="324887.70937499992"/>
    <n v="701073.47812499991"/>
  </r>
  <r>
    <n v="61"/>
    <s v="Weigh Bridge"/>
    <s v="1 Slabs"/>
    <s v="5'"/>
    <n v="2015"/>
    <x v="0"/>
    <s v="RCC framed pillar beam column structure on RCC slab"/>
    <s v="Very Good"/>
    <n v="4"/>
    <n v="62"/>
    <n v="248"/>
    <n v="666.5"/>
    <n v="30"/>
    <n v="0.95"/>
    <n v="1000"/>
    <n v="666500"/>
    <n v="168846.66666666666"/>
    <n v="497653.33333333337"/>
  </r>
  <r>
    <n v="62"/>
    <s v="Ash Bund"/>
    <s v="0 Slabs"/>
    <s v="-"/>
    <n v="2014"/>
    <x v="1"/>
    <s v="Earth Bund with Bitumen mat topping"/>
    <s v="Very Good"/>
    <m/>
    <n v="277772"/>
    <n v="0"/>
    <n v="2986049"/>
    <n v="30"/>
    <n v="0.95"/>
    <n v="50"/>
    <n v="149302450"/>
    <n v="42551198.249999993"/>
    <n v="106751251.75"/>
  </r>
  <r>
    <n v="63"/>
    <s v="Fly Ash Silo"/>
    <s v="2 Slabs"/>
    <s v="118'"/>
    <n v="2014"/>
    <x v="1"/>
    <s v="RCC framed pillar beam column structure on RCC slab"/>
    <s v="Very Good"/>
    <n v="2"/>
    <n v="219.04000000000002"/>
    <n v="438.08000000000004"/>
    <n v="2354.6800000000003"/>
    <n v="30"/>
    <n v="0.95"/>
    <n v="1500"/>
    <n v="3532020.0000000005"/>
    <n v="1006625.7000000001"/>
    <n v="2525394.3000000003"/>
  </r>
  <r>
    <n v="64"/>
    <s v="Bottom Ash Silo"/>
    <s v="2 Slabs"/>
    <s v="101'2&quot;"/>
    <n v="2014"/>
    <x v="1"/>
    <s v="RCC framed pillar beam column structure on RCC slab"/>
    <s v="Very Good"/>
    <n v="1"/>
    <n v="195.75"/>
    <n v="195.75"/>
    <n v="2104.3125"/>
    <n v="30"/>
    <n v="0.95"/>
    <n v="1500"/>
    <n v="3156468.75"/>
    <n v="899593.59374999988"/>
    <n v="2256875.15625"/>
  </r>
  <r>
    <n v="65"/>
    <s v="Clarifier A"/>
    <s v="1 slab"/>
    <s v="18'6&quot;"/>
    <n v="2014"/>
    <x v="1"/>
    <s v="RCC framed pillar beam column structure on RCC slab"/>
    <s v="Very Good"/>
    <n v="1"/>
    <n v="530.99799999999993"/>
    <n v="530.99799999999993"/>
    <n v="5708.2284999999993"/>
    <n v="30"/>
    <n v="0.95"/>
    <n v="600"/>
    <n v="3424937.0999999996"/>
    <n v="976107.07349999982"/>
    <n v="2448830.0264999997"/>
  </r>
  <r>
    <n v="66"/>
    <s v="Clarifier B"/>
    <s v="1 slab"/>
    <s v="18'6&quot;"/>
    <n v="2014"/>
    <x v="1"/>
    <s v="RCC framed pillar beam column structure on RCC slab"/>
    <s v="Very Good"/>
    <n v="1"/>
    <n v="530.99799999999993"/>
    <n v="530.99799999999993"/>
    <n v="5708.2284999999993"/>
    <n v="30"/>
    <n v="0.95"/>
    <n v="600"/>
    <n v="3424937.0999999996"/>
    <n v="976107.07349999982"/>
    <n v="2448830.0264999997"/>
  </r>
  <r>
    <n v="67"/>
    <s v="Desalinated Tank"/>
    <s v="2 slab"/>
    <s v="21'2&quot;"/>
    <n v="2014"/>
    <x v="1"/>
    <s v="RCC framed pillar beam column structure on RCC slab"/>
    <s v="Very Good"/>
    <n v="1"/>
    <n v="1551.36"/>
    <n v="1551.36"/>
    <n v="16677.12"/>
    <n v="30"/>
    <n v="0.95"/>
    <n v="600"/>
    <n v="10006272"/>
    <n v="2851787.5199999996"/>
    <n v="7154484.4800000004"/>
  </r>
  <r>
    <n v="68"/>
    <s v="Clarrifier Tank"/>
    <s v="2 slab"/>
    <s v="21'2&quot;"/>
    <n v="2014"/>
    <x v="1"/>
    <s v="RCC framed pillar beam column structure on RCC slab"/>
    <s v="Very Good"/>
    <n v="1"/>
    <n v="502.4"/>
    <n v="502.4"/>
    <n v="5400.8"/>
    <n v="30"/>
    <n v="0.95"/>
    <n v="800"/>
    <n v="4320640"/>
    <n v="1231382.3999999999"/>
    <n v="3089257.6"/>
  </r>
  <r>
    <n v="69"/>
    <s v="Roads in KM"/>
    <s v="-"/>
    <s v="-"/>
    <s v="-"/>
    <x v="3"/>
    <s v="Bitumen / WBM Raods"/>
    <s v="Very Good"/>
    <n v="1"/>
    <n v="23.49"/>
    <n v="23.49"/>
    <s v="-"/>
    <n v="0"/>
    <n v="0"/>
    <m/>
    <m/>
    <m/>
    <m/>
  </r>
  <r>
    <m/>
    <s v="Material Movement Road"/>
    <s v="1 slab"/>
    <s v="-"/>
    <n v="2010"/>
    <x v="3"/>
    <s v="Bituminious concrete road"/>
    <s v="Very Good"/>
    <n v="1"/>
    <n v="22500"/>
    <n v="22500"/>
    <n v="241875"/>
    <m/>
    <m/>
    <m/>
    <n v="42750000"/>
    <m/>
    <n v="11250000"/>
  </r>
  <r>
    <m/>
    <s v="Plant Internal Road"/>
    <s v="1 slab"/>
    <s v="-"/>
    <n v="2014"/>
    <x v="3"/>
    <s v="DBM Road"/>
    <s v="Very Good"/>
    <n v="1"/>
    <n v="38598.5"/>
    <n v="38598.5"/>
    <n v="414933.875"/>
    <m/>
    <m/>
    <m/>
    <n v="73337150"/>
    <m/>
    <n v="19299250"/>
  </r>
  <r>
    <m/>
    <s v="Plant Periferial road"/>
    <s v="1 slab"/>
    <s v="-"/>
    <n v="2012"/>
    <x v="3"/>
    <s v="WBM Road"/>
    <s v="Good"/>
    <n v="1"/>
    <n v="28280"/>
    <n v="28280"/>
    <n v="304010"/>
    <m/>
    <m/>
    <m/>
    <n v="53732000"/>
    <m/>
    <n v="14140000"/>
  </r>
  <r>
    <m/>
    <s v="Plant internal road"/>
    <s v="1 slab"/>
    <s v="-"/>
    <n v="2012"/>
    <x v="3"/>
    <s v="WBM Road"/>
    <s v="Good"/>
    <n v="1"/>
    <n v="45220"/>
    <n v="45220"/>
    <n v="486115"/>
    <m/>
    <m/>
    <m/>
    <n v="85918000"/>
    <m/>
    <n v="22610000"/>
  </r>
  <r>
    <m/>
    <s v="Bouleward Inside Road"/>
    <s v="1 slab"/>
    <s v="-"/>
    <n v="2012"/>
    <x v="3"/>
    <s v="GSB Road"/>
    <s v="Good"/>
    <n v="1"/>
    <n v="9405"/>
    <n v="9405"/>
    <n v="101103.75"/>
    <m/>
    <m/>
    <m/>
    <n v="17869500"/>
    <m/>
    <n v="4702500"/>
  </r>
  <r>
    <m/>
    <s v="Bouleward outside Road"/>
    <s v="1 slab"/>
    <s v="-"/>
    <n v="2012"/>
    <x v="3"/>
    <s v="WBM Road"/>
    <s v="Good"/>
    <n v="1"/>
    <n v="18700"/>
    <n v="18700"/>
    <n v="201025"/>
    <m/>
    <m/>
    <m/>
    <n v="35530000"/>
    <m/>
    <n v="9350000"/>
  </r>
  <r>
    <n v="70"/>
    <s v="Drians in KM"/>
    <s v="-"/>
    <s v="-"/>
    <s v="-"/>
    <x v="4"/>
    <s v="RCC raft &amp; wall "/>
    <s v="Very Good"/>
    <n v="1"/>
    <n v="18.5"/>
    <n v="18.5"/>
    <s v="-"/>
    <n v="30"/>
    <n v="0.95"/>
    <m/>
    <n v="190000000"/>
    <m/>
    <n v="95000000"/>
  </r>
  <r>
    <n v="71"/>
    <s v="Boundary Walls in RM"/>
    <s v="0 Slabs"/>
    <s v="10'"/>
    <n v="2011"/>
    <x v="4"/>
    <s v="RR Stone Masonry with concrete piller and beams 450mm width"/>
    <s v="Very Good"/>
    <n v="1"/>
    <n v="12000"/>
    <n v="12000"/>
    <n v="39000"/>
    <m/>
    <m/>
    <m/>
    <n v="84000000"/>
    <m/>
    <n v="36000000"/>
  </r>
  <r>
    <n v="72"/>
    <s v="Bridges "/>
    <s v="1 Slabs"/>
    <s v="19'5&quot;"/>
    <n v="2013"/>
    <x v="4"/>
    <s v="RCC framed pillar beam column structure on RCC slab"/>
    <s v="Very Good"/>
    <n v="3"/>
    <n v="168"/>
    <n v="504"/>
    <n v="1806"/>
    <n v="30"/>
    <n v="0.95"/>
    <n v="2500"/>
    <n v="4515000"/>
    <m/>
    <n v="3500000"/>
  </r>
  <r>
    <n v="73"/>
    <s v="Culverts"/>
    <s v="1 slab"/>
    <s v="12'"/>
    <n v="2010"/>
    <x v="4"/>
    <s v="RCC framed pillar beam column structure on RCC slab"/>
    <s v="Very Good"/>
    <n v="4"/>
    <n v="80"/>
    <n v="320"/>
    <n v="860"/>
    <n v="30"/>
    <n v="0.95"/>
    <n v="2500"/>
    <n v="2150000"/>
    <m/>
    <n v="1500000"/>
  </r>
  <r>
    <n v="74"/>
    <s v="Nallah Lining"/>
    <s v="1 slab"/>
    <s v="14'6&quot;"/>
    <n v="2011"/>
    <x v="4"/>
    <s v="RR Stone Masonry with concrete piller and beams 450mm width"/>
    <s v="Very Good"/>
    <n v="1"/>
    <n v="26400"/>
    <n v="26400"/>
    <n v="283800"/>
    <m/>
    <m/>
    <m/>
    <m/>
    <m/>
    <m/>
  </r>
  <r>
    <n v="75"/>
    <s v="Watch Towers"/>
    <s v="1 slab"/>
    <s v="33'2&quot;"/>
    <n v="2013"/>
    <x v="4"/>
    <s v="RCC framed pillar beam column structure on RCC slab"/>
    <s v="Very Good"/>
    <n v="8"/>
    <n v="36"/>
    <n v="288"/>
    <n v="387"/>
    <n v="30"/>
    <n v="0.95"/>
    <m/>
    <m/>
    <m/>
    <m/>
  </r>
  <r>
    <n v="76"/>
    <s v="Sewage Treatment Plant"/>
    <s v="1 slab"/>
    <s v="18'5&quot;"/>
    <n v="2015"/>
    <x v="0"/>
    <s v="RCC framed pillar beam column structure on RCC slab"/>
    <s v="Very Good"/>
    <n v="1"/>
    <n v="72.25"/>
    <n v="72.25"/>
    <n v="776.6875"/>
    <n v="30"/>
    <n v="0.95"/>
    <n v="1600"/>
    <n v="1242700"/>
    <n v="314817.33333333331"/>
    <n v="927882.66666666674"/>
  </r>
  <r>
    <n v="77"/>
    <s v="Construction water tank"/>
    <s v="1 slab"/>
    <s v="13'4&quot;"/>
    <n v="2010"/>
    <x v="1"/>
    <m/>
    <s v="Very Good"/>
    <n v="1"/>
    <n v="124.32250000000001"/>
    <n v="124.32250000000001"/>
    <n v="1336.4668750000001"/>
    <n v="30"/>
    <n v="0.95"/>
    <n v="800"/>
    <n v="1069173.5"/>
    <n v="440143.09083333326"/>
    <n v="629030.40916666668"/>
  </r>
  <r>
    <n v="78"/>
    <s v="sea water intake line (GRP)"/>
    <s v="1 slab"/>
    <s v="9'"/>
    <n v="2014"/>
    <x v="2"/>
    <m/>
    <s v="Very Good"/>
    <n v="1"/>
    <n v="14000"/>
    <n v="14000"/>
    <n v="150500"/>
    <m/>
    <m/>
    <m/>
    <m/>
    <m/>
    <m/>
  </r>
  <r>
    <n v="79"/>
    <s v="Sea water outfall line (GRP)"/>
    <s v="1 slab"/>
    <s v="9'"/>
    <n v="2014"/>
    <x v="2"/>
    <m/>
    <s v="Very Good"/>
    <n v="1"/>
    <n v="16800"/>
    <n v="16800"/>
    <n v="180600"/>
    <m/>
    <m/>
    <m/>
    <m/>
    <m/>
    <m/>
  </r>
  <r>
    <n v="80"/>
    <s v="Intake line( Well to PH) HDPE)"/>
    <s v="1 slab"/>
    <s v="12'"/>
    <n v="2014"/>
    <x v="2"/>
    <m/>
    <s v="Very Good"/>
    <n v="1"/>
    <n v="3600"/>
    <n v="3600"/>
    <n v="38700"/>
    <m/>
    <m/>
    <m/>
    <m/>
    <m/>
    <m/>
  </r>
  <r>
    <n v="81"/>
    <s v="Common Toilet "/>
    <s v="1 slab"/>
    <s v="10'"/>
    <n v="2018"/>
    <x v="0"/>
    <s v="Plain Tin shed roof mounted on iron pillars, trusses frame structure resting on brick wall"/>
    <s v="Good "/>
    <n v="1"/>
    <n v="56"/>
    <n v="56"/>
    <n v="603"/>
    <n v="30"/>
    <n v="0.95"/>
    <n v="1000"/>
    <n v="603000"/>
    <n v="95474.999999999985"/>
    <n v="507525"/>
  </r>
  <r>
    <n v="82"/>
    <s v="Labour Dining Hall "/>
    <s v="1 slab"/>
    <s v="10'"/>
    <n v="2018"/>
    <x v="0"/>
    <s v="Plain Tin shed roof mounted on iron pillars, trusses frame structure with Sheet wall cladding  "/>
    <s v="Good "/>
    <n v="1"/>
    <n v="85"/>
    <n v="85"/>
    <n v="915"/>
    <n v="30"/>
    <n v="0.95"/>
    <n v="1000"/>
    <n v="915000"/>
    <n v="144874.99999999997"/>
    <n v="7701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9" firstHeaderRow="0" firstDataRow="1" firstDataCol="1"/>
  <pivotFields count="18">
    <pivotField showAll="0"/>
    <pivotField showAll="0"/>
    <pivotField showAll="0"/>
    <pivotField showAll="0"/>
    <pivotField showAll="0"/>
    <pivotField axis="axisRow" showAll="0">
      <items count="6">
        <item x="0"/>
        <item x="4"/>
        <item x="3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</pivotFields>
  <rowFields count="1"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GCRC" fld="15" baseField="5" baseItem="0"/>
    <dataField name="Sum of Current Depreciated Market Value" fld="17" baseField="5" baseItem="2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9"/>
  <sheetViews>
    <sheetView workbookViewId="0">
      <selection activeCell="B7" sqref="B7"/>
    </sheetView>
  </sheetViews>
  <sheetFormatPr defaultRowHeight="15" x14ac:dyDescent="0.25"/>
  <cols>
    <col min="1" max="1" width="13.28515625" bestFit="1" customWidth="1"/>
    <col min="2" max="2" width="14.28515625" style="45" bestFit="1" customWidth="1"/>
    <col min="3" max="3" width="39" style="45" customWidth="1"/>
  </cols>
  <sheetData>
    <row r="3" spans="1:3" x14ac:dyDescent="0.25">
      <c r="A3" s="57" t="s">
        <v>257</v>
      </c>
      <c r="B3" s="45" t="s">
        <v>260</v>
      </c>
      <c r="C3" s="45" t="s">
        <v>261</v>
      </c>
    </row>
    <row r="4" spans="1:3" x14ac:dyDescent="0.25">
      <c r="A4" s="52" t="s">
        <v>244</v>
      </c>
      <c r="B4" s="45">
        <v>1066788810.5829999</v>
      </c>
      <c r="C4" s="45">
        <v>735470463.38816333</v>
      </c>
    </row>
    <row r="5" spans="1:3" x14ac:dyDescent="0.25">
      <c r="A5" s="52" t="s">
        <v>245</v>
      </c>
      <c r="B5" s="45">
        <v>280665000</v>
      </c>
      <c r="C5" s="45">
        <v>136000000</v>
      </c>
    </row>
    <row r="6" spans="1:3" x14ac:dyDescent="0.25">
      <c r="A6" s="52" t="s">
        <v>251</v>
      </c>
      <c r="B6" s="45">
        <v>309136650</v>
      </c>
      <c r="C6" s="45">
        <v>81351750</v>
      </c>
    </row>
    <row r="7" spans="1:3" x14ac:dyDescent="0.25">
      <c r="A7" s="52" t="s">
        <v>252</v>
      </c>
      <c r="B7" s="45">
        <v>181762879.63749999</v>
      </c>
      <c r="C7" s="45">
        <v>129762394.22654167</v>
      </c>
    </row>
    <row r="8" spans="1:3" x14ac:dyDescent="0.25">
      <c r="A8" s="52" t="s">
        <v>258</v>
      </c>
    </row>
    <row r="9" spans="1:3" x14ac:dyDescent="0.25">
      <c r="A9" s="52" t="s">
        <v>259</v>
      </c>
      <c r="B9" s="45">
        <v>1838353340.2205</v>
      </c>
      <c r="C9" s="45">
        <v>1082584607.6147051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4"/>
  <sheetViews>
    <sheetView tabSelected="1" zoomScaleNormal="100" workbookViewId="0">
      <pane ySplit="2" topLeftCell="A116" activePane="bottomLeft" state="frozen"/>
      <selection pane="bottomLeft" activeCell="G131" sqref="G131"/>
    </sheetView>
  </sheetViews>
  <sheetFormatPr defaultRowHeight="15" x14ac:dyDescent="0.25"/>
  <cols>
    <col min="1" max="1" width="5" style="2" customWidth="1"/>
    <col min="2" max="2" width="25" style="6" customWidth="1"/>
    <col min="3" max="3" width="11.85546875" style="1" customWidth="1"/>
    <col min="4" max="4" width="9.28515625" style="1" customWidth="1"/>
    <col min="5" max="5" width="9.85546875" style="1" customWidth="1"/>
    <col min="6" max="6" width="10.28515625" style="1" customWidth="1"/>
    <col min="7" max="7" width="28.5703125" style="5" customWidth="1"/>
    <col min="8" max="8" width="12" style="1" customWidth="1"/>
    <col min="9" max="9" width="10" style="1" bestFit="1" customWidth="1"/>
    <col min="10" max="10" width="10.42578125" style="31" customWidth="1"/>
    <col min="11" max="11" width="10.28515625" style="31" customWidth="1"/>
    <col min="12" max="14" width="11.7109375" style="31" customWidth="1"/>
    <col min="15" max="15" width="9" style="12" customWidth="1"/>
    <col min="16" max="16" width="14.28515625" style="31" bestFit="1" customWidth="1"/>
    <col min="17" max="17" width="13.85546875" style="31" hidden="1" customWidth="1"/>
    <col min="18" max="18" width="15" style="31" customWidth="1"/>
    <col min="19" max="19" width="9.140625" style="48"/>
    <col min="20" max="20" width="77.7109375" style="48" hidden="1" customWidth="1"/>
    <col min="21" max="16384" width="9.140625" style="48"/>
  </cols>
  <sheetData>
    <row r="1" spans="1:20" customFormat="1" x14ac:dyDescent="0.25">
      <c r="A1" s="2"/>
      <c r="B1" s="6"/>
      <c r="C1" s="1"/>
      <c r="D1" s="1"/>
      <c r="E1" s="1"/>
      <c r="F1" s="1"/>
      <c r="G1" s="5"/>
      <c r="H1" s="1"/>
      <c r="I1" s="1"/>
      <c r="J1" s="31">
        <f>SUBTOTAL(9,J3:J116)</f>
        <v>608198.37795999995</v>
      </c>
      <c r="K1" s="31">
        <f>SUBTOTAL(9,K3:K116)</f>
        <v>419385.76805999991</v>
      </c>
      <c r="L1" s="31">
        <f>SUBTOTAL(9,L3:L116)</f>
        <v>6447683.420570001</v>
      </c>
      <c r="M1" s="31"/>
      <c r="N1" s="31"/>
      <c r="O1" s="12"/>
      <c r="P1" s="31">
        <v>1838353340</v>
      </c>
      <c r="Q1" s="31">
        <v>2023</v>
      </c>
      <c r="R1" s="31">
        <v>1082584608</v>
      </c>
    </row>
    <row r="2" spans="1:20" ht="60" x14ac:dyDescent="0.25">
      <c r="A2" s="10" t="s">
        <v>13</v>
      </c>
      <c r="B2" s="15" t="s">
        <v>0</v>
      </c>
      <c r="C2" s="10" t="s">
        <v>1</v>
      </c>
      <c r="D2" s="10" t="s">
        <v>19</v>
      </c>
      <c r="E2" s="10" t="s">
        <v>2</v>
      </c>
      <c r="F2" s="10" t="s">
        <v>246</v>
      </c>
      <c r="G2" s="10" t="s">
        <v>14</v>
      </c>
      <c r="H2" s="10" t="s">
        <v>3</v>
      </c>
      <c r="I2" s="10" t="s">
        <v>196</v>
      </c>
      <c r="J2" s="28" t="s">
        <v>15</v>
      </c>
      <c r="K2" s="28" t="s">
        <v>197</v>
      </c>
      <c r="L2" s="28" t="s">
        <v>16</v>
      </c>
      <c r="M2" s="28" t="s">
        <v>247</v>
      </c>
      <c r="N2" s="28" t="s">
        <v>248</v>
      </c>
      <c r="O2" s="11" t="s">
        <v>17</v>
      </c>
      <c r="P2" s="28" t="s">
        <v>249</v>
      </c>
      <c r="Q2" s="28" t="s">
        <v>250</v>
      </c>
      <c r="R2" s="28" t="s">
        <v>18</v>
      </c>
      <c r="T2" s="48" t="s">
        <v>4</v>
      </c>
    </row>
    <row r="3" spans="1:20" ht="98.25" customHeight="1" x14ac:dyDescent="0.25">
      <c r="A3" s="3">
        <v>1</v>
      </c>
      <c r="B3" s="9" t="s">
        <v>149</v>
      </c>
      <c r="C3" s="7" t="s">
        <v>125</v>
      </c>
      <c r="D3" s="7" t="s">
        <v>126</v>
      </c>
      <c r="E3" s="3">
        <v>2012</v>
      </c>
      <c r="F3" s="27" t="s">
        <v>244</v>
      </c>
      <c r="G3" s="23" t="s">
        <v>238</v>
      </c>
      <c r="H3" s="7" t="s">
        <v>64</v>
      </c>
      <c r="I3" s="14">
        <v>1</v>
      </c>
      <c r="J3" s="29">
        <f>32.585*15.42</f>
        <v>502.46070000000003</v>
      </c>
      <c r="K3" s="29">
        <f>I3*J3</f>
        <v>502.46070000000003</v>
      </c>
      <c r="L3" s="29">
        <f>J3*10.75</f>
        <v>5401.4525250000006</v>
      </c>
      <c r="M3" s="29">
        <v>30</v>
      </c>
      <c r="N3" s="43">
        <v>0.95</v>
      </c>
      <c r="O3" s="29">
        <v>1400</v>
      </c>
      <c r="P3" s="29">
        <f>O3*L3</f>
        <v>7562033.5350000011</v>
      </c>
      <c r="Q3" s="29">
        <f t="shared" ref="Q3:Q33" si="0">P3*(N3/M3)*($Q$1-E3)</f>
        <v>2634108.3480249997</v>
      </c>
      <c r="R3" s="29">
        <f>P3-Q3</f>
        <v>4927925.1869750014</v>
      </c>
      <c r="T3" s="48" t="s">
        <v>6</v>
      </c>
    </row>
    <row r="4" spans="1:20" ht="45" x14ac:dyDescent="0.25">
      <c r="A4" s="3">
        <v>2</v>
      </c>
      <c r="B4" s="9" t="s">
        <v>127</v>
      </c>
      <c r="C4" s="7" t="s">
        <v>125</v>
      </c>
      <c r="D4" s="7" t="s">
        <v>128</v>
      </c>
      <c r="E4" s="3">
        <v>2012</v>
      </c>
      <c r="F4" s="27" t="s">
        <v>244</v>
      </c>
      <c r="G4" s="4" t="s">
        <v>5</v>
      </c>
      <c r="H4" s="7" t="s">
        <v>64</v>
      </c>
      <c r="I4" s="14">
        <v>1</v>
      </c>
      <c r="J4" s="29">
        <f>20.981*15.42</f>
        <v>323.52702000000005</v>
      </c>
      <c r="K4" s="29">
        <f t="shared" ref="K4:K69" si="1">I4*J4</f>
        <v>323.52702000000005</v>
      </c>
      <c r="L4" s="29">
        <f t="shared" ref="L4:L69" si="2">J4*10.75</f>
        <v>3477.9154650000005</v>
      </c>
      <c r="M4" s="29">
        <v>30</v>
      </c>
      <c r="N4" s="43">
        <v>0.95</v>
      </c>
      <c r="O4" s="29">
        <v>1400</v>
      </c>
      <c r="P4" s="29">
        <f t="shared" ref="P4:P32" si="3">O4*L4</f>
        <v>4869081.6510000005</v>
      </c>
      <c r="Q4" s="29">
        <f t="shared" si="0"/>
        <v>1696063.4417649999</v>
      </c>
      <c r="R4" s="29">
        <f t="shared" ref="R4:R32" si="4">P4-Q4</f>
        <v>3173018.2092350004</v>
      </c>
    </row>
    <row r="5" spans="1:20" ht="45" x14ac:dyDescent="0.25">
      <c r="A5" s="3">
        <v>3</v>
      </c>
      <c r="B5" s="9" t="s">
        <v>129</v>
      </c>
      <c r="C5" s="7" t="s">
        <v>125</v>
      </c>
      <c r="D5" s="7" t="s">
        <v>131</v>
      </c>
      <c r="E5" s="3">
        <v>2012</v>
      </c>
      <c r="F5" s="27" t="s">
        <v>244</v>
      </c>
      <c r="G5" s="4" t="s">
        <v>5</v>
      </c>
      <c r="H5" s="7" t="s">
        <v>64</v>
      </c>
      <c r="I5" s="14">
        <v>1</v>
      </c>
      <c r="J5" s="29">
        <f>J4</f>
        <v>323.52702000000005</v>
      </c>
      <c r="K5" s="29">
        <f t="shared" si="1"/>
        <v>323.52702000000005</v>
      </c>
      <c r="L5" s="29">
        <f t="shared" si="2"/>
        <v>3477.9154650000005</v>
      </c>
      <c r="M5" s="29">
        <v>30</v>
      </c>
      <c r="N5" s="43">
        <v>0.95</v>
      </c>
      <c r="O5" s="29">
        <v>1400</v>
      </c>
      <c r="P5" s="29">
        <f t="shared" si="3"/>
        <v>4869081.6510000005</v>
      </c>
      <c r="Q5" s="29">
        <f t="shared" si="0"/>
        <v>1696063.4417649999</v>
      </c>
      <c r="R5" s="29">
        <f t="shared" si="4"/>
        <v>3173018.2092350004</v>
      </c>
    </row>
    <row r="6" spans="1:20" ht="45" x14ac:dyDescent="0.25">
      <c r="A6" s="3">
        <v>4</v>
      </c>
      <c r="B6" s="9" t="s">
        <v>132</v>
      </c>
      <c r="C6" s="7" t="s">
        <v>130</v>
      </c>
      <c r="D6" s="7" t="s">
        <v>133</v>
      </c>
      <c r="E6" s="3">
        <v>2012</v>
      </c>
      <c r="F6" s="27" t="s">
        <v>244</v>
      </c>
      <c r="G6" s="8" t="s">
        <v>12</v>
      </c>
      <c r="H6" s="7" t="s">
        <v>64</v>
      </c>
      <c r="I6" s="14">
        <v>1</v>
      </c>
      <c r="J6" s="29">
        <f>J5</f>
        <v>323.52702000000005</v>
      </c>
      <c r="K6" s="29">
        <f t="shared" si="1"/>
        <v>323.52702000000005</v>
      </c>
      <c r="L6" s="29">
        <f t="shared" si="2"/>
        <v>3477.9154650000005</v>
      </c>
      <c r="M6" s="29">
        <v>30</v>
      </c>
      <c r="N6" s="43">
        <v>0.95</v>
      </c>
      <c r="O6" s="29">
        <v>1400</v>
      </c>
      <c r="P6" s="29">
        <f t="shared" si="3"/>
        <v>4869081.6510000005</v>
      </c>
      <c r="Q6" s="29">
        <f t="shared" si="0"/>
        <v>1696063.4417649999</v>
      </c>
      <c r="R6" s="29">
        <f t="shared" si="4"/>
        <v>3173018.2092350004</v>
      </c>
    </row>
    <row r="7" spans="1:20" ht="63" customHeight="1" x14ac:dyDescent="0.25">
      <c r="A7" s="3">
        <v>5</v>
      </c>
      <c r="B7" s="9" t="s">
        <v>150</v>
      </c>
      <c r="C7" s="8" t="s">
        <v>137</v>
      </c>
      <c r="D7" s="7" t="s">
        <v>138</v>
      </c>
      <c r="E7" s="3">
        <v>2014</v>
      </c>
      <c r="F7" s="27" t="s">
        <v>244</v>
      </c>
      <c r="G7" s="23" t="s">
        <v>239</v>
      </c>
      <c r="H7" s="7" t="s">
        <v>64</v>
      </c>
      <c r="I7" s="14">
        <v>2</v>
      </c>
      <c r="J7" s="29">
        <f>95.63*57.61</f>
        <v>5509.2442999999994</v>
      </c>
      <c r="K7" s="29">
        <f t="shared" si="1"/>
        <v>11018.488599999999</v>
      </c>
      <c r="L7" s="29">
        <f t="shared" si="2"/>
        <v>59224.376224999993</v>
      </c>
      <c r="M7" s="29">
        <v>30</v>
      </c>
      <c r="N7" s="43">
        <v>0.95</v>
      </c>
      <c r="O7" s="29">
        <v>1600</v>
      </c>
      <c r="P7" s="29">
        <f t="shared" si="3"/>
        <v>94759001.959999993</v>
      </c>
      <c r="Q7" s="29">
        <f t="shared" si="0"/>
        <v>27006315.558599994</v>
      </c>
      <c r="R7" s="29">
        <f t="shared" si="4"/>
        <v>67752686.4014</v>
      </c>
      <c r="T7" s="48" t="s">
        <v>7</v>
      </c>
    </row>
    <row r="8" spans="1:20" ht="45" x14ac:dyDescent="0.25">
      <c r="A8" s="3">
        <v>6</v>
      </c>
      <c r="B8" s="9" t="s">
        <v>142</v>
      </c>
      <c r="C8" s="8" t="s">
        <v>137</v>
      </c>
      <c r="D8" s="7" t="s">
        <v>138</v>
      </c>
      <c r="E8" s="3">
        <v>2014</v>
      </c>
      <c r="F8" s="27" t="s">
        <v>244</v>
      </c>
      <c r="G8" s="4" t="s">
        <v>5</v>
      </c>
      <c r="H8" s="7" t="s">
        <v>64</v>
      </c>
      <c r="I8" s="14">
        <v>2</v>
      </c>
      <c r="J8" s="29">
        <f>95.63*57.61</f>
        <v>5509.2442999999994</v>
      </c>
      <c r="K8" s="29">
        <f t="shared" si="1"/>
        <v>11018.488599999999</v>
      </c>
      <c r="L8" s="29">
        <f t="shared" si="2"/>
        <v>59224.376224999993</v>
      </c>
      <c r="M8" s="29">
        <v>30</v>
      </c>
      <c r="N8" s="43">
        <v>0.95</v>
      </c>
      <c r="O8" s="29">
        <v>1800</v>
      </c>
      <c r="P8" s="29">
        <f t="shared" si="3"/>
        <v>106603877.20499998</v>
      </c>
      <c r="Q8" s="29">
        <f t="shared" si="0"/>
        <v>30382105.003424995</v>
      </c>
      <c r="R8" s="29">
        <f t="shared" si="4"/>
        <v>76221772.201574981</v>
      </c>
    </row>
    <row r="9" spans="1:20" ht="30" x14ac:dyDescent="0.25">
      <c r="A9" s="3">
        <v>7</v>
      </c>
      <c r="B9" s="9" t="s">
        <v>139</v>
      </c>
      <c r="C9" s="8" t="s">
        <v>137</v>
      </c>
      <c r="D9" s="7" t="s">
        <v>140</v>
      </c>
      <c r="E9" s="3">
        <v>2014</v>
      </c>
      <c r="F9" s="27" t="s">
        <v>244</v>
      </c>
      <c r="G9" s="8" t="s">
        <v>9</v>
      </c>
      <c r="H9" s="7" t="s">
        <v>64</v>
      </c>
      <c r="I9" s="14">
        <v>2</v>
      </c>
      <c r="J9" s="29">
        <f>95.63*(30.6+1.8+1.8)</f>
        <v>3270.5459999999994</v>
      </c>
      <c r="K9" s="29">
        <f t="shared" si="1"/>
        <v>6541.0919999999987</v>
      </c>
      <c r="L9" s="29">
        <f t="shared" si="2"/>
        <v>35158.369499999993</v>
      </c>
      <c r="M9" s="29">
        <v>30</v>
      </c>
      <c r="N9" s="43">
        <v>0.95</v>
      </c>
      <c r="O9" s="29">
        <v>1800</v>
      </c>
      <c r="P9" s="29">
        <f t="shared" si="3"/>
        <v>63285065.099999987</v>
      </c>
      <c r="Q9" s="29">
        <f t="shared" si="0"/>
        <v>18036243.553499993</v>
      </c>
      <c r="R9" s="29">
        <f t="shared" si="4"/>
        <v>45248821.546499997</v>
      </c>
    </row>
    <row r="10" spans="1:20" ht="45" x14ac:dyDescent="0.25">
      <c r="A10" s="3">
        <v>8</v>
      </c>
      <c r="B10" s="9" t="s">
        <v>141</v>
      </c>
      <c r="C10" s="8" t="s">
        <v>137</v>
      </c>
      <c r="D10" s="7" t="s">
        <v>143</v>
      </c>
      <c r="E10" s="3">
        <v>2014</v>
      </c>
      <c r="F10" s="27" t="s">
        <v>244</v>
      </c>
      <c r="G10" s="4" t="s">
        <v>5</v>
      </c>
      <c r="H10" s="7" t="s">
        <v>64</v>
      </c>
      <c r="I10" s="14">
        <v>2</v>
      </c>
      <c r="J10" s="29">
        <f>13*95.63</f>
        <v>1243.19</v>
      </c>
      <c r="K10" s="29">
        <f t="shared" si="1"/>
        <v>2486.38</v>
      </c>
      <c r="L10" s="29">
        <f t="shared" si="2"/>
        <v>13364.292500000001</v>
      </c>
      <c r="M10" s="29">
        <v>30</v>
      </c>
      <c r="N10" s="43">
        <v>0.95</v>
      </c>
      <c r="O10" s="29">
        <v>1800</v>
      </c>
      <c r="P10" s="29">
        <f t="shared" si="3"/>
        <v>24055726.500000004</v>
      </c>
      <c r="Q10" s="29">
        <f t="shared" si="0"/>
        <v>6855882.0525000002</v>
      </c>
      <c r="R10" s="29">
        <f t="shared" si="4"/>
        <v>17199844.447500005</v>
      </c>
    </row>
    <row r="11" spans="1:20" ht="45" x14ac:dyDescent="0.25">
      <c r="A11" s="3">
        <v>9</v>
      </c>
      <c r="B11" s="9" t="s">
        <v>144</v>
      </c>
      <c r="C11" s="8" t="s">
        <v>137</v>
      </c>
      <c r="D11" s="7" t="s">
        <v>145</v>
      </c>
      <c r="E11" s="3">
        <v>2014</v>
      </c>
      <c r="F11" s="27" t="s">
        <v>244</v>
      </c>
      <c r="G11" s="8" t="s">
        <v>12</v>
      </c>
      <c r="H11" s="7" t="s">
        <v>64</v>
      </c>
      <c r="I11" s="14">
        <v>2</v>
      </c>
      <c r="J11" s="29">
        <f>J10</f>
        <v>1243.19</v>
      </c>
      <c r="K11" s="29">
        <f t="shared" si="1"/>
        <v>2486.38</v>
      </c>
      <c r="L11" s="29">
        <f t="shared" si="2"/>
        <v>13364.292500000001</v>
      </c>
      <c r="M11" s="29">
        <v>30</v>
      </c>
      <c r="N11" s="43">
        <v>0.95</v>
      </c>
      <c r="O11" s="29">
        <v>1400</v>
      </c>
      <c r="P11" s="29">
        <f t="shared" si="3"/>
        <v>18710009.500000004</v>
      </c>
      <c r="Q11" s="29">
        <f t="shared" si="0"/>
        <v>5332352.7074999996</v>
      </c>
      <c r="R11" s="29">
        <f t="shared" si="4"/>
        <v>13377656.792500004</v>
      </c>
    </row>
    <row r="12" spans="1:20" ht="45" x14ac:dyDescent="0.25">
      <c r="A12" s="3">
        <v>10</v>
      </c>
      <c r="B12" s="9" t="s">
        <v>146</v>
      </c>
      <c r="C12" s="8" t="s">
        <v>75</v>
      </c>
      <c r="D12" s="7" t="s">
        <v>145</v>
      </c>
      <c r="E12" s="3">
        <v>2014</v>
      </c>
      <c r="F12" s="27" t="s">
        <v>244</v>
      </c>
      <c r="G12" s="8" t="s">
        <v>12</v>
      </c>
      <c r="H12" s="7" t="s">
        <v>64</v>
      </c>
      <c r="I12" s="14">
        <v>2</v>
      </c>
      <c r="J12" s="29">
        <f>J11</f>
        <v>1243.19</v>
      </c>
      <c r="K12" s="29">
        <f t="shared" si="1"/>
        <v>2486.38</v>
      </c>
      <c r="L12" s="29">
        <f t="shared" si="2"/>
        <v>13364.292500000001</v>
      </c>
      <c r="M12" s="29">
        <v>30</v>
      </c>
      <c r="N12" s="43">
        <v>0.95</v>
      </c>
      <c r="O12" s="29">
        <v>1400</v>
      </c>
      <c r="P12" s="29">
        <f t="shared" si="3"/>
        <v>18710009.500000004</v>
      </c>
      <c r="Q12" s="29">
        <f t="shared" si="0"/>
        <v>5332352.7074999996</v>
      </c>
      <c r="R12" s="29">
        <f t="shared" si="4"/>
        <v>13377656.792500004</v>
      </c>
    </row>
    <row r="13" spans="1:20" ht="62.25" customHeight="1" x14ac:dyDescent="0.25">
      <c r="A13" s="3">
        <v>11</v>
      </c>
      <c r="B13" s="9" t="s">
        <v>166</v>
      </c>
      <c r="C13" s="8" t="s">
        <v>125</v>
      </c>
      <c r="D13" s="7" t="s">
        <v>155</v>
      </c>
      <c r="E13" s="3">
        <v>2014</v>
      </c>
      <c r="F13" s="27" t="s">
        <v>244</v>
      </c>
      <c r="G13" s="23" t="s">
        <v>239</v>
      </c>
      <c r="H13" s="7" t="s">
        <v>64</v>
      </c>
      <c r="I13" s="14">
        <v>1</v>
      </c>
      <c r="J13" s="29">
        <f>66.35*31.6</f>
        <v>2096.66</v>
      </c>
      <c r="K13" s="29">
        <f t="shared" si="1"/>
        <v>2096.66</v>
      </c>
      <c r="L13" s="29">
        <f t="shared" si="2"/>
        <v>22539.094999999998</v>
      </c>
      <c r="M13" s="29">
        <v>30</v>
      </c>
      <c r="N13" s="43">
        <v>0.95</v>
      </c>
      <c r="O13" s="29">
        <v>1400</v>
      </c>
      <c r="P13" s="29">
        <f t="shared" si="3"/>
        <v>31554732.999999996</v>
      </c>
      <c r="Q13" s="29">
        <f t="shared" si="0"/>
        <v>8993098.9049999975</v>
      </c>
      <c r="R13" s="29">
        <f t="shared" si="4"/>
        <v>22561634.094999999</v>
      </c>
      <c r="T13" s="48" t="s">
        <v>8</v>
      </c>
    </row>
    <row r="14" spans="1:20" ht="45" x14ac:dyDescent="0.25">
      <c r="A14" s="3">
        <v>12</v>
      </c>
      <c r="B14" s="9" t="s">
        <v>156</v>
      </c>
      <c r="C14" s="8" t="s">
        <v>125</v>
      </c>
      <c r="D14" s="7" t="s">
        <v>134</v>
      </c>
      <c r="E14" s="3">
        <v>2014</v>
      </c>
      <c r="F14" s="27" t="s">
        <v>244</v>
      </c>
      <c r="G14" s="4" t="s">
        <v>5</v>
      </c>
      <c r="H14" s="7" t="s">
        <v>64</v>
      </c>
      <c r="I14" s="14">
        <v>1</v>
      </c>
      <c r="J14" s="29">
        <f>66.39*31.6</f>
        <v>2097.924</v>
      </c>
      <c r="K14" s="29">
        <f t="shared" si="1"/>
        <v>2097.924</v>
      </c>
      <c r="L14" s="29">
        <f t="shared" si="2"/>
        <v>22552.683000000001</v>
      </c>
      <c r="M14" s="29">
        <v>30</v>
      </c>
      <c r="N14" s="43">
        <v>0.95</v>
      </c>
      <c r="O14" s="29">
        <v>1600</v>
      </c>
      <c r="P14" s="29">
        <f t="shared" si="3"/>
        <v>36084292.800000004</v>
      </c>
      <c r="Q14" s="29">
        <f t="shared" si="0"/>
        <v>10284023.447999999</v>
      </c>
      <c r="R14" s="29">
        <f t="shared" si="4"/>
        <v>25800269.352000006</v>
      </c>
    </row>
    <row r="15" spans="1:20" ht="45" x14ac:dyDescent="0.25">
      <c r="A15" s="3">
        <v>13</v>
      </c>
      <c r="B15" s="9" t="s">
        <v>157</v>
      </c>
      <c r="C15" s="8" t="s">
        <v>125</v>
      </c>
      <c r="D15" s="7" t="s">
        <v>158</v>
      </c>
      <c r="E15" s="3">
        <v>2014</v>
      </c>
      <c r="F15" s="27" t="s">
        <v>244</v>
      </c>
      <c r="G15" s="4" t="s">
        <v>5</v>
      </c>
      <c r="H15" s="7" t="s">
        <v>64</v>
      </c>
      <c r="I15" s="14">
        <v>1</v>
      </c>
      <c r="J15" s="29">
        <f>66.39*31.6</f>
        <v>2097.924</v>
      </c>
      <c r="K15" s="29">
        <f t="shared" si="1"/>
        <v>2097.924</v>
      </c>
      <c r="L15" s="29">
        <f t="shared" si="2"/>
        <v>22552.683000000001</v>
      </c>
      <c r="M15" s="29">
        <v>30</v>
      </c>
      <c r="N15" s="43">
        <v>0.95</v>
      </c>
      <c r="O15" s="29">
        <v>1400</v>
      </c>
      <c r="P15" s="29">
        <f t="shared" si="3"/>
        <v>31573756.200000003</v>
      </c>
      <c r="Q15" s="29">
        <f t="shared" si="0"/>
        <v>8998520.5170000009</v>
      </c>
      <c r="R15" s="29">
        <f t="shared" si="4"/>
        <v>22575235.683000002</v>
      </c>
    </row>
    <row r="16" spans="1:20" ht="45" x14ac:dyDescent="0.25">
      <c r="A16" s="3">
        <v>14</v>
      </c>
      <c r="B16" s="9" t="s">
        <v>159</v>
      </c>
      <c r="C16" s="8" t="s">
        <v>125</v>
      </c>
      <c r="D16" s="7" t="s">
        <v>160</v>
      </c>
      <c r="E16" s="3">
        <v>2014</v>
      </c>
      <c r="F16" s="27" t="s">
        <v>244</v>
      </c>
      <c r="G16" s="4" t="s">
        <v>5</v>
      </c>
      <c r="H16" s="7" t="s">
        <v>64</v>
      </c>
      <c r="I16" s="14">
        <v>1</v>
      </c>
      <c r="J16" s="29">
        <f>66.39*31.6</f>
        <v>2097.924</v>
      </c>
      <c r="K16" s="29">
        <f t="shared" si="1"/>
        <v>2097.924</v>
      </c>
      <c r="L16" s="29">
        <f t="shared" si="2"/>
        <v>22552.683000000001</v>
      </c>
      <c r="M16" s="29">
        <v>30</v>
      </c>
      <c r="N16" s="43">
        <v>0.95</v>
      </c>
      <c r="O16" s="29">
        <v>1400</v>
      </c>
      <c r="P16" s="29">
        <f t="shared" si="3"/>
        <v>31573756.200000003</v>
      </c>
      <c r="Q16" s="29">
        <f t="shared" si="0"/>
        <v>8998520.5170000009</v>
      </c>
      <c r="R16" s="29">
        <f t="shared" si="4"/>
        <v>22575235.683000002</v>
      </c>
    </row>
    <row r="17" spans="1:20" ht="45" x14ac:dyDescent="0.25">
      <c r="A17" s="3">
        <v>15</v>
      </c>
      <c r="B17" s="9" t="s">
        <v>161</v>
      </c>
      <c r="C17" s="8" t="s">
        <v>130</v>
      </c>
      <c r="D17" s="7" t="s">
        <v>163</v>
      </c>
      <c r="E17" s="3">
        <v>2014</v>
      </c>
      <c r="F17" s="27" t="s">
        <v>244</v>
      </c>
      <c r="G17" s="4" t="s">
        <v>5</v>
      </c>
      <c r="H17" s="7" t="s">
        <v>64</v>
      </c>
      <c r="I17" s="14">
        <v>1</v>
      </c>
      <c r="J17" s="29">
        <f>66.39*31.6</f>
        <v>2097.924</v>
      </c>
      <c r="K17" s="29">
        <f t="shared" si="1"/>
        <v>2097.924</v>
      </c>
      <c r="L17" s="29">
        <f t="shared" si="2"/>
        <v>22552.683000000001</v>
      </c>
      <c r="M17" s="29">
        <v>30</v>
      </c>
      <c r="N17" s="43">
        <v>0.95</v>
      </c>
      <c r="O17" s="29">
        <v>1400</v>
      </c>
      <c r="P17" s="29">
        <f t="shared" si="3"/>
        <v>31573756.200000003</v>
      </c>
      <c r="Q17" s="29">
        <f t="shared" si="0"/>
        <v>8998520.5170000009</v>
      </c>
      <c r="R17" s="29">
        <f t="shared" si="4"/>
        <v>22575235.683000002</v>
      </c>
    </row>
    <row r="18" spans="1:20" ht="45" x14ac:dyDescent="0.25">
      <c r="A18" s="3">
        <v>16</v>
      </c>
      <c r="B18" s="9" t="s">
        <v>162</v>
      </c>
      <c r="C18" s="8" t="s">
        <v>125</v>
      </c>
      <c r="D18" s="7" t="s">
        <v>163</v>
      </c>
      <c r="E18" s="3">
        <v>2014</v>
      </c>
      <c r="F18" s="27" t="s">
        <v>244</v>
      </c>
      <c r="G18" s="4" t="s">
        <v>5</v>
      </c>
      <c r="H18" s="7" t="s">
        <v>64</v>
      </c>
      <c r="I18" s="14">
        <v>1</v>
      </c>
      <c r="J18" s="29">
        <f>67.245*31.6</f>
        <v>2124.9420000000005</v>
      </c>
      <c r="K18" s="29">
        <f t="shared" si="1"/>
        <v>2124.9420000000005</v>
      </c>
      <c r="L18" s="29">
        <f t="shared" si="2"/>
        <v>22843.126500000006</v>
      </c>
      <c r="M18" s="29">
        <v>30</v>
      </c>
      <c r="N18" s="43">
        <v>0.95</v>
      </c>
      <c r="O18" s="29">
        <v>1400</v>
      </c>
      <c r="P18" s="29">
        <f t="shared" si="3"/>
        <v>31980377.100000009</v>
      </c>
      <c r="Q18" s="29">
        <f t="shared" si="0"/>
        <v>9114407.4735000022</v>
      </c>
      <c r="R18" s="29">
        <f t="shared" si="4"/>
        <v>22865969.626500007</v>
      </c>
    </row>
    <row r="19" spans="1:20" ht="45" x14ac:dyDescent="0.25">
      <c r="A19" s="3">
        <v>17</v>
      </c>
      <c r="B19" s="9" t="s">
        <v>164</v>
      </c>
      <c r="C19" s="8" t="s">
        <v>130</v>
      </c>
      <c r="D19" s="7" t="s">
        <v>165</v>
      </c>
      <c r="E19" s="3">
        <v>2014</v>
      </c>
      <c r="F19" s="27" t="s">
        <v>244</v>
      </c>
      <c r="G19" s="4" t="s">
        <v>5</v>
      </c>
      <c r="H19" s="7" t="s">
        <v>64</v>
      </c>
      <c r="I19" s="14">
        <v>1</v>
      </c>
      <c r="J19" s="29">
        <f>31*3.16</f>
        <v>97.960000000000008</v>
      </c>
      <c r="K19" s="29">
        <f t="shared" si="1"/>
        <v>97.960000000000008</v>
      </c>
      <c r="L19" s="29">
        <f t="shared" si="2"/>
        <v>1053.0700000000002</v>
      </c>
      <c r="M19" s="29">
        <v>30</v>
      </c>
      <c r="N19" s="43">
        <v>0.95</v>
      </c>
      <c r="O19" s="29">
        <v>1800</v>
      </c>
      <c r="P19" s="29">
        <f t="shared" si="3"/>
        <v>1895526.0000000002</v>
      </c>
      <c r="Q19" s="29">
        <f t="shared" si="0"/>
        <v>540224.91</v>
      </c>
      <c r="R19" s="29">
        <f t="shared" si="4"/>
        <v>1355301.0900000003</v>
      </c>
    </row>
    <row r="20" spans="1:20" ht="60.75" customHeight="1" x14ac:dyDescent="0.25">
      <c r="A20" s="3">
        <v>18</v>
      </c>
      <c r="B20" s="9" t="s">
        <v>151</v>
      </c>
      <c r="C20" s="8" t="s">
        <v>125</v>
      </c>
      <c r="D20" s="7" t="s">
        <v>134</v>
      </c>
      <c r="E20" s="3">
        <v>2012</v>
      </c>
      <c r="F20" s="27" t="s">
        <v>244</v>
      </c>
      <c r="G20" s="23" t="s">
        <v>239</v>
      </c>
      <c r="H20" s="7" t="s">
        <v>64</v>
      </c>
      <c r="I20" s="14">
        <v>1</v>
      </c>
      <c r="J20" s="29">
        <f>61.2*19.2</f>
        <v>1175.04</v>
      </c>
      <c r="K20" s="29">
        <f t="shared" si="1"/>
        <v>1175.04</v>
      </c>
      <c r="L20" s="29">
        <f t="shared" si="2"/>
        <v>12631.68</v>
      </c>
      <c r="M20" s="29">
        <v>30</v>
      </c>
      <c r="N20" s="43">
        <v>0.95</v>
      </c>
      <c r="O20" s="29">
        <v>1600</v>
      </c>
      <c r="P20" s="29">
        <f t="shared" si="3"/>
        <v>20210688</v>
      </c>
      <c r="Q20" s="29">
        <f t="shared" si="0"/>
        <v>7040056.3199999984</v>
      </c>
      <c r="R20" s="29">
        <f t="shared" si="4"/>
        <v>13170631.680000002</v>
      </c>
      <c r="T20" s="48" t="s">
        <v>9</v>
      </c>
    </row>
    <row r="21" spans="1:20" ht="45" x14ac:dyDescent="0.25">
      <c r="A21" s="3">
        <v>19</v>
      </c>
      <c r="B21" s="9" t="s">
        <v>152</v>
      </c>
      <c r="C21" s="8" t="s">
        <v>125</v>
      </c>
      <c r="D21" s="7" t="s">
        <v>135</v>
      </c>
      <c r="E21" s="3">
        <v>2012</v>
      </c>
      <c r="F21" s="27" t="s">
        <v>244</v>
      </c>
      <c r="G21" s="4" t="s">
        <v>5</v>
      </c>
      <c r="H21" s="7" t="s">
        <v>64</v>
      </c>
      <c r="I21" s="14">
        <v>1</v>
      </c>
      <c r="J21" s="29">
        <f t="shared" ref="J21:J22" si="5">61.2*19.2</f>
        <v>1175.04</v>
      </c>
      <c r="K21" s="29">
        <f t="shared" si="1"/>
        <v>1175.04</v>
      </c>
      <c r="L21" s="29">
        <f t="shared" si="2"/>
        <v>12631.68</v>
      </c>
      <c r="M21" s="29">
        <v>30</v>
      </c>
      <c r="N21" s="43">
        <v>0.95</v>
      </c>
      <c r="O21" s="29">
        <v>1400</v>
      </c>
      <c r="P21" s="29">
        <f t="shared" si="3"/>
        <v>17684352</v>
      </c>
      <c r="Q21" s="29">
        <f t="shared" si="0"/>
        <v>6160049.2799999993</v>
      </c>
      <c r="R21" s="29">
        <f t="shared" si="4"/>
        <v>11524302.720000001</v>
      </c>
    </row>
    <row r="22" spans="1:20" ht="45" x14ac:dyDescent="0.25">
      <c r="A22" s="3">
        <v>20</v>
      </c>
      <c r="B22" s="9" t="s">
        <v>153</v>
      </c>
      <c r="C22" s="8" t="s">
        <v>130</v>
      </c>
      <c r="D22" s="7" t="s">
        <v>136</v>
      </c>
      <c r="E22" s="3">
        <v>2012</v>
      </c>
      <c r="F22" s="27" t="s">
        <v>244</v>
      </c>
      <c r="G22" s="4" t="s">
        <v>5</v>
      </c>
      <c r="H22" s="7" t="s">
        <v>64</v>
      </c>
      <c r="I22" s="14">
        <v>1</v>
      </c>
      <c r="J22" s="29">
        <f t="shared" si="5"/>
        <v>1175.04</v>
      </c>
      <c r="K22" s="29">
        <f t="shared" si="1"/>
        <v>1175.04</v>
      </c>
      <c r="L22" s="29">
        <f t="shared" si="2"/>
        <v>12631.68</v>
      </c>
      <c r="M22" s="29">
        <v>30</v>
      </c>
      <c r="N22" s="43">
        <v>0.95</v>
      </c>
      <c r="O22" s="29">
        <v>1600</v>
      </c>
      <c r="P22" s="29">
        <f t="shared" si="3"/>
        <v>20210688</v>
      </c>
      <c r="Q22" s="29">
        <f t="shared" si="0"/>
        <v>7040056.3199999984</v>
      </c>
      <c r="R22" s="29">
        <f t="shared" si="4"/>
        <v>13170631.680000002</v>
      </c>
    </row>
    <row r="23" spans="1:20" ht="45" x14ac:dyDescent="0.25">
      <c r="A23" s="3">
        <v>21</v>
      </c>
      <c r="B23" s="9" t="s">
        <v>154</v>
      </c>
      <c r="C23" s="8" t="s">
        <v>125</v>
      </c>
      <c r="D23" s="7" t="s">
        <v>134</v>
      </c>
      <c r="E23" s="3">
        <v>2012</v>
      </c>
      <c r="F23" s="27" t="s">
        <v>244</v>
      </c>
      <c r="G23" s="4" t="s">
        <v>5</v>
      </c>
      <c r="H23" s="7" t="s">
        <v>64</v>
      </c>
      <c r="I23" s="14">
        <v>1</v>
      </c>
      <c r="J23" s="29">
        <f>26.1*19.2</f>
        <v>501.12</v>
      </c>
      <c r="K23" s="29">
        <f t="shared" si="1"/>
        <v>501.12</v>
      </c>
      <c r="L23" s="29">
        <f t="shared" si="2"/>
        <v>5387.04</v>
      </c>
      <c r="M23" s="29">
        <v>30</v>
      </c>
      <c r="N23" s="43">
        <v>0.95</v>
      </c>
      <c r="O23" s="29">
        <v>1600</v>
      </c>
      <c r="P23" s="29">
        <f t="shared" si="3"/>
        <v>8619264</v>
      </c>
      <c r="Q23" s="29">
        <f t="shared" si="0"/>
        <v>3002376.96</v>
      </c>
      <c r="R23" s="29">
        <f t="shared" si="4"/>
        <v>5616887.04</v>
      </c>
    </row>
    <row r="24" spans="1:20" ht="26.45" customHeight="1" x14ac:dyDescent="0.25">
      <c r="A24" s="3">
        <v>22</v>
      </c>
      <c r="B24" s="9" t="s">
        <v>20</v>
      </c>
      <c r="C24" s="8" t="s">
        <v>55</v>
      </c>
      <c r="D24" s="7" t="s">
        <v>90</v>
      </c>
      <c r="E24" s="3">
        <v>2014</v>
      </c>
      <c r="F24" s="27" t="s">
        <v>244</v>
      </c>
      <c r="G24" s="4" t="s">
        <v>5</v>
      </c>
      <c r="H24" s="7" t="s">
        <v>64</v>
      </c>
      <c r="I24" s="14">
        <v>1</v>
      </c>
      <c r="J24" s="29">
        <f>7.85*7.85</f>
        <v>61.622499999999995</v>
      </c>
      <c r="K24" s="29">
        <f t="shared" si="1"/>
        <v>61.622499999999995</v>
      </c>
      <c r="L24" s="29">
        <f t="shared" si="2"/>
        <v>662.44187499999998</v>
      </c>
      <c r="M24" s="29">
        <v>30</v>
      </c>
      <c r="N24" s="43">
        <v>0.95</v>
      </c>
      <c r="O24" s="29">
        <v>1400</v>
      </c>
      <c r="P24" s="29">
        <f t="shared" si="3"/>
        <v>927418.625</v>
      </c>
      <c r="Q24" s="29">
        <f t="shared" si="0"/>
        <v>264314.30812499998</v>
      </c>
      <c r="R24" s="29">
        <f t="shared" si="4"/>
        <v>663104.31687500002</v>
      </c>
      <c r="T24" s="48" t="s">
        <v>10</v>
      </c>
    </row>
    <row r="25" spans="1:20" ht="63.75" customHeight="1" x14ac:dyDescent="0.25">
      <c r="A25" s="3">
        <v>23</v>
      </c>
      <c r="B25" s="9" t="s">
        <v>21</v>
      </c>
      <c r="C25" s="8" t="s">
        <v>56</v>
      </c>
      <c r="D25" s="7" t="s">
        <v>148</v>
      </c>
      <c r="E25" s="3">
        <v>2013</v>
      </c>
      <c r="F25" s="27" t="s">
        <v>244</v>
      </c>
      <c r="G25" s="23" t="s">
        <v>239</v>
      </c>
      <c r="H25" s="7" t="s">
        <v>64</v>
      </c>
      <c r="I25" s="14">
        <v>1</v>
      </c>
      <c r="J25" s="29">
        <f>10.5*29</f>
        <v>304.5</v>
      </c>
      <c r="K25" s="29">
        <f t="shared" si="1"/>
        <v>304.5</v>
      </c>
      <c r="L25" s="29">
        <f t="shared" si="2"/>
        <v>3273.375</v>
      </c>
      <c r="M25" s="29">
        <v>30</v>
      </c>
      <c r="N25" s="43">
        <v>0.95</v>
      </c>
      <c r="O25" s="29">
        <v>1600</v>
      </c>
      <c r="P25" s="29">
        <f t="shared" si="3"/>
        <v>5237400</v>
      </c>
      <c r="Q25" s="29">
        <f t="shared" si="0"/>
        <v>1658509.9999999998</v>
      </c>
      <c r="R25" s="29">
        <f t="shared" si="4"/>
        <v>3578890</v>
      </c>
      <c r="T25" s="48" t="s">
        <v>11</v>
      </c>
    </row>
    <row r="26" spans="1:20" ht="45" x14ac:dyDescent="0.25">
      <c r="A26" s="3">
        <v>24</v>
      </c>
      <c r="B26" s="9"/>
      <c r="C26" s="8" t="s">
        <v>56</v>
      </c>
      <c r="D26" s="7" t="s">
        <v>147</v>
      </c>
      <c r="E26" s="3">
        <v>2013</v>
      </c>
      <c r="F26" s="27" t="s">
        <v>244</v>
      </c>
      <c r="G26" s="4" t="s">
        <v>5</v>
      </c>
      <c r="H26" s="7" t="s">
        <v>64</v>
      </c>
      <c r="I26" s="14">
        <v>1</v>
      </c>
      <c r="J26" s="29">
        <f>16.5*29</f>
        <v>478.5</v>
      </c>
      <c r="K26" s="29">
        <f t="shared" si="1"/>
        <v>478.5</v>
      </c>
      <c r="L26" s="29">
        <f t="shared" si="2"/>
        <v>5143.875</v>
      </c>
      <c r="M26" s="29">
        <v>30</v>
      </c>
      <c r="N26" s="43">
        <v>0.95</v>
      </c>
      <c r="O26" s="29">
        <v>1600</v>
      </c>
      <c r="P26" s="29">
        <f t="shared" si="3"/>
        <v>8230200</v>
      </c>
      <c r="Q26" s="29">
        <f t="shared" si="0"/>
        <v>2606229.9999999995</v>
      </c>
      <c r="R26" s="29">
        <f t="shared" si="4"/>
        <v>5623970</v>
      </c>
    </row>
    <row r="27" spans="1:20" ht="21.6" customHeight="1" x14ac:dyDescent="0.25">
      <c r="A27" s="3">
        <v>25</v>
      </c>
      <c r="B27" s="33" t="s">
        <v>26</v>
      </c>
      <c r="C27" s="34" t="s">
        <v>57</v>
      </c>
      <c r="D27" s="35" t="s">
        <v>88</v>
      </c>
      <c r="E27" s="32">
        <v>2016</v>
      </c>
      <c r="F27" s="36" t="s">
        <v>244</v>
      </c>
      <c r="G27" s="37" t="s">
        <v>5</v>
      </c>
      <c r="H27" s="35" t="s">
        <v>64</v>
      </c>
      <c r="I27" s="38">
        <v>6</v>
      </c>
      <c r="J27" s="39">
        <f>37.4*31.4</f>
        <v>1174.3599999999999</v>
      </c>
      <c r="K27" s="39">
        <f t="shared" si="1"/>
        <v>7046.16</v>
      </c>
      <c r="L27" s="39">
        <f t="shared" si="2"/>
        <v>12624.369999999999</v>
      </c>
      <c r="M27" s="29">
        <v>30</v>
      </c>
      <c r="N27" s="43">
        <v>0.95</v>
      </c>
      <c r="O27" s="29">
        <v>1400</v>
      </c>
      <c r="P27" s="29">
        <f t="shared" si="3"/>
        <v>17674118</v>
      </c>
      <c r="Q27" s="29">
        <f t="shared" si="0"/>
        <v>3917762.8233333323</v>
      </c>
      <c r="R27" s="29">
        <f t="shared" si="4"/>
        <v>13756355.176666668</v>
      </c>
    </row>
    <row r="28" spans="1:20" ht="21" customHeight="1" x14ac:dyDescent="0.25">
      <c r="A28" s="3">
        <v>26</v>
      </c>
      <c r="B28" s="17" t="s">
        <v>25</v>
      </c>
      <c r="C28" s="7" t="s">
        <v>58</v>
      </c>
      <c r="D28" s="7" t="s">
        <v>89</v>
      </c>
      <c r="E28" s="3">
        <v>2014</v>
      </c>
      <c r="F28" s="27" t="s">
        <v>244</v>
      </c>
      <c r="G28" s="4" t="s">
        <v>5</v>
      </c>
      <c r="H28" s="7" t="s">
        <v>64</v>
      </c>
      <c r="I28" s="14">
        <v>2</v>
      </c>
      <c r="J28" s="29">
        <f>12.57*26</f>
        <v>326.82</v>
      </c>
      <c r="K28" s="29">
        <f t="shared" si="1"/>
        <v>653.64</v>
      </c>
      <c r="L28" s="29">
        <f t="shared" si="2"/>
        <v>3513.3150000000001</v>
      </c>
      <c r="M28" s="29">
        <v>30</v>
      </c>
      <c r="N28" s="43">
        <v>0.95</v>
      </c>
      <c r="O28" s="29">
        <v>1600</v>
      </c>
      <c r="P28" s="29">
        <f t="shared" si="3"/>
        <v>5621304</v>
      </c>
      <c r="Q28" s="29">
        <f t="shared" si="0"/>
        <v>1602071.6399999997</v>
      </c>
      <c r="R28" s="29">
        <f t="shared" si="4"/>
        <v>4019232.3600000003</v>
      </c>
    </row>
    <row r="29" spans="1:20" ht="45" x14ac:dyDescent="0.25">
      <c r="A29" s="3">
        <v>27</v>
      </c>
      <c r="B29" s="17" t="s">
        <v>22</v>
      </c>
      <c r="C29" s="7" t="s">
        <v>58</v>
      </c>
      <c r="D29" s="7" t="s">
        <v>119</v>
      </c>
      <c r="E29" s="3">
        <v>2012</v>
      </c>
      <c r="F29" s="27" t="s">
        <v>244</v>
      </c>
      <c r="G29" s="8" t="s">
        <v>12</v>
      </c>
      <c r="H29" s="7" t="s">
        <v>64</v>
      </c>
      <c r="I29" s="14">
        <v>1</v>
      </c>
      <c r="J29" s="29">
        <f>32.4*20</f>
        <v>648</v>
      </c>
      <c r="K29" s="29">
        <f t="shared" si="1"/>
        <v>648</v>
      </c>
      <c r="L29" s="29">
        <f t="shared" si="2"/>
        <v>6966</v>
      </c>
      <c r="M29" s="29">
        <v>30</v>
      </c>
      <c r="N29" s="43">
        <v>0.95</v>
      </c>
      <c r="O29" s="29">
        <v>1600</v>
      </c>
      <c r="P29" s="29">
        <f t="shared" si="3"/>
        <v>11145600</v>
      </c>
      <c r="Q29" s="29">
        <f t="shared" si="0"/>
        <v>3882383.9999999995</v>
      </c>
      <c r="R29" s="29">
        <f t="shared" si="4"/>
        <v>7263216</v>
      </c>
    </row>
    <row r="30" spans="1:20" ht="45" x14ac:dyDescent="0.25">
      <c r="A30" s="3">
        <v>28</v>
      </c>
      <c r="B30" s="17" t="s">
        <v>22</v>
      </c>
      <c r="C30" s="7" t="s">
        <v>58</v>
      </c>
      <c r="D30" s="7" t="s">
        <v>175</v>
      </c>
      <c r="E30" s="3">
        <v>2012</v>
      </c>
      <c r="F30" s="27" t="s">
        <v>244</v>
      </c>
      <c r="G30" s="4" t="s">
        <v>5</v>
      </c>
      <c r="H30" s="7" t="s">
        <v>64</v>
      </c>
      <c r="I30" s="14">
        <v>1</v>
      </c>
      <c r="J30" s="29">
        <f>18.6*24.6</f>
        <v>457.56000000000006</v>
      </c>
      <c r="K30" s="29">
        <f t="shared" si="1"/>
        <v>457.56000000000006</v>
      </c>
      <c r="L30" s="29">
        <f t="shared" si="2"/>
        <v>4918.7700000000004</v>
      </c>
      <c r="M30" s="29">
        <v>30</v>
      </c>
      <c r="N30" s="43">
        <v>0.95</v>
      </c>
      <c r="O30" s="29">
        <v>1600</v>
      </c>
      <c r="P30" s="29">
        <f t="shared" si="3"/>
        <v>7870032.0000000009</v>
      </c>
      <c r="Q30" s="29">
        <f t="shared" si="0"/>
        <v>2741394.48</v>
      </c>
      <c r="R30" s="29">
        <f t="shared" si="4"/>
        <v>5128637.5200000014</v>
      </c>
    </row>
    <row r="31" spans="1:20" ht="45" x14ac:dyDescent="0.25">
      <c r="A31" s="3">
        <v>29</v>
      </c>
      <c r="B31" s="17" t="s">
        <v>173</v>
      </c>
      <c r="C31" s="7" t="s">
        <v>172</v>
      </c>
      <c r="D31" s="7" t="s">
        <v>116</v>
      </c>
      <c r="E31" s="3">
        <v>2012</v>
      </c>
      <c r="F31" s="27" t="s">
        <v>244</v>
      </c>
      <c r="G31" s="8" t="s">
        <v>12</v>
      </c>
      <c r="H31" s="7" t="s">
        <v>64</v>
      </c>
      <c r="I31" s="14">
        <v>1</v>
      </c>
      <c r="J31" s="29">
        <v>918</v>
      </c>
      <c r="K31" s="29">
        <f t="shared" si="1"/>
        <v>918</v>
      </c>
      <c r="L31" s="29">
        <f t="shared" si="2"/>
        <v>9868.5</v>
      </c>
      <c r="M31" s="29">
        <v>30</v>
      </c>
      <c r="N31" s="43">
        <v>0.95</v>
      </c>
      <c r="O31" s="29">
        <v>1600</v>
      </c>
      <c r="P31" s="29">
        <f t="shared" si="3"/>
        <v>15789600</v>
      </c>
      <c r="Q31" s="29">
        <f t="shared" si="0"/>
        <v>5500043.9999999991</v>
      </c>
      <c r="R31" s="29">
        <f t="shared" si="4"/>
        <v>10289556</v>
      </c>
    </row>
    <row r="32" spans="1:20" ht="45" x14ac:dyDescent="0.25">
      <c r="A32" s="3">
        <v>30</v>
      </c>
      <c r="B32" s="17" t="s">
        <v>153</v>
      </c>
      <c r="C32" s="7" t="s">
        <v>172</v>
      </c>
      <c r="D32" s="7" t="s">
        <v>174</v>
      </c>
      <c r="E32" s="3">
        <v>2012</v>
      </c>
      <c r="F32" s="27" t="s">
        <v>244</v>
      </c>
      <c r="G32" s="4" t="s">
        <v>5</v>
      </c>
      <c r="H32" s="7" t="s">
        <v>64</v>
      </c>
      <c r="I32" s="14">
        <v>1</v>
      </c>
      <c r="J32" s="29">
        <f>10.5*20.8</f>
        <v>218.4</v>
      </c>
      <c r="K32" s="29">
        <f t="shared" si="1"/>
        <v>218.4</v>
      </c>
      <c r="L32" s="29">
        <f t="shared" si="2"/>
        <v>2347.8000000000002</v>
      </c>
      <c r="M32" s="29">
        <v>30</v>
      </c>
      <c r="N32" s="43">
        <v>0.95</v>
      </c>
      <c r="O32" s="29">
        <v>1800</v>
      </c>
      <c r="P32" s="29">
        <f t="shared" si="3"/>
        <v>4226040</v>
      </c>
      <c r="Q32" s="29">
        <f t="shared" si="0"/>
        <v>1472070.5999999996</v>
      </c>
      <c r="R32" s="29">
        <f t="shared" si="4"/>
        <v>2753969.4000000004</v>
      </c>
    </row>
    <row r="33" spans="1:18" ht="19.899999999999999" customHeight="1" x14ac:dyDescent="0.25">
      <c r="A33" s="3">
        <v>31</v>
      </c>
      <c r="B33" s="13" t="s">
        <v>41</v>
      </c>
      <c r="C33" s="7" t="s">
        <v>58</v>
      </c>
      <c r="D33" s="7" t="s">
        <v>115</v>
      </c>
      <c r="E33" s="3">
        <v>2013</v>
      </c>
      <c r="F33" s="27" t="s">
        <v>252</v>
      </c>
      <c r="G33" s="4" t="s">
        <v>5</v>
      </c>
      <c r="H33" s="7" t="s">
        <v>64</v>
      </c>
      <c r="I33" s="14">
        <v>1</v>
      </c>
      <c r="J33" s="29">
        <f>3*3*3.28</f>
        <v>29.52</v>
      </c>
      <c r="K33" s="29">
        <f t="shared" si="1"/>
        <v>29.52</v>
      </c>
      <c r="L33" s="29">
        <f t="shared" si="2"/>
        <v>317.33999999999997</v>
      </c>
      <c r="M33" s="29">
        <v>30</v>
      </c>
      <c r="N33" s="43">
        <v>0.95</v>
      </c>
      <c r="O33" s="29">
        <v>1200</v>
      </c>
      <c r="P33" s="29">
        <f>O33*L33</f>
        <v>380807.99999999994</v>
      </c>
      <c r="Q33" s="29">
        <f t="shared" si="0"/>
        <v>120589.19999999997</v>
      </c>
      <c r="R33" s="29">
        <f>P33-Q33</f>
        <v>260218.8</v>
      </c>
    </row>
    <row r="34" spans="1:18" ht="19.899999999999999" customHeight="1" x14ac:dyDescent="0.25">
      <c r="A34" s="3">
        <v>32</v>
      </c>
      <c r="B34" s="21" t="s">
        <v>28</v>
      </c>
      <c r="C34" s="4"/>
      <c r="D34" s="7"/>
      <c r="E34" s="3"/>
      <c r="F34" s="3"/>
      <c r="G34" s="4"/>
      <c r="H34" s="3"/>
      <c r="I34" s="14"/>
      <c r="J34" s="29"/>
      <c r="K34" s="29"/>
      <c r="L34" s="29"/>
      <c r="M34" s="29"/>
      <c r="N34" s="29"/>
      <c r="O34" s="29"/>
      <c r="P34" s="29"/>
      <c r="Q34" s="29"/>
      <c r="R34" s="29"/>
    </row>
    <row r="35" spans="1:18" ht="45" x14ac:dyDescent="0.25">
      <c r="A35" s="3">
        <v>33</v>
      </c>
      <c r="B35" s="17" t="s">
        <v>29</v>
      </c>
      <c r="C35" s="8" t="s">
        <v>74</v>
      </c>
      <c r="D35" s="7" t="s">
        <v>109</v>
      </c>
      <c r="E35" s="3">
        <v>2013</v>
      </c>
      <c r="F35" s="27" t="s">
        <v>244</v>
      </c>
      <c r="G35" s="4" t="s">
        <v>5</v>
      </c>
      <c r="H35" s="3" t="s">
        <v>64</v>
      </c>
      <c r="I35" s="14">
        <v>1</v>
      </c>
      <c r="J35" s="29">
        <f>24*41.65</f>
        <v>999.59999999999991</v>
      </c>
      <c r="K35" s="29">
        <f t="shared" si="1"/>
        <v>999.59999999999991</v>
      </c>
      <c r="L35" s="29">
        <f t="shared" si="2"/>
        <v>10745.699999999999</v>
      </c>
      <c r="M35" s="29">
        <v>30</v>
      </c>
      <c r="N35" s="43">
        <v>0.95</v>
      </c>
      <c r="O35" s="29">
        <v>1600</v>
      </c>
      <c r="P35" s="29">
        <f t="shared" ref="P35:P42" si="6">O35*L35</f>
        <v>17193120</v>
      </c>
      <c r="Q35" s="29">
        <f t="shared" ref="Q35:Q42" si="7">P35*(N35/M35)*($Q$1-E35)</f>
        <v>5444487.9999999991</v>
      </c>
      <c r="R35" s="29">
        <f t="shared" ref="R35:R42" si="8">P35-Q35</f>
        <v>11748632</v>
      </c>
    </row>
    <row r="36" spans="1:18" ht="45" x14ac:dyDescent="0.25">
      <c r="A36" s="3">
        <v>34</v>
      </c>
      <c r="B36" s="17" t="s">
        <v>24</v>
      </c>
      <c r="C36" s="8" t="s">
        <v>55</v>
      </c>
      <c r="D36" s="7" t="s">
        <v>110</v>
      </c>
      <c r="E36" s="3">
        <v>2012</v>
      </c>
      <c r="F36" s="27" t="s">
        <v>244</v>
      </c>
      <c r="G36" s="4" t="s">
        <v>5</v>
      </c>
      <c r="H36" s="7" t="s">
        <v>64</v>
      </c>
      <c r="I36" s="14">
        <v>1</v>
      </c>
      <c r="J36" s="29">
        <f>65.66*22.66</f>
        <v>1487.8555999999999</v>
      </c>
      <c r="K36" s="29">
        <f t="shared" si="1"/>
        <v>1487.8555999999999</v>
      </c>
      <c r="L36" s="29">
        <f t="shared" si="2"/>
        <v>15994.447699999999</v>
      </c>
      <c r="M36" s="29">
        <v>30</v>
      </c>
      <c r="N36" s="43">
        <v>0.95</v>
      </c>
      <c r="O36" s="29">
        <v>1600</v>
      </c>
      <c r="P36" s="29">
        <f t="shared" si="6"/>
        <v>25591116.319999997</v>
      </c>
      <c r="Q36" s="29">
        <f t="shared" si="7"/>
        <v>8914238.851466665</v>
      </c>
      <c r="R36" s="29">
        <f t="shared" si="8"/>
        <v>16676877.468533332</v>
      </c>
    </row>
    <row r="37" spans="1:18" ht="45" x14ac:dyDescent="0.25">
      <c r="A37" s="3">
        <v>35</v>
      </c>
      <c r="B37" s="17" t="s">
        <v>33</v>
      </c>
      <c r="C37" s="8" t="s">
        <v>55</v>
      </c>
      <c r="D37" s="7" t="s">
        <v>112</v>
      </c>
      <c r="E37" s="3">
        <v>2013</v>
      </c>
      <c r="F37" s="27" t="s">
        <v>244</v>
      </c>
      <c r="G37" s="4" t="s">
        <v>5</v>
      </c>
      <c r="H37" s="7" t="s">
        <v>64</v>
      </c>
      <c r="I37" s="14">
        <v>1</v>
      </c>
      <c r="J37" s="29">
        <f>41.475*9</f>
        <v>373.27500000000003</v>
      </c>
      <c r="K37" s="29">
        <f t="shared" si="1"/>
        <v>373.27500000000003</v>
      </c>
      <c r="L37" s="29">
        <f t="shared" si="2"/>
        <v>4012.7062500000002</v>
      </c>
      <c r="M37" s="29">
        <v>30</v>
      </c>
      <c r="N37" s="43">
        <v>0.95</v>
      </c>
      <c r="O37" s="29">
        <v>1800</v>
      </c>
      <c r="P37" s="29">
        <f t="shared" si="6"/>
        <v>7222871.25</v>
      </c>
      <c r="Q37" s="29">
        <f t="shared" si="7"/>
        <v>2287242.5625</v>
      </c>
      <c r="R37" s="29">
        <f t="shared" si="8"/>
        <v>4935628.6875</v>
      </c>
    </row>
    <row r="38" spans="1:18" ht="45" x14ac:dyDescent="0.25">
      <c r="A38" s="3">
        <v>36</v>
      </c>
      <c r="B38" s="17" t="s">
        <v>30</v>
      </c>
      <c r="C38" s="8" t="s">
        <v>55</v>
      </c>
      <c r="D38" s="7" t="s">
        <v>113</v>
      </c>
      <c r="E38" s="3">
        <v>2012</v>
      </c>
      <c r="F38" s="27" t="s">
        <v>244</v>
      </c>
      <c r="G38" s="4" t="s">
        <v>5</v>
      </c>
      <c r="H38" s="7" t="s">
        <v>64</v>
      </c>
      <c r="I38" s="14">
        <v>1</v>
      </c>
      <c r="J38" s="29">
        <f>9.7*32</f>
        <v>310.39999999999998</v>
      </c>
      <c r="K38" s="29">
        <f t="shared" si="1"/>
        <v>310.39999999999998</v>
      </c>
      <c r="L38" s="29">
        <f t="shared" si="2"/>
        <v>3336.7999999999997</v>
      </c>
      <c r="M38" s="29">
        <v>30</v>
      </c>
      <c r="N38" s="43">
        <v>0.95</v>
      </c>
      <c r="O38" s="29">
        <v>1600</v>
      </c>
      <c r="P38" s="29">
        <f t="shared" si="6"/>
        <v>5338880</v>
      </c>
      <c r="Q38" s="29">
        <f t="shared" si="7"/>
        <v>1859709.8666666662</v>
      </c>
      <c r="R38" s="29">
        <f t="shared" si="8"/>
        <v>3479170.1333333338</v>
      </c>
    </row>
    <row r="39" spans="1:18" ht="45" x14ac:dyDescent="0.25">
      <c r="A39" s="3">
        <v>37</v>
      </c>
      <c r="B39" s="17" t="s">
        <v>34</v>
      </c>
      <c r="C39" s="8" t="s">
        <v>55</v>
      </c>
      <c r="D39" s="7" t="s">
        <v>111</v>
      </c>
      <c r="E39" s="3">
        <v>2012</v>
      </c>
      <c r="F39" s="27" t="s">
        <v>244</v>
      </c>
      <c r="G39" s="4" t="s">
        <v>5</v>
      </c>
      <c r="H39" s="7" t="s">
        <v>64</v>
      </c>
      <c r="I39" s="14">
        <v>1</v>
      </c>
      <c r="J39" s="29">
        <f>10.55*10.7</f>
        <v>112.88500000000001</v>
      </c>
      <c r="K39" s="29">
        <f t="shared" si="1"/>
        <v>112.88500000000001</v>
      </c>
      <c r="L39" s="29">
        <f t="shared" si="2"/>
        <v>1213.5137500000001</v>
      </c>
      <c r="M39" s="29">
        <v>30</v>
      </c>
      <c r="N39" s="43">
        <v>0.95</v>
      </c>
      <c r="O39" s="29">
        <v>1600</v>
      </c>
      <c r="P39" s="29">
        <f t="shared" si="6"/>
        <v>1941622</v>
      </c>
      <c r="Q39" s="29">
        <f t="shared" si="7"/>
        <v>676331.66333333321</v>
      </c>
      <c r="R39" s="29">
        <f t="shared" si="8"/>
        <v>1265290.3366666669</v>
      </c>
    </row>
    <row r="40" spans="1:18" ht="45" x14ac:dyDescent="0.25">
      <c r="A40" s="3">
        <v>38</v>
      </c>
      <c r="B40" s="17" t="s">
        <v>31</v>
      </c>
      <c r="C40" s="8" t="s">
        <v>55</v>
      </c>
      <c r="D40" s="7" t="s">
        <v>110</v>
      </c>
      <c r="E40" s="3">
        <v>2013</v>
      </c>
      <c r="F40" s="27" t="s">
        <v>244</v>
      </c>
      <c r="G40" s="4" t="s">
        <v>5</v>
      </c>
      <c r="H40" s="7" t="s">
        <v>64</v>
      </c>
      <c r="I40" s="14">
        <v>1</v>
      </c>
      <c r="J40" s="29">
        <f>19.65*16</f>
        <v>314.39999999999998</v>
      </c>
      <c r="K40" s="29">
        <f t="shared" si="1"/>
        <v>314.39999999999998</v>
      </c>
      <c r="L40" s="29">
        <f t="shared" si="2"/>
        <v>3379.7999999999997</v>
      </c>
      <c r="M40" s="29">
        <v>30</v>
      </c>
      <c r="N40" s="43">
        <v>0.95</v>
      </c>
      <c r="O40" s="29">
        <v>1600</v>
      </c>
      <c r="P40" s="29">
        <f t="shared" si="6"/>
        <v>5407680</v>
      </c>
      <c r="Q40" s="29">
        <f t="shared" si="7"/>
        <v>1712431.9999999998</v>
      </c>
      <c r="R40" s="29">
        <f t="shared" si="8"/>
        <v>3695248</v>
      </c>
    </row>
    <row r="41" spans="1:18" x14ac:dyDescent="0.25">
      <c r="A41" s="3">
        <v>39</v>
      </c>
      <c r="B41" s="16" t="s">
        <v>35</v>
      </c>
      <c r="C41" s="7" t="s">
        <v>61</v>
      </c>
      <c r="D41" s="7" t="s">
        <v>114</v>
      </c>
      <c r="E41" s="3">
        <v>2015</v>
      </c>
      <c r="F41" s="27" t="s">
        <v>244</v>
      </c>
      <c r="G41" s="8" t="s">
        <v>6</v>
      </c>
      <c r="H41" s="7" t="s">
        <v>63</v>
      </c>
      <c r="I41" s="14">
        <v>1</v>
      </c>
      <c r="J41" s="29">
        <f>8*4</f>
        <v>32</v>
      </c>
      <c r="K41" s="29">
        <f t="shared" si="1"/>
        <v>32</v>
      </c>
      <c r="L41" s="29">
        <f t="shared" si="2"/>
        <v>344</v>
      </c>
      <c r="M41" s="29">
        <v>30</v>
      </c>
      <c r="N41" s="43">
        <v>0.95</v>
      </c>
      <c r="O41" s="29">
        <v>1400</v>
      </c>
      <c r="P41" s="29">
        <f t="shared" si="6"/>
        <v>481600</v>
      </c>
      <c r="Q41" s="29">
        <f t="shared" si="7"/>
        <v>122005.33333333331</v>
      </c>
      <c r="R41" s="29">
        <f t="shared" si="8"/>
        <v>359594.66666666669</v>
      </c>
    </row>
    <row r="42" spans="1:18" ht="30" x14ac:dyDescent="0.25">
      <c r="A42" s="3">
        <v>40</v>
      </c>
      <c r="B42" s="18" t="s">
        <v>36</v>
      </c>
      <c r="C42" s="7" t="s">
        <v>61</v>
      </c>
      <c r="D42" s="7" t="s">
        <v>114</v>
      </c>
      <c r="E42" s="3">
        <v>2015</v>
      </c>
      <c r="F42" s="27" t="s">
        <v>244</v>
      </c>
      <c r="G42" s="8" t="s">
        <v>7</v>
      </c>
      <c r="H42" s="7" t="s">
        <v>63</v>
      </c>
      <c r="I42" s="14">
        <v>1</v>
      </c>
      <c r="J42" s="29">
        <f>11.5*8.2</f>
        <v>94.3</v>
      </c>
      <c r="K42" s="29">
        <f t="shared" si="1"/>
        <v>94.3</v>
      </c>
      <c r="L42" s="29">
        <f t="shared" si="2"/>
        <v>1013.725</v>
      </c>
      <c r="M42" s="29">
        <v>30</v>
      </c>
      <c r="N42" s="43">
        <v>0.95</v>
      </c>
      <c r="O42" s="29">
        <v>1200</v>
      </c>
      <c r="P42" s="29">
        <f t="shared" si="6"/>
        <v>1216470</v>
      </c>
      <c r="Q42" s="29">
        <f t="shared" si="7"/>
        <v>308172.39999999997</v>
      </c>
      <c r="R42" s="29">
        <f t="shared" si="8"/>
        <v>908297.60000000009</v>
      </c>
    </row>
    <row r="43" spans="1:18" ht="19.899999999999999" customHeight="1" x14ac:dyDescent="0.25">
      <c r="A43" s="3">
        <v>41</v>
      </c>
      <c r="B43" s="21" t="s">
        <v>32</v>
      </c>
      <c r="C43" s="4"/>
      <c r="D43" s="7"/>
      <c r="E43" s="3"/>
      <c r="F43" s="3"/>
      <c r="G43" s="4"/>
      <c r="H43" s="7"/>
      <c r="I43" s="14"/>
      <c r="J43" s="29"/>
      <c r="K43" s="29"/>
      <c r="L43" s="29"/>
      <c r="M43" s="29"/>
      <c r="N43" s="29"/>
      <c r="O43" s="29"/>
      <c r="P43" s="29"/>
      <c r="Q43" s="29"/>
      <c r="R43" s="29"/>
    </row>
    <row r="44" spans="1:18" ht="45" x14ac:dyDescent="0.25">
      <c r="A44" s="3">
        <v>42</v>
      </c>
      <c r="B44" s="17" t="s">
        <v>66</v>
      </c>
      <c r="C44" s="8" t="s">
        <v>76</v>
      </c>
      <c r="D44" s="7" t="s">
        <v>117</v>
      </c>
      <c r="E44" s="3">
        <v>2012</v>
      </c>
      <c r="F44" s="27" t="s">
        <v>244</v>
      </c>
      <c r="G44" s="8" t="s">
        <v>12</v>
      </c>
      <c r="H44" s="7" t="s">
        <v>64</v>
      </c>
      <c r="I44" s="14">
        <v>1</v>
      </c>
      <c r="J44" s="29">
        <f>(22*35)+(24*21)</f>
        <v>1274</v>
      </c>
      <c r="K44" s="29">
        <f t="shared" si="1"/>
        <v>1274</v>
      </c>
      <c r="L44" s="29">
        <f t="shared" si="2"/>
        <v>13695.5</v>
      </c>
      <c r="M44" s="29">
        <v>30</v>
      </c>
      <c r="N44" s="43">
        <v>0.95</v>
      </c>
      <c r="O44" s="29">
        <v>1600</v>
      </c>
      <c r="P44" s="29">
        <f t="shared" ref="P44:P57" si="9">O44*L44</f>
        <v>21912800</v>
      </c>
      <c r="Q44" s="29">
        <f t="shared" ref="Q44:Q55" si="10">P44*(N44/M44)*($Q$1-E44)</f>
        <v>7632958.666666666</v>
      </c>
      <c r="R44" s="29">
        <f t="shared" ref="R44:R57" si="11">P44-Q44</f>
        <v>14279841.333333334</v>
      </c>
    </row>
    <row r="45" spans="1:18" ht="19.899999999999999" customHeight="1" x14ac:dyDescent="0.25">
      <c r="A45" s="3">
        <v>43</v>
      </c>
      <c r="B45" s="17" t="s">
        <v>67</v>
      </c>
      <c r="C45" s="8" t="s">
        <v>45</v>
      </c>
      <c r="D45" s="7"/>
      <c r="E45" s="3">
        <v>2012</v>
      </c>
      <c r="F45" s="27" t="s">
        <v>244</v>
      </c>
      <c r="G45" s="4" t="s">
        <v>5</v>
      </c>
      <c r="H45" s="7" t="s">
        <v>64</v>
      </c>
      <c r="I45" s="14">
        <v>1</v>
      </c>
      <c r="J45" s="29">
        <f>30*18</f>
        <v>540</v>
      </c>
      <c r="K45" s="29">
        <f t="shared" si="1"/>
        <v>540</v>
      </c>
      <c r="L45" s="29">
        <f t="shared" si="2"/>
        <v>5805</v>
      </c>
      <c r="M45" s="29">
        <v>30</v>
      </c>
      <c r="N45" s="43">
        <v>0.95</v>
      </c>
      <c r="O45" s="29">
        <v>1400</v>
      </c>
      <c r="P45" s="29">
        <f t="shared" si="9"/>
        <v>8127000</v>
      </c>
      <c r="Q45" s="29">
        <f t="shared" si="10"/>
        <v>2830904.9999999995</v>
      </c>
      <c r="R45" s="29">
        <f t="shared" si="11"/>
        <v>5296095</v>
      </c>
    </row>
    <row r="46" spans="1:18" ht="19.899999999999999" customHeight="1" x14ac:dyDescent="0.25">
      <c r="A46" s="3">
        <v>44</v>
      </c>
      <c r="B46" s="17" t="s">
        <v>69</v>
      </c>
      <c r="C46" s="8" t="s">
        <v>77</v>
      </c>
      <c r="D46" s="7"/>
      <c r="E46" s="3">
        <v>2012</v>
      </c>
      <c r="F46" s="27" t="s">
        <v>244</v>
      </c>
      <c r="G46" s="4" t="s">
        <v>5</v>
      </c>
      <c r="H46" s="7" t="s">
        <v>64</v>
      </c>
      <c r="I46" s="14">
        <v>1</v>
      </c>
      <c r="J46" s="29">
        <f>30*15</f>
        <v>450</v>
      </c>
      <c r="K46" s="29">
        <f t="shared" si="1"/>
        <v>450</v>
      </c>
      <c r="L46" s="29">
        <f t="shared" si="2"/>
        <v>4837.5</v>
      </c>
      <c r="M46" s="29">
        <v>30</v>
      </c>
      <c r="N46" s="43">
        <v>0.95</v>
      </c>
      <c r="O46" s="29">
        <v>1400</v>
      </c>
      <c r="P46" s="29">
        <f t="shared" si="9"/>
        <v>6772500</v>
      </c>
      <c r="Q46" s="29">
        <f t="shared" si="10"/>
        <v>2359087.4999999995</v>
      </c>
      <c r="R46" s="29">
        <f t="shared" si="11"/>
        <v>4413412.5</v>
      </c>
    </row>
    <row r="47" spans="1:18" ht="19.899999999999999" customHeight="1" x14ac:dyDescent="0.25">
      <c r="A47" s="3">
        <v>45</v>
      </c>
      <c r="B47" s="17" t="s">
        <v>68</v>
      </c>
      <c r="C47" s="8" t="s">
        <v>77</v>
      </c>
      <c r="D47" s="7"/>
      <c r="E47" s="3">
        <v>2012</v>
      </c>
      <c r="F47" s="27" t="s">
        <v>244</v>
      </c>
      <c r="G47" s="4" t="s">
        <v>5</v>
      </c>
      <c r="H47" s="7" t="s">
        <v>64</v>
      </c>
      <c r="I47" s="14">
        <v>1</v>
      </c>
      <c r="J47" s="29">
        <f>12*12</f>
        <v>144</v>
      </c>
      <c r="K47" s="29">
        <f t="shared" si="1"/>
        <v>144</v>
      </c>
      <c r="L47" s="29">
        <f t="shared" si="2"/>
        <v>1548</v>
      </c>
      <c r="M47" s="29">
        <v>30</v>
      </c>
      <c r="N47" s="43">
        <v>0.95</v>
      </c>
      <c r="O47" s="29">
        <v>1400</v>
      </c>
      <c r="P47" s="29">
        <f t="shared" si="9"/>
        <v>2167200</v>
      </c>
      <c r="Q47" s="29">
        <f t="shared" si="10"/>
        <v>754907.99999999988</v>
      </c>
      <c r="R47" s="29">
        <f t="shared" si="11"/>
        <v>1412292</v>
      </c>
    </row>
    <row r="48" spans="1:18" ht="19.899999999999999" customHeight="1" x14ac:dyDescent="0.25">
      <c r="A48" s="3">
        <v>46</v>
      </c>
      <c r="B48" s="17" t="s">
        <v>27</v>
      </c>
      <c r="C48" s="8" t="s">
        <v>87</v>
      </c>
      <c r="D48" s="7" t="s">
        <v>124</v>
      </c>
      <c r="E48" s="3">
        <v>2012</v>
      </c>
      <c r="F48" s="27" t="s">
        <v>244</v>
      </c>
      <c r="G48" s="4" t="s">
        <v>5</v>
      </c>
      <c r="H48" s="7" t="s">
        <v>64</v>
      </c>
      <c r="I48" s="14">
        <v>6</v>
      </c>
      <c r="J48" s="29">
        <f>31.5*21</f>
        <v>661.5</v>
      </c>
      <c r="K48" s="29">
        <f t="shared" si="1"/>
        <v>3969</v>
      </c>
      <c r="L48" s="29">
        <f t="shared" si="2"/>
        <v>7111.125</v>
      </c>
      <c r="M48" s="29">
        <v>30</v>
      </c>
      <c r="N48" s="43">
        <v>0.95</v>
      </c>
      <c r="O48" s="29">
        <v>1600</v>
      </c>
      <c r="P48" s="29">
        <f t="shared" si="9"/>
        <v>11377800</v>
      </c>
      <c r="Q48" s="29">
        <f t="shared" si="10"/>
        <v>3963266.9999999995</v>
      </c>
      <c r="R48" s="29">
        <f t="shared" si="11"/>
        <v>7414533</v>
      </c>
    </row>
    <row r="49" spans="1:18" ht="45" x14ac:dyDescent="0.25">
      <c r="A49" s="3">
        <v>47</v>
      </c>
      <c r="B49" s="17" t="s">
        <v>72</v>
      </c>
      <c r="C49" s="8" t="s">
        <v>78</v>
      </c>
      <c r="D49" s="7"/>
      <c r="E49" s="3">
        <v>2012</v>
      </c>
      <c r="F49" s="27" t="s">
        <v>244</v>
      </c>
      <c r="G49" s="4" t="s">
        <v>5</v>
      </c>
      <c r="H49" s="7" t="s">
        <v>64</v>
      </c>
      <c r="I49" s="14">
        <v>1</v>
      </c>
      <c r="J49" s="29">
        <f>40*20</f>
        <v>800</v>
      </c>
      <c r="K49" s="29">
        <f t="shared" si="1"/>
        <v>800</v>
      </c>
      <c r="L49" s="29">
        <f t="shared" si="2"/>
        <v>8600</v>
      </c>
      <c r="M49" s="29">
        <v>30</v>
      </c>
      <c r="N49" s="43">
        <v>0.95</v>
      </c>
      <c r="O49" s="29">
        <v>1400</v>
      </c>
      <c r="P49" s="29">
        <f t="shared" si="9"/>
        <v>12040000</v>
      </c>
      <c r="Q49" s="29">
        <f t="shared" si="10"/>
        <v>4193933.333333333</v>
      </c>
      <c r="R49" s="29">
        <f t="shared" si="11"/>
        <v>7846066.666666667</v>
      </c>
    </row>
    <row r="50" spans="1:18" ht="45" x14ac:dyDescent="0.25">
      <c r="A50" s="3">
        <v>48</v>
      </c>
      <c r="B50" s="17" t="s">
        <v>79</v>
      </c>
      <c r="C50" s="8" t="s">
        <v>83</v>
      </c>
      <c r="D50" s="7" t="s">
        <v>118</v>
      </c>
      <c r="E50" s="3">
        <v>2013</v>
      </c>
      <c r="F50" s="27" t="s">
        <v>244</v>
      </c>
      <c r="G50" s="8" t="s">
        <v>12</v>
      </c>
      <c r="H50" s="7" t="s">
        <v>64</v>
      </c>
      <c r="I50" s="14">
        <v>1</v>
      </c>
      <c r="J50" s="29">
        <f>12.5*17.8</f>
        <v>222.5</v>
      </c>
      <c r="K50" s="29">
        <f t="shared" si="1"/>
        <v>222.5</v>
      </c>
      <c r="L50" s="29">
        <f t="shared" si="2"/>
        <v>2391.875</v>
      </c>
      <c r="M50" s="29">
        <v>30</v>
      </c>
      <c r="N50" s="43">
        <v>0.95</v>
      </c>
      <c r="O50" s="29">
        <v>1600</v>
      </c>
      <c r="P50" s="29">
        <f t="shared" si="9"/>
        <v>3827000</v>
      </c>
      <c r="Q50" s="29">
        <f t="shared" si="10"/>
        <v>1211883.333333333</v>
      </c>
      <c r="R50" s="29">
        <f t="shared" si="11"/>
        <v>2615116.666666667</v>
      </c>
    </row>
    <row r="51" spans="1:18" ht="45" x14ac:dyDescent="0.25">
      <c r="A51" s="3">
        <v>49</v>
      </c>
      <c r="B51" s="17" t="s">
        <v>80</v>
      </c>
      <c r="C51" s="8" t="s">
        <v>84</v>
      </c>
      <c r="D51" s="7" t="s">
        <v>120</v>
      </c>
      <c r="E51" s="3">
        <v>2013</v>
      </c>
      <c r="F51" s="27" t="s">
        <v>244</v>
      </c>
      <c r="G51" s="8" t="s">
        <v>12</v>
      </c>
      <c r="H51" s="7" t="s">
        <v>64</v>
      </c>
      <c r="I51" s="14">
        <v>1</v>
      </c>
      <c r="J51" s="29">
        <f>12.3*6.5</f>
        <v>79.95</v>
      </c>
      <c r="K51" s="29">
        <f t="shared" si="1"/>
        <v>79.95</v>
      </c>
      <c r="L51" s="29">
        <f t="shared" si="2"/>
        <v>859.46249999999998</v>
      </c>
      <c r="M51" s="29">
        <v>30</v>
      </c>
      <c r="N51" s="43">
        <v>0.95</v>
      </c>
      <c r="O51" s="29">
        <v>1600</v>
      </c>
      <c r="P51" s="29">
        <f t="shared" si="9"/>
        <v>1375140</v>
      </c>
      <c r="Q51" s="29">
        <f t="shared" si="10"/>
        <v>435460.99999999988</v>
      </c>
      <c r="R51" s="29">
        <f t="shared" si="11"/>
        <v>939679.00000000012</v>
      </c>
    </row>
    <row r="52" spans="1:18" ht="45" x14ac:dyDescent="0.25">
      <c r="A52" s="3">
        <v>50</v>
      </c>
      <c r="B52" s="17" t="s">
        <v>81</v>
      </c>
      <c r="C52" s="8" t="s">
        <v>84</v>
      </c>
      <c r="D52" s="7" t="s">
        <v>121</v>
      </c>
      <c r="E52" s="3">
        <v>2013</v>
      </c>
      <c r="F52" s="27" t="s">
        <v>244</v>
      </c>
      <c r="G52" s="8" t="s">
        <v>12</v>
      </c>
      <c r="H52" s="7" t="s">
        <v>64</v>
      </c>
      <c r="I52" s="14">
        <v>1</v>
      </c>
      <c r="J52" s="29">
        <f>19*11</f>
        <v>209</v>
      </c>
      <c r="K52" s="29">
        <f t="shared" si="1"/>
        <v>209</v>
      </c>
      <c r="L52" s="29">
        <f t="shared" si="2"/>
        <v>2246.75</v>
      </c>
      <c r="M52" s="29">
        <v>30</v>
      </c>
      <c r="N52" s="43">
        <v>0.95</v>
      </c>
      <c r="O52" s="29">
        <v>1600</v>
      </c>
      <c r="P52" s="29">
        <f t="shared" si="9"/>
        <v>3594800</v>
      </c>
      <c r="Q52" s="29">
        <f t="shared" si="10"/>
        <v>1138353.333333333</v>
      </c>
      <c r="R52" s="29">
        <f t="shared" si="11"/>
        <v>2456446.666666667</v>
      </c>
    </row>
    <row r="53" spans="1:18" ht="45" x14ac:dyDescent="0.25">
      <c r="A53" s="3">
        <v>51</v>
      </c>
      <c r="B53" s="17" t="s">
        <v>82</v>
      </c>
      <c r="C53" s="8" t="s">
        <v>85</v>
      </c>
      <c r="D53" s="7" t="s">
        <v>122</v>
      </c>
      <c r="E53" s="3">
        <v>2013</v>
      </c>
      <c r="F53" s="27" t="s">
        <v>244</v>
      </c>
      <c r="G53" s="8" t="s">
        <v>12</v>
      </c>
      <c r="H53" s="7" t="s">
        <v>64</v>
      </c>
      <c r="I53" s="14">
        <v>1</v>
      </c>
      <c r="J53" s="29">
        <f>11.5*19.8*2</f>
        <v>455.40000000000003</v>
      </c>
      <c r="K53" s="29">
        <f t="shared" si="1"/>
        <v>455.40000000000003</v>
      </c>
      <c r="L53" s="29">
        <f t="shared" si="2"/>
        <v>4895.55</v>
      </c>
      <c r="M53" s="29">
        <v>30</v>
      </c>
      <c r="N53" s="43">
        <v>0.95</v>
      </c>
      <c r="O53" s="29">
        <v>1600</v>
      </c>
      <c r="P53" s="29">
        <f t="shared" si="9"/>
        <v>7832880</v>
      </c>
      <c r="Q53" s="29">
        <f t="shared" si="10"/>
        <v>2480411.9999999995</v>
      </c>
      <c r="R53" s="29">
        <f t="shared" si="11"/>
        <v>5352468</v>
      </c>
    </row>
    <row r="54" spans="1:18" ht="45" x14ac:dyDescent="0.25">
      <c r="A54" s="3">
        <v>52</v>
      </c>
      <c r="B54" s="17" t="s">
        <v>71</v>
      </c>
      <c r="C54" s="8" t="s">
        <v>86</v>
      </c>
      <c r="D54" s="7" t="s">
        <v>123</v>
      </c>
      <c r="E54" s="3">
        <v>2013</v>
      </c>
      <c r="F54" s="27" t="s">
        <v>244</v>
      </c>
      <c r="G54" s="8" t="s">
        <v>12</v>
      </c>
      <c r="H54" s="7" t="s">
        <v>64</v>
      </c>
      <c r="I54" s="14">
        <v>1</v>
      </c>
      <c r="J54" s="29">
        <f>8.5*7.5</f>
        <v>63.75</v>
      </c>
      <c r="K54" s="29">
        <f t="shared" si="1"/>
        <v>63.75</v>
      </c>
      <c r="L54" s="29">
        <f t="shared" si="2"/>
        <v>685.3125</v>
      </c>
      <c r="M54" s="29">
        <v>30</v>
      </c>
      <c r="N54" s="43">
        <v>0.95</v>
      </c>
      <c r="O54" s="29">
        <v>1600</v>
      </c>
      <c r="P54" s="29">
        <f t="shared" si="9"/>
        <v>1096500</v>
      </c>
      <c r="Q54" s="29">
        <f t="shared" si="10"/>
        <v>347224.99999999994</v>
      </c>
      <c r="R54" s="29">
        <f t="shared" si="11"/>
        <v>749275</v>
      </c>
    </row>
    <row r="55" spans="1:18" ht="45" x14ac:dyDescent="0.25">
      <c r="A55" s="3">
        <v>53</v>
      </c>
      <c r="B55" s="17" t="s">
        <v>73</v>
      </c>
      <c r="C55" s="8" t="s">
        <v>75</v>
      </c>
      <c r="D55" s="7"/>
      <c r="E55" s="3">
        <v>2012</v>
      </c>
      <c r="F55" s="27" t="s">
        <v>244</v>
      </c>
      <c r="G55" s="4" t="s">
        <v>5</v>
      </c>
      <c r="H55" s="7" t="s">
        <v>64</v>
      </c>
      <c r="I55" s="14">
        <v>1</v>
      </c>
      <c r="J55" s="29">
        <f>30*15</f>
        <v>450</v>
      </c>
      <c r="K55" s="29">
        <f t="shared" si="1"/>
        <v>450</v>
      </c>
      <c r="L55" s="29">
        <f t="shared" si="2"/>
        <v>4837.5</v>
      </c>
      <c r="M55" s="29">
        <v>30</v>
      </c>
      <c r="N55" s="43">
        <v>0.95</v>
      </c>
      <c r="O55" s="29">
        <v>1400</v>
      </c>
      <c r="P55" s="29">
        <f t="shared" si="9"/>
        <v>6772500</v>
      </c>
      <c r="Q55" s="29">
        <f t="shared" si="10"/>
        <v>2359087.4999999995</v>
      </c>
      <c r="R55" s="29">
        <f t="shared" si="11"/>
        <v>4413412.5</v>
      </c>
    </row>
    <row r="56" spans="1:18" ht="24.75" customHeight="1" x14ac:dyDescent="0.25">
      <c r="A56" s="3">
        <v>54</v>
      </c>
      <c r="B56" s="17" t="s">
        <v>221</v>
      </c>
      <c r="C56" s="8" t="s">
        <v>222</v>
      </c>
      <c r="D56" s="7" t="s">
        <v>189</v>
      </c>
      <c r="E56" s="3">
        <v>2014</v>
      </c>
      <c r="F56" s="27" t="s">
        <v>252</v>
      </c>
      <c r="G56" s="4"/>
      <c r="H56" s="7" t="s">
        <v>64</v>
      </c>
      <c r="I56" s="14">
        <v>4</v>
      </c>
      <c r="J56" s="29">
        <f>40*500</f>
        <v>20000</v>
      </c>
      <c r="K56" s="29">
        <f t="shared" si="1"/>
        <v>80000</v>
      </c>
      <c r="L56" s="29">
        <f t="shared" si="2"/>
        <v>215000</v>
      </c>
      <c r="M56" s="29">
        <v>30</v>
      </c>
      <c r="N56" s="43">
        <v>0.95</v>
      </c>
      <c r="O56" s="29"/>
      <c r="P56" s="29"/>
      <c r="Q56" s="29"/>
      <c r="R56" s="29"/>
    </row>
    <row r="57" spans="1:18" ht="24.75" customHeight="1" x14ac:dyDescent="0.25">
      <c r="A57" s="3">
        <v>55</v>
      </c>
      <c r="B57" s="17" t="s">
        <v>223</v>
      </c>
      <c r="C57" s="8" t="s">
        <v>224</v>
      </c>
      <c r="D57" s="7" t="s">
        <v>225</v>
      </c>
      <c r="E57" s="3">
        <v>2014</v>
      </c>
      <c r="F57" s="27" t="s">
        <v>252</v>
      </c>
      <c r="G57" s="4" t="s">
        <v>5</v>
      </c>
      <c r="H57" s="7" t="s">
        <v>64</v>
      </c>
      <c r="I57" s="14">
        <v>1</v>
      </c>
      <c r="J57" s="29">
        <f>6*12</f>
        <v>72</v>
      </c>
      <c r="K57" s="29">
        <f t="shared" si="1"/>
        <v>72</v>
      </c>
      <c r="L57" s="29">
        <f t="shared" si="2"/>
        <v>774</v>
      </c>
      <c r="M57" s="29">
        <v>30</v>
      </c>
      <c r="N57" s="43">
        <v>0.95</v>
      </c>
      <c r="O57" s="29">
        <v>1200</v>
      </c>
      <c r="P57" s="29">
        <f t="shared" si="9"/>
        <v>928800</v>
      </c>
      <c r="Q57" s="29">
        <f>P57*(N57/M57)*($Q$1-E57)</f>
        <v>264707.99999999994</v>
      </c>
      <c r="R57" s="29">
        <f t="shared" si="11"/>
        <v>664092</v>
      </c>
    </row>
    <row r="58" spans="1:18" ht="19.899999999999999" customHeight="1" x14ac:dyDescent="0.25">
      <c r="A58" s="3">
        <v>56</v>
      </c>
      <c r="B58" s="21" t="s">
        <v>37</v>
      </c>
      <c r="C58" s="7"/>
      <c r="D58" s="7"/>
      <c r="E58" s="3"/>
      <c r="F58" s="3"/>
      <c r="G58" s="4"/>
      <c r="H58" s="3"/>
      <c r="I58" s="14"/>
      <c r="J58" s="29"/>
      <c r="K58" s="29"/>
      <c r="L58" s="29"/>
      <c r="M58" s="29"/>
      <c r="N58" s="29"/>
      <c r="O58" s="29"/>
      <c r="P58" s="29"/>
      <c r="Q58" s="29"/>
      <c r="R58" s="29"/>
    </row>
    <row r="59" spans="1:18" ht="19.899999999999999" customHeight="1" x14ac:dyDescent="0.25">
      <c r="A59" s="3">
        <v>57</v>
      </c>
      <c r="B59" s="17" t="s">
        <v>38</v>
      </c>
      <c r="C59" s="8" t="s">
        <v>75</v>
      </c>
      <c r="D59" s="7" t="s">
        <v>95</v>
      </c>
      <c r="E59" s="3">
        <v>2013</v>
      </c>
      <c r="F59" s="27" t="s">
        <v>244</v>
      </c>
      <c r="G59" s="4" t="s">
        <v>5</v>
      </c>
      <c r="H59" s="3" t="s">
        <v>64</v>
      </c>
      <c r="I59" s="14">
        <v>1</v>
      </c>
      <c r="J59" s="29">
        <f>44.5*15.6</f>
        <v>694.19999999999993</v>
      </c>
      <c r="K59" s="29">
        <f t="shared" si="1"/>
        <v>694.19999999999993</v>
      </c>
      <c r="L59" s="29">
        <f t="shared" si="2"/>
        <v>7462.65</v>
      </c>
      <c r="M59" s="29">
        <v>30</v>
      </c>
      <c r="N59" s="43">
        <v>0.95</v>
      </c>
      <c r="O59" s="29">
        <v>1600</v>
      </c>
      <c r="P59" s="29">
        <f t="shared" ref="P59:P63" si="12">O59*L59</f>
        <v>11940240</v>
      </c>
      <c r="Q59" s="29">
        <f>P59*(N59/M59)*($Q$1-E59)</f>
        <v>3781076</v>
      </c>
      <c r="R59" s="29">
        <f t="shared" ref="R59:R63" si="13">P59-Q59</f>
        <v>8159164</v>
      </c>
    </row>
    <row r="60" spans="1:18" ht="19.899999999999999" customHeight="1" x14ac:dyDescent="0.25">
      <c r="A60" s="3">
        <v>58</v>
      </c>
      <c r="B60" s="13" t="s">
        <v>21</v>
      </c>
      <c r="C60" s="8" t="s">
        <v>75</v>
      </c>
      <c r="D60" s="7" t="s">
        <v>96</v>
      </c>
      <c r="E60" s="3">
        <v>2013</v>
      </c>
      <c r="F60" s="27" t="s">
        <v>244</v>
      </c>
      <c r="G60" s="4" t="s">
        <v>5</v>
      </c>
      <c r="H60" s="3" t="s">
        <v>64</v>
      </c>
      <c r="I60" s="14">
        <v>1</v>
      </c>
      <c r="J60" s="29">
        <f>41*20</f>
        <v>820</v>
      </c>
      <c r="K60" s="29">
        <f t="shared" si="1"/>
        <v>820</v>
      </c>
      <c r="L60" s="29">
        <f t="shared" si="2"/>
        <v>8815</v>
      </c>
      <c r="M60" s="29">
        <v>30</v>
      </c>
      <c r="N60" s="43">
        <v>0.95</v>
      </c>
      <c r="O60" s="29">
        <v>1600</v>
      </c>
      <c r="P60" s="29">
        <f t="shared" si="12"/>
        <v>14104000</v>
      </c>
      <c r="Q60" s="29">
        <f>P60*(N60/M60)*($Q$1-E60)</f>
        <v>4466266.666666666</v>
      </c>
      <c r="R60" s="29">
        <f t="shared" si="13"/>
        <v>9637733.333333334</v>
      </c>
    </row>
    <row r="61" spans="1:18" ht="19.899999999999999" customHeight="1" x14ac:dyDescent="0.25">
      <c r="A61" s="3">
        <v>59</v>
      </c>
      <c r="B61" s="17" t="s">
        <v>39</v>
      </c>
      <c r="C61" s="8" t="s">
        <v>78</v>
      </c>
      <c r="D61" s="7" t="s">
        <v>97</v>
      </c>
      <c r="E61" s="3">
        <v>2013</v>
      </c>
      <c r="F61" s="27" t="s">
        <v>244</v>
      </c>
      <c r="G61" s="4" t="s">
        <v>5</v>
      </c>
      <c r="H61" s="7" t="s">
        <v>64</v>
      </c>
      <c r="I61" s="14">
        <v>1</v>
      </c>
      <c r="J61" s="29">
        <f>26.7*8.2</f>
        <v>218.93999999999997</v>
      </c>
      <c r="K61" s="29">
        <f t="shared" si="1"/>
        <v>218.93999999999997</v>
      </c>
      <c r="L61" s="29">
        <f t="shared" si="2"/>
        <v>2353.6049999999996</v>
      </c>
      <c r="M61" s="29">
        <v>30</v>
      </c>
      <c r="N61" s="43">
        <v>0.95</v>
      </c>
      <c r="O61" s="29">
        <v>1600</v>
      </c>
      <c r="P61" s="29">
        <f t="shared" si="12"/>
        <v>3765767.9999999991</v>
      </c>
      <c r="Q61" s="29">
        <f>P61*(N61/M61)*($Q$1-E61)</f>
        <v>1192493.1999999995</v>
      </c>
      <c r="R61" s="29">
        <f t="shared" si="13"/>
        <v>2573274.7999999998</v>
      </c>
    </row>
    <row r="62" spans="1:18" ht="19.899999999999999" customHeight="1" x14ac:dyDescent="0.25">
      <c r="A62" s="3">
        <v>60</v>
      </c>
      <c r="B62" s="17" t="s">
        <v>40</v>
      </c>
      <c r="C62" s="8" t="s">
        <v>78</v>
      </c>
      <c r="D62" s="7" t="s">
        <v>97</v>
      </c>
      <c r="E62" s="3">
        <v>2014</v>
      </c>
      <c r="F62" s="27" t="s">
        <v>244</v>
      </c>
      <c r="G62" s="4" t="s">
        <v>5</v>
      </c>
      <c r="H62" s="7" t="s">
        <v>64</v>
      </c>
      <c r="I62" s="14">
        <v>1</v>
      </c>
      <c r="J62" s="29">
        <f>J61</f>
        <v>218.93999999999997</v>
      </c>
      <c r="K62" s="29">
        <f t="shared" si="1"/>
        <v>218.93999999999997</v>
      </c>
      <c r="L62" s="29">
        <f t="shared" si="2"/>
        <v>2353.6049999999996</v>
      </c>
      <c r="M62" s="29">
        <v>30</v>
      </c>
      <c r="N62" s="43">
        <v>0.95</v>
      </c>
      <c r="O62" s="29">
        <v>1600</v>
      </c>
      <c r="P62" s="29">
        <f t="shared" si="12"/>
        <v>3765767.9999999991</v>
      </c>
      <c r="Q62" s="29">
        <f>P62*(N62/M62)*($Q$1-E62)</f>
        <v>1073243.8799999994</v>
      </c>
      <c r="R62" s="29">
        <f t="shared" si="13"/>
        <v>2692524.1199999996</v>
      </c>
    </row>
    <row r="63" spans="1:18" ht="45" x14ac:dyDescent="0.25">
      <c r="A63" s="3">
        <v>61</v>
      </c>
      <c r="B63" s="17" t="s">
        <v>98</v>
      </c>
      <c r="C63" s="7" t="s">
        <v>107</v>
      </c>
      <c r="D63" s="7" t="s">
        <v>108</v>
      </c>
      <c r="E63" s="3">
        <v>2014</v>
      </c>
      <c r="F63" s="27" t="s">
        <v>244</v>
      </c>
      <c r="G63" s="8" t="s">
        <v>12</v>
      </c>
      <c r="H63" s="3" t="s">
        <v>64</v>
      </c>
      <c r="I63" s="14">
        <v>1</v>
      </c>
      <c r="J63" s="29">
        <f>(59+20.25)*13.5</f>
        <v>1069.875</v>
      </c>
      <c r="K63" s="29">
        <f t="shared" si="1"/>
        <v>1069.875</v>
      </c>
      <c r="L63" s="29">
        <f t="shared" si="2"/>
        <v>11501.15625</v>
      </c>
      <c r="M63" s="29">
        <v>30</v>
      </c>
      <c r="N63" s="43">
        <v>0.95</v>
      </c>
      <c r="O63" s="29">
        <v>1600</v>
      </c>
      <c r="P63" s="29">
        <f t="shared" si="12"/>
        <v>18401850</v>
      </c>
      <c r="Q63" s="29">
        <f>P63*(N63/M63)*($Q$1-E63)</f>
        <v>5244527.2499999991</v>
      </c>
      <c r="R63" s="29">
        <f t="shared" si="13"/>
        <v>13157322.75</v>
      </c>
    </row>
    <row r="64" spans="1:18" x14ac:dyDescent="0.25">
      <c r="A64" s="3">
        <v>62</v>
      </c>
      <c r="B64" s="19" t="s">
        <v>168</v>
      </c>
      <c r="C64" s="7"/>
      <c r="D64" s="7"/>
      <c r="E64" s="3"/>
      <c r="F64" s="3"/>
      <c r="G64" s="8"/>
      <c r="H64" s="3"/>
      <c r="I64" s="14"/>
      <c r="J64" s="29"/>
      <c r="K64" s="29"/>
      <c r="L64" s="29"/>
      <c r="M64" s="29"/>
      <c r="N64" s="29"/>
      <c r="O64" s="29"/>
      <c r="P64" s="29"/>
      <c r="Q64" s="29"/>
      <c r="R64" s="29"/>
    </row>
    <row r="65" spans="1:18" ht="45" x14ac:dyDescent="0.25">
      <c r="A65" s="3">
        <v>63</v>
      </c>
      <c r="B65" s="17" t="s">
        <v>23</v>
      </c>
      <c r="C65" s="7" t="s">
        <v>59</v>
      </c>
      <c r="D65" s="7" t="s">
        <v>99</v>
      </c>
      <c r="E65" s="3">
        <v>2011</v>
      </c>
      <c r="F65" s="27" t="s">
        <v>244</v>
      </c>
      <c r="G65" s="8" t="s">
        <v>12</v>
      </c>
      <c r="H65" s="3" t="s">
        <v>64</v>
      </c>
      <c r="I65" s="14">
        <v>1</v>
      </c>
      <c r="J65" s="29">
        <f>50.25*35.75</f>
        <v>1796.4375</v>
      </c>
      <c r="K65" s="29">
        <f t="shared" si="1"/>
        <v>1796.4375</v>
      </c>
      <c r="L65" s="29">
        <f t="shared" si="2"/>
        <v>19311.703125</v>
      </c>
      <c r="M65" s="29">
        <v>30</v>
      </c>
      <c r="N65" s="43">
        <v>0.95</v>
      </c>
      <c r="O65" s="29">
        <v>1600</v>
      </c>
      <c r="P65" s="29">
        <f t="shared" ref="P65:P86" si="14">O65*L65</f>
        <v>30898725</v>
      </c>
      <c r="Q65" s="29">
        <f t="shared" ref="Q65:Q86" si="15">P65*(N65/M65)*($Q$1-E65)</f>
        <v>11741515.499999998</v>
      </c>
      <c r="R65" s="29">
        <f t="shared" ref="R65:R86" si="16">P65-Q65</f>
        <v>19157209.5</v>
      </c>
    </row>
    <row r="66" spans="1:18" ht="45" x14ac:dyDescent="0.25">
      <c r="A66" s="3">
        <v>64</v>
      </c>
      <c r="B66" s="33" t="s">
        <v>42</v>
      </c>
      <c r="C66" s="35" t="s">
        <v>61</v>
      </c>
      <c r="D66" s="35" t="s">
        <v>89</v>
      </c>
      <c r="E66" s="32">
        <v>2012</v>
      </c>
      <c r="F66" s="36" t="s">
        <v>244</v>
      </c>
      <c r="G66" s="34" t="s">
        <v>12</v>
      </c>
      <c r="H66" s="35" t="s">
        <v>63</v>
      </c>
      <c r="I66" s="40">
        <v>1</v>
      </c>
      <c r="J66" s="39">
        <f>125.5*38.5</f>
        <v>4831.75</v>
      </c>
      <c r="K66" s="39">
        <f t="shared" si="1"/>
        <v>4831.75</v>
      </c>
      <c r="L66" s="39">
        <f t="shared" si="2"/>
        <v>51941.3125</v>
      </c>
      <c r="M66" s="29">
        <v>30</v>
      </c>
      <c r="N66" s="43">
        <v>0.95</v>
      </c>
      <c r="O66" s="29">
        <v>700</v>
      </c>
      <c r="P66" s="29">
        <f t="shared" si="14"/>
        <v>36358918.75</v>
      </c>
      <c r="Q66" s="29">
        <f t="shared" si="15"/>
        <v>12665023.364583332</v>
      </c>
      <c r="R66" s="29">
        <f t="shared" si="16"/>
        <v>23693895.385416668</v>
      </c>
    </row>
    <row r="67" spans="1:18" ht="45" x14ac:dyDescent="0.25">
      <c r="A67" s="3">
        <v>65</v>
      </c>
      <c r="B67" s="33" t="s">
        <v>43</v>
      </c>
      <c r="C67" s="35" t="s">
        <v>61</v>
      </c>
      <c r="D67" s="35"/>
      <c r="E67" s="32">
        <v>2016</v>
      </c>
      <c r="F67" s="36" t="s">
        <v>244</v>
      </c>
      <c r="G67" s="34" t="s">
        <v>12</v>
      </c>
      <c r="H67" s="35" t="s">
        <v>64</v>
      </c>
      <c r="I67" s="40">
        <v>1</v>
      </c>
      <c r="J67" s="39">
        <v>196</v>
      </c>
      <c r="K67" s="39">
        <f t="shared" si="1"/>
        <v>196</v>
      </c>
      <c r="L67" s="39">
        <f t="shared" si="2"/>
        <v>2107</v>
      </c>
      <c r="M67" s="29">
        <v>30</v>
      </c>
      <c r="N67" s="43">
        <v>0.95</v>
      </c>
      <c r="O67" s="29">
        <v>900</v>
      </c>
      <c r="P67" s="29">
        <f t="shared" si="14"/>
        <v>1896300</v>
      </c>
      <c r="Q67" s="29">
        <f t="shared" si="15"/>
        <v>420346.49999999994</v>
      </c>
      <c r="R67" s="29">
        <f t="shared" si="16"/>
        <v>1475953.5</v>
      </c>
    </row>
    <row r="68" spans="1:18" ht="45" x14ac:dyDescent="0.25">
      <c r="A68" s="3">
        <v>66</v>
      </c>
      <c r="B68" s="41" t="s">
        <v>44</v>
      </c>
      <c r="C68" s="35" t="s">
        <v>61</v>
      </c>
      <c r="D68" s="35" t="s">
        <v>91</v>
      </c>
      <c r="E68" s="32">
        <v>2017</v>
      </c>
      <c r="F68" s="36" t="s">
        <v>244</v>
      </c>
      <c r="G68" s="34" t="s">
        <v>12</v>
      </c>
      <c r="H68" s="35" t="s">
        <v>64</v>
      </c>
      <c r="I68" s="40">
        <v>1</v>
      </c>
      <c r="J68" s="39">
        <f>30.5*6.1</f>
        <v>186.04999999999998</v>
      </c>
      <c r="K68" s="39">
        <f t="shared" si="1"/>
        <v>186.04999999999998</v>
      </c>
      <c r="L68" s="39">
        <f t="shared" si="2"/>
        <v>2000.0374999999999</v>
      </c>
      <c r="M68" s="29">
        <v>30</v>
      </c>
      <c r="N68" s="43">
        <v>0.95</v>
      </c>
      <c r="O68" s="29">
        <v>600</v>
      </c>
      <c r="P68" s="29">
        <f t="shared" si="14"/>
        <v>1200022.5</v>
      </c>
      <c r="Q68" s="29">
        <f t="shared" si="15"/>
        <v>228004.27499999997</v>
      </c>
      <c r="R68" s="29">
        <f t="shared" si="16"/>
        <v>972018.22500000009</v>
      </c>
    </row>
    <row r="69" spans="1:18" ht="45" x14ac:dyDescent="0.25">
      <c r="A69" s="3">
        <v>67</v>
      </c>
      <c r="B69" s="41" t="s">
        <v>103</v>
      </c>
      <c r="C69" s="35" t="s">
        <v>61</v>
      </c>
      <c r="D69" s="35" t="s">
        <v>104</v>
      </c>
      <c r="E69" s="32">
        <v>2016</v>
      </c>
      <c r="F69" s="36" t="s">
        <v>244</v>
      </c>
      <c r="G69" s="34" t="s">
        <v>12</v>
      </c>
      <c r="H69" s="35" t="s">
        <v>64</v>
      </c>
      <c r="I69" s="40">
        <v>1</v>
      </c>
      <c r="J69" s="39">
        <f>43*23</f>
        <v>989</v>
      </c>
      <c r="K69" s="39">
        <f t="shared" si="1"/>
        <v>989</v>
      </c>
      <c r="L69" s="39">
        <f t="shared" si="2"/>
        <v>10631.75</v>
      </c>
      <c r="M69" s="29">
        <v>30</v>
      </c>
      <c r="N69" s="43">
        <v>0.95</v>
      </c>
      <c r="O69" s="29">
        <v>600</v>
      </c>
      <c r="P69" s="29">
        <f t="shared" si="14"/>
        <v>6379050</v>
      </c>
      <c r="Q69" s="29">
        <f t="shared" si="15"/>
        <v>1414022.7499999998</v>
      </c>
      <c r="R69" s="29">
        <f t="shared" si="16"/>
        <v>4965027.25</v>
      </c>
    </row>
    <row r="70" spans="1:18" ht="45" x14ac:dyDescent="0.25">
      <c r="A70" s="3">
        <v>68</v>
      </c>
      <c r="B70" s="41" t="s">
        <v>102</v>
      </c>
      <c r="C70" s="35" t="s">
        <v>61</v>
      </c>
      <c r="D70" s="35" t="s">
        <v>104</v>
      </c>
      <c r="E70" s="32">
        <v>2014</v>
      </c>
      <c r="F70" s="36" t="s">
        <v>244</v>
      </c>
      <c r="G70" s="34" t="s">
        <v>12</v>
      </c>
      <c r="H70" s="35" t="s">
        <v>63</v>
      </c>
      <c r="I70" s="40">
        <v>1</v>
      </c>
      <c r="J70" s="39">
        <f>36*16</f>
        <v>576</v>
      </c>
      <c r="K70" s="39">
        <f t="shared" ref="K70:K106" si="17">I70*J70</f>
        <v>576</v>
      </c>
      <c r="L70" s="39">
        <f t="shared" ref="L70:L114" si="18">J70*10.75</f>
        <v>6192</v>
      </c>
      <c r="M70" s="29">
        <v>30</v>
      </c>
      <c r="N70" s="43">
        <v>0.95</v>
      </c>
      <c r="O70" s="29">
        <v>600</v>
      </c>
      <c r="P70" s="29">
        <f t="shared" si="14"/>
        <v>3715200</v>
      </c>
      <c r="Q70" s="29">
        <f t="shared" si="15"/>
        <v>1058831.9999999998</v>
      </c>
      <c r="R70" s="29">
        <f t="shared" si="16"/>
        <v>2656368</v>
      </c>
    </row>
    <row r="71" spans="1:18" ht="45" x14ac:dyDescent="0.25">
      <c r="A71" s="3">
        <v>69</v>
      </c>
      <c r="B71" s="41" t="s">
        <v>101</v>
      </c>
      <c r="C71" s="35" t="s">
        <v>100</v>
      </c>
      <c r="D71" s="35" t="s">
        <v>93</v>
      </c>
      <c r="E71" s="32">
        <v>2012</v>
      </c>
      <c r="F71" s="36" t="s">
        <v>244</v>
      </c>
      <c r="G71" s="34" t="s">
        <v>12</v>
      </c>
      <c r="H71" s="35" t="s">
        <v>63</v>
      </c>
      <c r="I71" s="40">
        <v>1</v>
      </c>
      <c r="J71" s="39">
        <v>221.25</v>
      </c>
      <c r="K71" s="39">
        <f t="shared" si="17"/>
        <v>221.25</v>
      </c>
      <c r="L71" s="39">
        <f t="shared" si="18"/>
        <v>2378.4375</v>
      </c>
      <c r="M71" s="29">
        <v>30</v>
      </c>
      <c r="N71" s="43">
        <v>0.95</v>
      </c>
      <c r="O71" s="29">
        <v>800</v>
      </c>
      <c r="P71" s="29">
        <f t="shared" si="14"/>
        <v>1902750</v>
      </c>
      <c r="Q71" s="29">
        <f t="shared" si="15"/>
        <v>662791.24999999988</v>
      </c>
      <c r="R71" s="29">
        <f t="shared" si="16"/>
        <v>1239958.75</v>
      </c>
    </row>
    <row r="72" spans="1:18" ht="45" x14ac:dyDescent="0.25">
      <c r="A72" s="3">
        <v>70</v>
      </c>
      <c r="B72" s="41" t="s">
        <v>46</v>
      </c>
      <c r="C72" s="35" t="s">
        <v>61</v>
      </c>
      <c r="D72" s="35" t="s">
        <v>93</v>
      </c>
      <c r="E72" s="32">
        <v>2015</v>
      </c>
      <c r="F72" s="36" t="s">
        <v>244</v>
      </c>
      <c r="G72" s="34" t="s">
        <v>12</v>
      </c>
      <c r="H72" s="32" t="s">
        <v>64</v>
      </c>
      <c r="I72" s="40">
        <v>1</v>
      </c>
      <c r="J72" s="39">
        <f>30.45*7.8</f>
        <v>237.51</v>
      </c>
      <c r="K72" s="39">
        <f t="shared" si="17"/>
        <v>237.51</v>
      </c>
      <c r="L72" s="39">
        <f t="shared" si="18"/>
        <v>2553.2325000000001</v>
      </c>
      <c r="M72" s="29">
        <v>30</v>
      </c>
      <c r="N72" s="43">
        <v>0.95</v>
      </c>
      <c r="O72" s="29">
        <v>1000</v>
      </c>
      <c r="P72" s="29">
        <f t="shared" si="14"/>
        <v>2553232.5</v>
      </c>
      <c r="Q72" s="29">
        <f t="shared" si="15"/>
        <v>646818.89999999991</v>
      </c>
      <c r="R72" s="29">
        <f t="shared" si="16"/>
        <v>1906413.6</v>
      </c>
    </row>
    <row r="73" spans="1:18" ht="45" x14ac:dyDescent="0.25">
      <c r="A73" s="3">
        <v>71</v>
      </c>
      <c r="B73" s="41" t="s">
        <v>169</v>
      </c>
      <c r="C73" s="35" t="s">
        <v>61</v>
      </c>
      <c r="D73" s="35" t="s">
        <v>93</v>
      </c>
      <c r="E73" s="32">
        <v>2015</v>
      </c>
      <c r="F73" s="36" t="s">
        <v>244</v>
      </c>
      <c r="G73" s="34" t="s">
        <v>12</v>
      </c>
      <c r="H73" s="35" t="s">
        <v>64</v>
      </c>
      <c r="I73" s="40">
        <v>1</v>
      </c>
      <c r="J73" s="39">
        <f>8.5*8.5</f>
        <v>72.25</v>
      </c>
      <c r="K73" s="39">
        <f t="shared" si="17"/>
        <v>72.25</v>
      </c>
      <c r="L73" s="39">
        <f t="shared" si="18"/>
        <v>776.6875</v>
      </c>
      <c r="M73" s="29">
        <v>30</v>
      </c>
      <c r="N73" s="43">
        <v>0.95</v>
      </c>
      <c r="O73" s="29">
        <v>1000</v>
      </c>
      <c r="P73" s="29">
        <f t="shared" si="14"/>
        <v>776687.5</v>
      </c>
      <c r="Q73" s="29">
        <f t="shared" si="15"/>
        <v>196760.83333333331</v>
      </c>
      <c r="R73" s="29">
        <f t="shared" si="16"/>
        <v>579926.66666666674</v>
      </c>
    </row>
    <row r="74" spans="1:18" ht="45" x14ac:dyDescent="0.25">
      <c r="A74" s="3">
        <v>72</v>
      </c>
      <c r="B74" s="41" t="s">
        <v>47</v>
      </c>
      <c r="C74" s="35" t="s">
        <v>61</v>
      </c>
      <c r="D74" s="35" t="s">
        <v>93</v>
      </c>
      <c r="E74" s="32">
        <v>2015</v>
      </c>
      <c r="F74" s="36" t="s">
        <v>244</v>
      </c>
      <c r="G74" s="34" t="s">
        <v>12</v>
      </c>
      <c r="H74" s="32" t="s">
        <v>64</v>
      </c>
      <c r="I74" s="40">
        <v>1</v>
      </c>
      <c r="J74" s="39">
        <f>10.88*13.05</f>
        <v>141.98400000000001</v>
      </c>
      <c r="K74" s="39">
        <f t="shared" si="17"/>
        <v>141.98400000000001</v>
      </c>
      <c r="L74" s="39">
        <f t="shared" si="18"/>
        <v>1526.3280000000002</v>
      </c>
      <c r="M74" s="29">
        <v>30</v>
      </c>
      <c r="N74" s="43">
        <v>0.95</v>
      </c>
      <c r="O74" s="29">
        <v>1000</v>
      </c>
      <c r="P74" s="29">
        <f t="shared" si="14"/>
        <v>1526328.0000000002</v>
      </c>
      <c r="Q74" s="29">
        <f t="shared" si="15"/>
        <v>386669.76</v>
      </c>
      <c r="R74" s="29">
        <f t="shared" si="16"/>
        <v>1139658.2400000002</v>
      </c>
    </row>
    <row r="75" spans="1:18" ht="45" x14ac:dyDescent="0.25">
      <c r="A75" s="3">
        <v>73</v>
      </c>
      <c r="B75" s="41" t="s">
        <v>48</v>
      </c>
      <c r="C75" s="35" t="s">
        <v>61</v>
      </c>
      <c r="D75" s="35" t="s">
        <v>93</v>
      </c>
      <c r="E75" s="32">
        <v>2016</v>
      </c>
      <c r="F75" s="36" t="s">
        <v>244</v>
      </c>
      <c r="G75" s="34" t="s">
        <v>12</v>
      </c>
      <c r="H75" s="32" t="s">
        <v>63</v>
      </c>
      <c r="I75" s="40">
        <v>1</v>
      </c>
      <c r="J75" s="39">
        <f>4*4.5</f>
        <v>18</v>
      </c>
      <c r="K75" s="39">
        <f t="shared" si="17"/>
        <v>18</v>
      </c>
      <c r="L75" s="39">
        <f t="shared" si="18"/>
        <v>193.5</v>
      </c>
      <c r="M75" s="29">
        <v>30</v>
      </c>
      <c r="N75" s="43">
        <v>0.95</v>
      </c>
      <c r="O75" s="29">
        <v>1000</v>
      </c>
      <c r="P75" s="29">
        <f t="shared" si="14"/>
        <v>193500</v>
      </c>
      <c r="Q75" s="29">
        <f t="shared" si="15"/>
        <v>42892.499999999993</v>
      </c>
      <c r="R75" s="29">
        <f t="shared" si="16"/>
        <v>150607.5</v>
      </c>
    </row>
    <row r="76" spans="1:18" ht="19.899999999999999" customHeight="1" x14ac:dyDescent="0.25">
      <c r="A76" s="3">
        <v>74</v>
      </c>
      <c r="B76" s="41" t="s">
        <v>49</v>
      </c>
      <c r="C76" s="35" t="s">
        <v>62</v>
      </c>
      <c r="D76" s="35" t="s">
        <v>94</v>
      </c>
      <c r="E76" s="32">
        <v>2014</v>
      </c>
      <c r="F76" s="36" t="s">
        <v>244</v>
      </c>
      <c r="G76" s="37" t="s">
        <v>5</v>
      </c>
      <c r="H76" s="35" t="s">
        <v>64</v>
      </c>
      <c r="I76" s="40">
        <v>1</v>
      </c>
      <c r="J76" s="39">
        <f>26.59*13.5</f>
        <v>358.96499999999997</v>
      </c>
      <c r="K76" s="39">
        <f t="shared" si="17"/>
        <v>358.96499999999997</v>
      </c>
      <c r="L76" s="39">
        <f t="shared" si="18"/>
        <v>3858.8737499999997</v>
      </c>
      <c r="M76" s="29">
        <v>30</v>
      </c>
      <c r="N76" s="43">
        <v>0.95</v>
      </c>
      <c r="O76" s="29">
        <v>1400</v>
      </c>
      <c r="P76" s="29">
        <f t="shared" si="14"/>
        <v>5402423.25</v>
      </c>
      <c r="Q76" s="29">
        <f t="shared" si="15"/>
        <v>1539690.62625</v>
      </c>
      <c r="R76" s="29">
        <f t="shared" si="16"/>
        <v>3862732.6237500003</v>
      </c>
    </row>
    <row r="77" spans="1:18" ht="45" x14ac:dyDescent="0.25">
      <c r="A77" s="3">
        <v>75</v>
      </c>
      <c r="B77" s="41" t="s">
        <v>50</v>
      </c>
      <c r="C77" s="35" t="s">
        <v>61</v>
      </c>
      <c r="D77" s="35" t="s">
        <v>135</v>
      </c>
      <c r="E77" s="32">
        <v>2011</v>
      </c>
      <c r="F77" s="36" t="s">
        <v>244</v>
      </c>
      <c r="G77" s="34" t="s">
        <v>12</v>
      </c>
      <c r="H77" s="35" t="s">
        <v>64</v>
      </c>
      <c r="I77" s="40">
        <v>1</v>
      </c>
      <c r="J77" s="39">
        <v>136</v>
      </c>
      <c r="K77" s="39">
        <f t="shared" si="17"/>
        <v>136</v>
      </c>
      <c r="L77" s="39">
        <f t="shared" si="18"/>
        <v>1462</v>
      </c>
      <c r="M77" s="29">
        <v>30</v>
      </c>
      <c r="N77" s="43">
        <v>0.95</v>
      </c>
      <c r="O77" s="29">
        <v>1600</v>
      </c>
      <c r="P77" s="29">
        <f t="shared" si="14"/>
        <v>2339200</v>
      </c>
      <c r="Q77" s="29">
        <f t="shared" si="15"/>
        <v>888895.99999999988</v>
      </c>
      <c r="R77" s="29">
        <f t="shared" si="16"/>
        <v>1450304</v>
      </c>
    </row>
    <row r="78" spans="1:18" ht="24.75" customHeight="1" x14ac:dyDescent="0.25">
      <c r="A78" s="3">
        <v>76</v>
      </c>
      <c r="B78" s="41" t="s">
        <v>52</v>
      </c>
      <c r="C78" s="35" t="s">
        <v>61</v>
      </c>
      <c r="D78" s="35" t="s">
        <v>135</v>
      </c>
      <c r="E78" s="32">
        <v>2011</v>
      </c>
      <c r="F78" s="36" t="s">
        <v>244</v>
      </c>
      <c r="G78" s="34" t="s">
        <v>12</v>
      </c>
      <c r="H78" s="35" t="s">
        <v>64</v>
      </c>
      <c r="I78" s="40">
        <v>1</v>
      </c>
      <c r="J78" s="39">
        <v>1200</v>
      </c>
      <c r="K78" s="39">
        <f t="shared" si="17"/>
        <v>1200</v>
      </c>
      <c r="L78" s="39">
        <f t="shared" si="18"/>
        <v>12900</v>
      </c>
      <c r="M78" s="29">
        <v>30</v>
      </c>
      <c r="N78" s="43">
        <v>0.95</v>
      </c>
      <c r="O78" s="29">
        <v>1400</v>
      </c>
      <c r="P78" s="29">
        <f t="shared" si="14"/>
        <v>18060000</v>
      </c>
      <c r="Q78" s="29">
        <f t="shared" si="15"/>
        <v>6862799.9999999981</v>
      </c>
      <c r="R78" s="29">
        <f t="shared" si="16"/>
        <v>11197200.000000002</v>
      </c>
    </row>
    <row r="79" spans="1:18" ht="45" x14ac:dyDescent="0.25">
      <c r="A79" s="3">
        <v>77</v>
      </c>
      <c r="B79" s="41" t="s">
        <v>53</v>
      </c>
      <c r="C79" s="35" t="s">
        <v>61</v>
      </c>
      <c r="D79" s="35" t="s">
        <v>135</v>
      </c>
      <c r="E79" s="32">
        <v>2009</v>
      </c>
      <c r="F79" s="36" t="s">
        <v>244</v>
      </c>
      <c r="G79" s="34" t="s">
        <v>12</v>
      </c>
      <c r="H79" s="35" t="s">
        <v>64</v>
      </c>
      <c r="I79" s="40">
        <v>1</v>
      </c>
      <c r="J79" s="39">
        <v>1200</v>
      </c>
      <c r="K79" s="39">
        <f t="shared" si="17"/>
        <v>1200</v>
      </c>
      <c r="L79" s="39">
        <f t="shared" si="18"/>
        <v>12900</v>
      </c>
      <c r="M79" s="29">
        <v>30</v>
      </c>
      <c r="N79" s="43">
        <v>0.95</v>
      </c>
      <c r="O79" s="29">
        <v>1400</v>
      </c>
      <c r="P79" s="29">
        <f t="shared" si="14"/>
        <v>18060000</v>
      </c>
      <c r="Q79" s="29">
        <f t="shared" si="15"/>
        <v>8006599.9999999981</v>
      </c>
      <c r="R79" s="29">
        <f t="shared" si="16"/>
        <v>10053400.000000002</v>
      </c>
    </row>
    <row r="80" spans="1:18" ht="45" x14ac:dyDescent="0.25">
      <c r="A80" s="3">
        <v>78</v>
      </c>
      <c r="B80" s="41" t="s">
        <v>54</v>
      </c>
      <c r="C80" s="35" t="s">
        <v>61</v>
      </c>
      <c r="D80" s="35" t="s">
        <v>135</v>
      </c>
      <c r="E80" s="32">
        <v>2009</v>
      </c>
      <c r="F80" s="32" t="s">
        <v>244</v>
      </c>
      <c r="G80" s="34" t="s">
        <v>12</v>
      </c>
      <c r="H80" s="32" t="s">
        <v>64</v>
      </c>
      <c r="I80" s="40">
        <v>1</v>
      </c>
      <c r="J80" s="39">
        <v>1200</v>
      </c>
      <c r="K80" s="39">
        <f t="shared" si="17"/>
        <v>1200</v>
      </c>
      <c r="L80" s="39">
        <f t="shared" si="18"/>
        <v>12900</v>
      </c>
      <c r="M80" s="29">
        <v>30</v>
      </c>
      <c r="N80" s="43">
        <v>0.95</v>
      </c>
      <c r="O80" s="29">
        <v>1400</v>
      </c>
      <c r="P80" s="29">
        <f t="shared" si="14"/>
        <v>18060000</v>
      </c>
      <c r="Q80" s="29">
        <f t="shared" si="15"/>
        <v>8006599.9999999981</v>
      </c>
      <c r="R80" s="29">
        <f t="shared" si="16"/>
        <v>10053400.000000002</v>
      </c>
    </row>
    <row r="81" spans="1:29" ht="45" x14ac:dyDescent="0.25">
      <c r="A81" s="3">
        <v>79</v>
      </c>
      <c r="B81" s="41" t="s">
        <v>51</v>
      </c>
      <c r="C81" s="35" t="s">
        <v>61</v>
      </c>
      <c r="D81" s="35" t="s">
        <v>135</v>
      </c>
      <c r="E81" s="32">
        <v>2012</v>
      </c>
      <c r="F81" s="32" t="s">
        <v>244</v>
      </c>
      <c r="G81" s="34" t="s">
        <v>12</v>
      </c>
      <c r="H81" s="32" t="s">
        <v>63</v>
      </c>
      <c r="I81" s="40">
        <v>1</v>
      </c>
      <c r="J81" s="39">
        <v>3000</v>
      </c>
      <c r="K81" s="39">
        <f t="shared" si="17"/>
        <v>3000</v>
      </c>
      <c r="L81" s="39">
        <f t="shared" si="18"/>
        <v>32250</v>
      </c>
      <c r="M81" s="29">
        <v>30</v>
      </c>
      <c r="N81" s="43">
        <v>0.95</v>
      </c>
      <c r="O81" s="29">
        <v>1400</v>
      </c>
      <c r="P81" s="29">
        <f t="shared" si="14"/>
        <v>45150000</v>
      </c>
      <c r="Q81" s="29">
        <f t="shared" si="15"/>
        <v>15727249.999999998</v>
      </c>
      <c r="R81" s="29">
        <f t="shared" si="16"/>
        <v>29422750</v>
      </c>
    </row>
    <row r="82" spans="1:29" ht="23.45" customHeight="1" x14ac:dyDescent="0.25">
      <c r="A82" s="3">
        <v>80</v>
      </c>
      <c r="B82" s="13" t="s">
        <v>206</v>
      </c>
      <c r="C82" s="7" t="s">
        <v>60</v>
      </c>
      <c r="D82" s="7" t="s">
        <v>170</v>
      </c>
      <c r="E82" s="3">
        <v>2009</v>
      </c>
      <c r="F82" s="3" t="s">
        <v>244</v>
      </c>
      <c r="G82" s="4" t="s">
        <v>4</v>
      </c>
      <c r="H82" s="3" t="s">
        <v>63</v>
      </c>
      <c r="I82" s="14">
        <v>1</v>
      </c>
      <c r="J82" s="29">
        <v>240</v>
      </c>
      <c r="K82" s="29">
        <f t="shared" si="17"/>
        <v>240</v>
      </c>
      <c r="L82" s="29">
        <f t="shared" si="18"/>
        <v>2580</v>
      </c>
      <c r="M82" s="29">
        <v>30</v>
      </c>
      <c r="N82" s="43">
        <v>0.95</v>
      </c>
      <c r="O82" s="29">
        <v>1400</v>
      </c>
      <c r="P82" s="29">
        <f t="shared" si="14"/>
        <v>3612000</v>
      </c>
      <c r="Q82" s="29">
        <f t="shared" si="15"/>
        <v>1601319.9999999998</v>
      </c>
      <c r="R82" s="29">
        <f t="shared" si="16"/>
        <v>2010680.0000000002</v>
      </c>
    </row>
    <row r="83" spans="1:29" ht="45" x14ac:dyDescent="0.25">
      <c r="A83" s="3">
        <v>81</v>
      </c>
      <c r="B83" s="13" t="s">
        <v>70</v>
      </c>
      <c r="C83" s="7" t="s">
        <v>61</v>
      </c>
      <c r="D83" s="7" t="s">
        <v>171</v>
      </c>
      <c r="E83" s="3">
        <v>2016</v>
      </c>
      <c r="F83" s="3" t="s">
        <v>244</v>
      </c>
      <c r="G83" s="8" t="s">
        <v>12</v>
      </c>
      <c r="H83" s="7" t="s">
        <v>63</v>
      </c>
      <c r="I83" s="14">
        <v>1</v>
      </c>
      <c r="J83" s="29">
        <v>32</v>
      </c>
      <c r="K83" s="29">
        <f t="shared" si="17"/>
        <v>32</v>
      </c>
      <c r="L83" s="29">
        <f t="shared" si="18"/>
        <v>344</v>
      </c>
      <c r="M83" s="29">
        <v>30</v>
      </c>
      <c r="N83" s="43">
        <v>0.95</v>
      </c>
      <c r="O83" s="29">
        <v>1000</v>
      </c>
      <c r="P83" s="29">
        <f t="shared" si="14"/>
        <v>344000</v>
      </c>
      <c r="Q83" s="29">
        <f t="shared" si="15"/>
        <v>76253.333333333328</v>
      </c>
      <c r="R83" s="29">
        <f t="shared" si="16"/>
        <v>267746.66666666669</v>
      </c>
    </row>
    <row r="84" spans="1:29" ht="45" x14ac:dyDescent="0.25">
      <c r="A84" s="3">
        <v>82</v>
      </c>
      <c r="B84" s="41" t="s">
        <v>105</v>
      </c>
      <c r="C84" s="35" t="s">
        <v>106</v>
      </c>
      <c r="D84" s="35" t="s">
        <v>92</v>
      </c>
      <c r="E84" s="32">
        <v>2013</v>
      </c>
      <c r="F84" s="32" t="s">
        <v>244</v>
      </c>
      <c r="G84" s="34" t="s">
        <v>12</v>
      </c>
      <c r="H84" s="35" t="s">
        <v>64</v>
      </c>
      <c r="I84" s="40">
        <v>2</v>
      </c>
      <c r="J84" s="39">
        <f>10*13.8</f>
        <v>138</v>
      </c>
      <c r="K84" s="39">
        <f t="shared" si="17"/>
        <v>276</v>
      </c>
      <c r="L84" s="39">
        <f t="shared" si="18"/>
        <v>1483.5</v>
      </c>
      <c r="M84" s="29">
        <v>30</v>
      </c>
      <c r="N84" s="43">
        <v>0.95</v>
      </c>
      <c r="O84" s="29">
        <v>1000</v>
      </c>
      <c r="P84" s="29">
        <f t="shared" si="14"/>
        <v>1483500</v>
      </c>
      <c r="Q84" s="29">
        <f t="shared" si="15"/>
        <v>469774.99999999994</v>
      </c>
      <c r="R84" s="29">
        <f t="shared" si="16"/>
        <v>1013725</v>
      </c>
    </row>
    <row r="85" spans="1:29" ht="20.45" customHeight="1" x14ac:dyDescent="0.25">
      <c r="A85" s="3">
        <v>83</v>
      </c>
      <c r="B85" s="42" t="s">
        <v>194</v>
      </c>
      <c r="C85" s="35" t="s">
        <v>61</v>
      </c>
      <c r="D85" s="35" t="s">
        <v>193</v>
      </c>
      <c r="E85" s="32">
        <v>2015</v>
      </c>
      <c r="F85" s="32" t="s">
        <v>244</v>
      </c>
      <c r="G85" s="34" t="s">
        <v>6</v>
      </c>
      <c r="H85" s="35" t="s">
        <v>65</v>
      </c>
      <c r="I85" s="40">
        <v>1</v>
      </c>
      <c r="J85" s="39">
        <f>13.5*28.5</f>
        <v>384.75</v>
      </c>
      <c r="K85" s="39">
        <f t="shared" si="17"/>
        <v>384.75</v>
      </c>
      <c r="L85" s="39">
        <f t="shared" si="18"/>
        <v>4136.0625</v>
      </c>
      <c r="M85" s="29">
        <v>30</v>
      </c>
      <c r="N85" s="43">
        <v>0.95</v>
      </c>
      <c r="O85" s="29">
        <v>1200</v>
      </c>
      <c r="P85" s="29">
        <f t="shared" si="14"/>
        <v>4963275</v>
      </c>
      <c r="Q85" s="29">
        <f t="shared" si="15"/>
        <v>1257362.9999999998</v>
      </c>
      <c r="R85" s="29">
        <f t="shared" si="16"/>
        <v>3705912</v>
      </c>
    </row>
    <row r="86" spans="1:29" ht="20.45" customHeight="1" x14ac:dyDescent="0.25">
      <c r="A86" s="3">
        <v>84</v>
      </c>
      <c r="B86" s="33" t="s">
        <v>195</v>
      </c>
      <c r="C86" s="35" t="s">
        <v>61</v>
      </c>
      <c r="D86" s="35" t="s">
        <v>114</v>
      </c>
      <c r="E86" s="32">
        <v>2015</v>
      </c>
      <c r="F86" s="32" t="s">
        <v>244</v>
      </c>
      <c r="G86" s="34" t="s">
        <v>7</v>
      </c>
      <c r="H86" s="35" t="s">
        <v>65</v>
      </c>
      <c r="I86" s="40">
        <v>1</v>
      </c>
      <c r="J86" s="39">
        <f>32*13.5</f>
        <v>432</v>
      </c>
      <c r="K86" s="39">
        <f t="shared" si="17"/>
        <v>432</v>
      </c>
      <c r="L86" s="39">
        <f t="shared" si="18"/>
        <v>4644</v>
      </c>
      <c r="M86" s="29">
        <v>30</v>
      </c>
      <c r="N86" s="43">
        <v>0.95</v>
      </c>
      <c r="O86" s="29">
        <v>1200</v>
      </c>
      <c r="P86" s="29">
        <f t="shared" si="14"/>
        <v>5572800</v>
      </c>
      <c r="Q86" s="29">
        <f t="shared" si="15"/>
        <v>1411775.9999999998</v>
      </c>
      <c r="R86" s="29">
        <f t="shared" si="16"/>
        <v>4161024</v>
      </c>
    </row>
    <row r="87" spans="1:29" ht="25.15" customHeight="1" x14ac:dyDescent="0.25">
      <c r="A87" s="3">
        <v>85</v>
      </c>
      <c r="B87" s="20" t="s">
        <v>167</v>
      </c>
      <c r="C87" s="7"/>
      <c r="D87" s="7"/>
      <c r="E87" s="7"/>
      <c r="F87" s="7"/>
      <c r="G87" s="8"/>
      <c r="H87" s="7"/>
      <c r="I87" s="7"/>
      <c r="J87" s="29"/>
      <c r="K87" s="29"/>
      <c r="L87" s="29"/>
      <c r="M87" s="29"/>
      <c r="N87" s="29"/>
      <c r="O87" s="29"/>
      <c r="P87" s="29"/>
      <c r="Q87" s="29"/>
      <c r="R87" s="29"/>
    </row>
    <row r="88" spans="1:29" ht="25.15" customHeight="1" x14ac:dyDescent="0.25">
      <c r="A88" s="3">
        <v>86</v>
      </c>
      <c r="B88" s="9" t="s">
        <v>176</v>
      </c>
      <c r="C88" s="7" t="s">
        <v>186</v>
      </c>
      <c r="D88" s="7" t="s">
        <v>184</v>
      </c>
      <c r="E88" s="7">
        <v>2013</v>
      </c>
      <c r="F88" s="27" t="s">
        <v>252</v>
      </c>
      <c r="G88" s="4" t="s">
        <v>4</v>
      </c>
      <c r="H88" s="7" t="s">
        <v>64</v>
      </c>
      <c r="I88" s="14">
        <v>2</v>
      </c>
      <c r="J88" s="29">
        <f>3.142*4.5*4.5</f>
        <v>63.625499999999995</v>
      </c>
      <c r="K88" s="29">
        <f t="shared" si="17"/>
        <v>127.25099999999999</v>
      </c>
      <c r="L88" s="29">
        <f t="shared" si="18"/>
        <v>683.97412499999996</v>
      </c>
      <c r="M88" s="29">
        <v>30</v>
      </c>
      <c r="N88" s="43">
        <v>0.95</v>
      </c>
      <c r="O88" s="29">
        <v>1200</v>
      </c>
      <c r="P88" s="29">
        <f>O88*L88</f>
        <v>820768.95</v>
      </c>
      <c r="Q88" s="29">
        <f t="shared" ref="Q88:Q96" si="19">P88*(N88/M88)*($Q$1-E88)</f>
        <v>259910.16749999995</v>
      </c>
      <c r="R88" s="29">
        <f>P88-Q88</f>
        <v>560858.78249999997</v>
      </c>
    </row>
    <row r="89" spans="1:29" ht="25.15" customHeight="1" x14ac:dyDescent="0.25">
      <c r="A89" s="3">
        <v>87</v>
      </c>
      <c r="B89" s="42" t="s">
        <v>177</v>
      </c>
      <c r="C89" s="35" t="s">
        <v>185</v>
      </c>
      <c r="D89" s="35" t="s">
        <v>187</v>
      </c>
      <c r="E89" s="35">
        <v>2015</v>
      </c>
      <c r="F89" s="35" t="s">
        <v>244</v>
      </c>
      <c r="G89" s="37" t="s">
        <v>4</v>
      </c>
      <c r="H89" s="35" t="s">
        <v>64</v>
      </c>
      <c r="I89" s="40">
        <v>4</v>
      </c>
      <c r="J89" s="39">
        <f>15.5*4</f>
        <v>62</v>
      </c>
      <c r="K89" s="39">
        <f t="shared" si="17"/>
        <v>248</v>
      </c>
      <c r="L89" s="39">
        <f t="shared" si="18"/>
        <v>666.5</v>
      </c>
      <c r="M89" s="29">
        <v>30</v>
      </c>
      <c r="N89" s="43">
        <v>0.95</v>
      </c>
      <c r="O89" s="29">
        <v>1000</v>
      </c>
      <c r="P89" s="29">
        <f>O89*L89</f>
        <v>666500</v>
      </c>
      <c r="Q89" s="29">
        <f t="shared" si="19"/>
        <v>168846.66666666666</v>
      </c>
      <c r="R89" s="29">
        <f>P89-Q89</f>
        <v>497653.33333333337</v>
      </c>
    </row>
    <row r="90" spans="1:29" ht="25.15" customHeight="1" x14ac:dyDescent="0.25">
      <c r="A90" s="3">
        <v>88</v>
      </c>
      <c r="B90" s="9" t="s">
        <v>178</v>
      </c>
      <c r="C90" s="7" t="s">
        <v>188</v>
      </c>
      <c r="D90" s="7" t="s">
        <v>189</v>
      </c>
      <c r="E90" s="7">
        <v>2014</v>
      </c>
      <c r="F90" s="27" t="s">
        <v>252</v>
      </c>
      <c r="G90" s="8" t="s">
        <v>200</v>
      </c>
      <c r="H90" s="7" t="s">
        <v>64</v>
      </c>
      <c r="I90" s="14"/>
      <c r="J90" s="29">
        <v>277772</v>
      </c>
      <c r="K90" s="29">
        <f t="shared" si="17"/>
        <v>0</v>
      </c>
      <c r="L90" s="29">
        <f t="shared" si="18"/>
        <v>2986049</v>
      </c>
      <c r="M90" s="29">
        <v>30</v>
      </c>
      <c r="N90" s="43">
        <v>0.95</v>
      </c>
      <c r="O90" s="29">
        <v>50</v>
      </c>
      <c r="P90" s="29">
        <f t="shared" ref="P90:P96" si="20">O90*L90</f>
        <v>149302450</v>
      </c>
      <c r="Q90" s="29">
        <f t="shared" si="19"/>
        <v>42551198.249999993</v>
      </c>
      <c r="R90" s="29">
        <f t="shared" ref="R90:R96" si="21">P90-Q90</f>
        <v>106751251.75</v>
      </c>
    </row>
    <row r="91" spans="1:29" ht="25.15" customHeight="1" x14ac:dyDescent="0.25">
      <c r="A91" s="3">
        <v>89</v>
      </c>
      <c r="B91" s="9" t="s">
        <v>179</v>
      </c>
      <c r="C91" s="7" t="s">
        <v>198</v>
      </c>
      <c r="D91" s="7" t="s">
        <v>201</v>
      </c>
      <c r="E91" s="7">
        <v>2014</v>
      </c>
      <c r="F91" s="27" t="s">
        <v>252</v>
      </c>
      <c r="G91" s="4" t="s">
        <v>4</v>
      </c>
      <c r="H91" s="7" t="s">
        <v>64</v>
      </c>
      <c r="I91" s="14">
        <v>2</v>
      </c>
      <c r="J91" s="29">
        <f>14.8*14.8</f>
        <v>219.04000000000002</v>
      </c>
      <c r="K91" s="29">
        <f t="shared" si="17"/>
        <v>438.08000000000004</v>
      </c>
      <c r="L91" s="29">
        <f t="shared" si="18"/>
        <v>2354.6800000000003</v>
      </c>
      <c r="M91" s="29">
        <v>30</v>
      </c>
      <c r="N91" s="43">
        <v>0.95</v>
      </c>
      <c r="O91" s="29">
        <v>1200</v>
      </c>
      <c r="P91" s="29">
        <f t="shared" si="20"/>
        <v>2825616.0000000005</v>
      </c>
      <c r="Q91" s="29">
        <f t="shared" si="19"/>
        <v>805300.55999999994</v>
      </c>
      <c r="R91" s="29">
        <f t="shared" si="21"/>
        <v>2020315.4400000004</v>
      </c>
    </row>
    <row r="92" spans="1:29" ht="25.15" customHeight="1" x14ac:dyDescent="0.25">
      <c r="A92" s="3">
        <v>90</v>
      </c>
      <c r="B92" s="9" t="s">
        <v>180</v>
      </c>
      <c r="C92" s="7" t="s">
        <v>198</v>
      </c>
      <c r="D92" s="7" t="s">
        <v>199</v>
      </c>
      <c r="E92" s="7">
        <v>2014</v>
      </c>
      <c r="F92" s="27" t="s">
        <v>252</v>
      </c>
      <c r="G92" s="4" t="s">
        <v>4</v>
      </c>
      <c r="H92" s="7" t="s">
        <v>64</v>
      </c>
      <c r="I92" s="14">
        <v>1</v>
      </c>
      <c r="J92" s="29">
        <f>13.5*14.5</f>
        <v>195.75</v>
      </c>
      <c r="K92" s="29">
        <f t="shared" si="17"/>
        <v>195.75</v>
      </c>
      <c r="L92" s="29">
        <f t="shared" si="18"/>
        <v>2104.3125</v>
      </c>
      <c r="M92" s="29">
        <v>30</v>
      </c>
      <c r="N92" s="43">
        <v>0.95</v>
      </c>
      <c r="O92" s="29">
        <v>1200</v>
      </c>
      <c r="P92" s="29">
        <f t="shared" si="20"/>
        <v>2525175</v>
      </c>
      <c r="Q92" s="29">
        <f t="shared" si="19"/>
        <v>719674.87499999988</v>
      </c>
      <c r="R92" s="29">
        <f t="shared" si="21"/>
        <v>1805500.125</v>
      </c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</row>
    <row r="93" spans="1:29" ht="25.15" customHeight="1" x14ac:dyDescent="0.25">
      <c r="A93" s="3">
        <v>91</v>
      </c>
      <c r="B93" s="9" t="s">
        <v>181</v>
      </c>
      <c r="C93" s="7" t="s">
        <v>192</v>
      </c>
      <c r="D93" s="7" t="s">
        <v>104</v>
      </c>
      <c r="E93" s="7">
        <v>2014</v>
      </c>
      <c r="F93" s="27" t="s">
        <v>252</v>
      </c>
      <c r="G93" s="4" t="s">
        <v>4</v>
      </c>
      <c r="H93" s="7" t="s">
        <v>64</v>
      </c>
      <c r="I93" s="14">
        <v>1</v>
      </c>
      <c r="J93" s="29">
        <f>3.142*13*13</f>
        <v>530.99799999999993</v>
      </c>
      <c r="K93" s="29">
        <f t="shared" si="17"/>
        <v>530.99799999999993</v>
      </c>
      <c r="L93" s="29">
        <f t="shared" si="18"/>
        <v>5708.2284999999993</v>
      </c>
      <c r="M93" s="29">
        <v>30</v>
      </c>
      <c r="N93" s="43">
        <v>0.95</v>
      </c>
      <c r="O93" s="29">
        <v>1200</v>
      </c>
      <c r="P93" s="29">
        <f t="shared" si="20"/>
        <v>6849874.1999999993</v>
      </c>
      <c r="Q93" s="29">
        <f t="shared" si="19"/>
        <v>1952214.1469999996</v>
      </c>
      <c r="R93" s="29">
        <f t="shared" si="21"/>
        <v>4897660.0529999994</v>
      </c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</row>
    <row r="94" spans="1:29" ht="25.15" customHeight="1" x14ac:dyDescent="0.25">
      <c r="A94" s="3">
        <v>92</v>
      </c>
      <c r="B94" s="9" t="s">
        <v>182</v>
      </c>
      <c r="C94" s="7" t="s">
        <v>192</v>
      </c>
      <c r="D94" s="7" t="s">
        <v>104</v>
      </c>
      <c r="E94" s="7">
        <v>2014</v>
      </c>
      <c r="F94" s="27" t="s">
        <v>252</v>
      </c>
      <c r="G94" s="4" t="s">
        <v>4</v>
      </c>
      <c r="H94" s="7" t="s">
        <v>64</v>
      </c>
      <c r="I94" s="14">
        <v>1</v>
      </c>
      <c r="J94" s="29">
        <f>J93</f>
        <v>530.99799999999993</v>
      </c>
      <c r="K94" s="29">
        <f t="shared" si="17"/>
        <v>530.99799999999993</v>
      </c>
      <c r="L94" s="29">
        <f t="shared" si="18"/>
        <v>5708.2284999999993</v>
      </c>
      <c r="M94" s="29">
        <v>30</v>
      </c>
      <c r="N94" s="43">
        <v>0.95</v>
      </c>
      <c r="O94" s="29">
        <v>1200</v>
      </c>
      <c r="P94" s="29">
        <f t="shared" si="20"/>
        <v>6849874.1999999993</v>
      </c>
      <c r="Q94" s="29">
        <f t="shared" si="19"/>
        <v>1952214.1469999996</v>
      </c>
      <c r="R94" s="29">
        <f t="shared" si="21"/>
        <v>4897660.0529999994</v>
      </c>
      <c r="S94" s="50"/>
      <c r="T94" s="50"/>
      <c r="U94" s="50"/>
      <c r="V94" s="50"/>
      <c r="W94" s="50"/>
      <c r="X94" s="50"/>
      <c r="Y94" s="50"/>
      <c r="Z94" s="50"/>
      <c r="AA94" s="49"/>
      <c r="AB94" s="49"/>
      <c r="AC94" s="49"/>
    </row>
    <row r="95" spans="1:29" ht="25.15" customHeight="1" x14ac:dyDescent="0.25">
      <c r="A95" s="3">
        <v>93</v>
      </c>
      <c r="B95" s="9" t="s">
        <v>230</v>
      </c>
      <c r="C95" s="7" t="s">
        <v>224</v>
      </c>
      <c r="D95" s="7" t="s">
        <v>231</v>
      </c>
      <c r="E95" s="7">
        <v>2014</v>
      </c>
      <c r="F95" s="27" t="s">
        <v>252</v>
      </c>
      <c r="G95" s="4" t="s">
        <v>4</v>
      </c>
      <c r="H95" s="7" t="s">
        <v>64</v>
      </c>
      <c r="I95" s="14">
        <v>1</v>
      </c>
      <c r="J95" s="29">
        <f>38.4*40.4</f>
        <v>1551.36</v>
      </c>
      <c r="K95" s="29">
        <f t="shared" si="17"/>
        <v>1551.36</v>
      </c>
      <c r="L95" s="29">
        <f t="shared" si="18"/>
        <v>16677.12</v>
      </c>
      <c r="M95" s="29">
        <v>30</v>
      </c>
      <c r="N95" s="43">
        <v>0.95</v>
      </c>
      <c r="O95" s="29">
        <v>1200</v>
      </c>
      <c r="P95" s="29">
        <f t="shared" si="20"/>
        <v>20012544</v>
      </c>
      <c r="Q95" s="29">
        <f t="shared" si="19"/>
        <v>5703575.0399999991</v>
      </c>
      <c r="R95" s="29">
        <f t="shared" si="21"/>
        <v>14308968.960000001</v>
      </c>
      <c r="S95" s="50"/>
      <c r="T95" s="50"/>
      <c r="U95" s="50"/>
      <c r="V95" s="50"/>
      <c r="W95" s="50"/>
      <c r="X95" s="50"/>
      <c r="Y95" s="50"/>
      <c r="Z95" s="50"/>
      <c r="AA95" s="49"/>
      <c r="AB95" s="49"/>
      <c r="AC95" s="49"/>
    </row>
    <row r="96" spans="1:29" ht="25.15" customHeight="1" x14ac:dyDescent="0.25">
      <c r="A96" s="3">
        <v>94</v>
      </c>
      <c r="B96" s="9" t="s">
        <v>232</v>
      </c>
      <c r="C96" s="7" t="s">
        <v>224</v>
      </c>
      <c r="D96" s="7" t="s">
        <v>231</v>
      </c>
      <c r="E96" s="7">
        <v>2014</v>
      </c>
      <c r="F96" s="27" t="s">
        <v>252</v>
      </c>
      <c r="G96" s="4" t="s">
        <v>4</v>
      </c>
      <c r="H96" s="7" t="s">
        <v>64</v>
      </c>
      <c r="I96" s="14">
        <v>1</v>
      </c>
      <c r="J96" s="29">
        <f>16*31.4</f>
        <v>502.4</v>
      </c>
      <c r="K96" s="29">
        <f t="shared" si="17"/>
        <v>502.4</v>
      </c>
      <c r="L96" s="29">
        <f t="shared" si="18"/>
        <v>5400.8</v>
      </c>
      <c r="M96" s="29">
        <v>30</v>
      </c>
      <c r="N96" s="43">
        <v>0.95</v>
      </c>
      <c r="O96" s="29">
        <v>1200</v>
      </c>
      <c r="P96" s="29">
        <f t="shared" si="20"/>
        <v>6480960</v>
      </c>
      <c r="Q96" s="29">
        <f t="shared" si="19"/>
        <v>1847073.5999999996</v>
      </c>
      <c r="R96" s="29">
        <f t="shared" si="21"/>
        <v>4633886.4000000004</v>
      </c>
      <c r="S96" s="50"/>
      <c r="T96" s="50"/>
      <c r="U96" s="50"/>
      <c r="V96" s="50"/>
      <c r="W96" s="50"/>
      <c r="X96" s="50"/>
      <c r="Y96" s="50"/>
      <c r="Z96" s="50"/>
      <c r="AA96" s="49"/>
      <c r="AB96" s="49"/>
      <c r="AC96" s="49"/>
    </row>
    <row r="97" spans="1:29" ht="25.15" customHeight="1" x14ac:dyDescent="0.25">
      <c r="A97" s="3">
        <v>95</v>
      </c>
      <c r="B97" s="22" t="s">
        <v>202</v>
      </c>
      <c r="C97" s="7" t="s">
        <v>189</v>
      </c>
      <c r="D97" s="7" t="s">
        <v>189</v>
      </c>
      <c r="E97" s="7" t="s">
        <v>189</v>
      </c>
      <c r="F97" s="7" t="s">
        <v>251</v>
      </c>
      <c r="G97" s="8" t="s">
        <v>204</v>
      </c>
      <c r="H97" s="7" t="s">
        <v>64</v>
      </c>
      <c r="I97" s="14">
        <v>1</v>
      </c>
      <c r="J97" s="29">
        <v>23.49</v>
      </c>
      <c r="K97" s="29">
        <f t="shared" si="17"/>
        <v>23.49</v>
      </c>
      <c r="L97" s="29" t="s">
        <v>189</v>
      </c>
      <c r="M97" s="29">
        <v>0</v>
      </c>
      <c r="N97" s="29">
        <v>0</v>
      </c>
      <c r="O97" s="29"/>
      <c r="P97" s="29"/>
      <c r="Q97" s="29"/>
      <c r="R97" s="29"/>
      <c r="S97" s="51"/>
      <c r="T97" s="49"/>
      <c r="U97" s="49"/>
      <c r="V97" s="49"/>
      <c r="W97" s="49"/>
      <c r="X97" s="49"/>
      <c r="Y97" s="49"/>
      <c r="Z97" s="49"/>
      <c r="AA97" s="49"/>
      <c r="AB97" s="49"/>
      <c r="AC97" s="49"/>
    </row>
    <row r="98" spans="1:29" ht="25.15" customHeight="1" x14ac:dyDescent="0.25">
      <c r="A98" s="3">
        <v>96</v>
      </c>
      <c r="B98" s="42" t="s">
        <v>207</v>
      </c>
      <c r="C98" s="35" t="s">
        <v>192</v>
      </c>
      <c r="D98" s="35" t="s">
        <v>189</v>
      </c>
      <c r="E98" s="35">
        <v>2010</v>
      </c>
      <c r="F98" s="35" t="s">
        <v>251</v>
      </c>
      <c r="G98" s="34" t="s">
        <v>208</v>
      </c>
      <c r="H98" s="35" t="s">
        <v>64</v>
      </c>
      <c r="I98" s="40">
        <v>1</v>
      </c>
      <c r="J98" s="39">
        <f>7.5*3000</f>
        <v>22500</v>
      </c>
      <c r="K98" s="39">
        <f>J98*I98</f>
        <v>22500</v>
      </c>
      <c r="L98" s="39">
        <f>K98*10.75</f>
        <v>241875</v>
      </c>
      <c r="M98" s="39"/>
      <c r="N98" s="39"/>
      <c r="O98" s="29"/>
      <c r="P98" s="39">
        <f>K98*1900</f>
        <v>42750000</v>
      </c>
      <c r="Q98" s="39"/>
      <c r="R98" s="39">
        <f>500*K98</f>
        <v>11250000</v>
      </c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</row>
    <row r="99" spans="1:29" ht="25.15" customHeight="1" x14ac:dyDescent="0.25">
      <c r="A99" s="3">
        <v>97</v>
      </c>
      <c r="B99" s="42" t="s">
        <v>209</v>
      </c>
      <c r="C99" s="35" t="s">
        <v>192</v>
      </c>
      <c r="D99" s="35" t="s">
        <v>189</v>
      </c>
      <c r="E99" s="35">
        <v>2014</v>
      </c>
      <c r="F99" s="35" t="s">
        <v>251</v>
      </c>
      <c r="G99" s="34" t="s">
        <v>212</v>
      </c>
      <c r="H99" s="35" t="s">
        <v>64</v>
      </c>
      <c r="I99" s="40">
        <v>1</v>
      </c>
      <c r="J99" s="39">
        <f>8.5*4541</f>
        <v>38598.5</v>
      </c>
      <c r="K99" s="39">
        <f>J99*I99</f>
        <v>38598.5</v>
      </c>
      <c r="L99" s="39">
        <f>K99*10.75</f>
        <v>414933.875</v>
      </c>
      <c r="M99" s="39"/>
      <c r="N99" s="39"/>
      <c r="O99" s="29"/>
      <c r="P99" s="39">
        <f t="shared" ref="P99:P103" si="22">K99*1900</f>
        <v>73337150</v>
      </c>
      <c r="Q99" s="39"/>
      <c r="R99" s="39">
        <f t="shared" ref="R99:R103" si="23">500*K99</f>
        <v>19299250</v>
      </c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</row>
    <row r="100" spans="1:29" ht="25.15" customHeight="1" x14ac:dyDescent="0.25">
      <c r="A100" s="3">
        <v>98</v>
      </c>
      <c r="B100" s="42" t="s">
        <v>210</v>
      </c>
      <c r="C100" s="35" t="s">
        <v>192</v>
      </c>
      <c r="D100" s="35" t="s">
        <v>189</v>
      </c>
      <c r="E100" s="35">
        <v>2012</v>
      </c>
      <c r="F100" s="35" t="s">
        <v>251</v>
      </c>
      <c r="G100" s="34" t="s">
        <v>211</v>
      </c>
      <c r="H100" s="35" t="s">
        <v>63</v>
      </c>
      <c r="I100" s="40">
        <v>1</v>
      </c>
      <c r="J100" s="39">
        <f>3.5*8080</f>
        <v>28280</v>
      </c>
      <c r="K100" s="39">
        <f>J100*I100</f>
        <v>28280</v>
      </c>
      <c r="L100" s="39">
        <f>K100*10.75</f>
        <v>304010</v>
      </c>
      <c r="M100" s="39"/>
      <c r="N100" s="39"/>
      <c r="O100" s="29"/>
      <c r="P100" s="39">
        <f t="shared" si="22"/>
        <v>53732000</v>
      </c>
      <c r="Q100" s="39"/>
      <c r="R100" s="39">
        <f t="shared" si="23"/>
        <v>14140000</v>
      </c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</row>
    <row r="101" spans="1:29" ht="25.15" customHeight="1" x14ac:dyDescent="0.25">
      <c r="A101" s="3">
        <v>99</v>
      </c>
      <c r="B101" s="42" t="s">
        <v>213</v>
      </c>
      <c r="C101" s="35" t="s">
        <v>192</v>
      </c>
      <c r="D101" s="35" t="s">
        <v>189</v>
      </c>
      <c r="E101" s="35">
        <v>2012</v>
      </c>
      <c r="F101" s="35" t="s">
        <v>251</v>
      </c>
      <c r="G101" s="34" t="s">
        <v>211</v>
      </c>
      <c r="H101" s="35" t="s">
        <v>63</v>
      </c>
      <c r="I101" s="40">
        <v>1</v>
      </c>
      <c r="J101" s="39">
        <f>8.5*5320</f>
        <v>45220</v>
      </c>
      <c r="K101" s="39">
        <f>J101*I101</f>
        <v>45220</v>
      </c>
      <c r="L101" s="39">
        <f>K101*10.75</f>
        <v>486115</v>
      </c>
      <c r="M101" s="39"/>
      <c r="N101" s="39"/>
      <c r="O101" s="29"/>
      <c r="P101" s="39">
        <f t="shared" si="22"/>
        <v>85918000</v>
      </c>
      <c r="Q101" s="39"/>
      <c r="R101" s="39">
        <f t="shared" si="23"/>
        <v>22610000</v>
      </c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</row>
    <row r="102" spans="1:29" ht="25.15" customHeight="1" x14ac:dyDescent="0.25">
      <c r="A102" s="3">
        <v>100</v>
      </c>
      <c r="B102" s="42" t="s">
        <v>214</v>
      </c>
      <c r="C102" s="35" t="s">
        <v>192</v>
      </c>
      <c r="D102" s="35" t="s">
        <v>189</v>
      </c>
      <c r="E102" s="35">
        <v>2012</v>
      </c>
      <c r="F102" s="35" t="s">
        <v>251</v>
      </c>
      <c r="G102" s="34" t="s">
        <v>215</v>
      </c>
      <c r="H102" s="35" t="s">
        <v>63</v>
      </c>
      <c r="I102" s="40">
        <v>1</v>
      </c>
      <c r="J102" s="39">
        <f>11*855</f>
        <v>9405</v>
      </c>
      <c r="K102" s="39">
        <f t="shared" ref="K102:K103" si="24">J102*I102</f>
        <v>9405</v>
      </c>
      <c r="L102" s="39">
        <f t="shared" ref="L102:L103" si="25">K102*10.75</f>
        <v>101103.75</v>
      </c>
      <c r="M102" s="39"/>
      <c r="N102" s="39"/>
      <c r="O102" s="29"/>
      <c r="P102" s="39">
        <f t="shared" si="22"/>
        <v>17869500</v>
      </c>
      <c r="Q102" s="39"/>
      <c r="R102" s="39">
        <f t="shared" si="23"/>
        <v>4702500</v>
      </c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</row>
    <row r="103" spans="1:29" ht="25.15" customHeight="1" x14ac:dyDescent="0.25">
      <c r="A103" s="3">
        <v>101</v>
      </c>
      <c r="B103" s="42" t="s">
        <v>216</v>
      </c>
      <c r="C103" s="35" t="s">
        <v>192</v>
      </c>
      <c r="D103" s="35" t="s">
        <v>189</v>
      </c>
      <c r="E103" s="35">
        <v>2012</v>
      </c>
      <c r="F103" s="35" t="s">
        <v>251</v>
      </c>
      <c r="G103" s="34" t="s">
        <v>211</v>
      </c>
      <c r="H103" s="35" t="s">
        <v>63</v>
      </c>
      <c r="I103" s="40">
        <v>1</v>
      </c>
      <c r="J103" s="39">
        <f>11*1700</f>
        <v>18700</v>
      </c>
      <c r="K103" s="39">
        <f t="shared" si="24"/>
        <v>18700</v>
      </c>
      <c r="L103" s="39">
        <f t="shared" si="25"/>
        <v>201025</v>
      </c>
      <c r="M103" s="39"/>
      <c r="N103" s="39"/>
      <c r="O103" s="29"/>
      <c r="P103" s="39">
        <f t="shared" si="22"/>
        <v>35530000</v>
      </c>
      <c r="Q103" s="39"/>
      <c r="R103" s="39">
        <f t="shared" si="23"/>
        <v>9350000</v>
      </c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</row>
    <row r="104" spans="1:29" ht="25.15" customHeight="1" x14ac:dyDescent="0.25">
      <c r="A104" s="3">
        <v>102</v>
      </c>
      <c r="B104" s="42" t="s">
        <v>203</v>
      </c>
      <c r="C104" s="35" t="s">
        <v>189</v>
      </c>
      <c r="D104" s="35" t="s">
        <v>189</v>
      </c>
      <c r="E104" s="35" t="s">
        <v>189</v>
      </c>
      <c r="F104" s="35" t="s">
        <v>245</v>
      </c>
      <c r="G104" s="34" t="s">
        <v>205</v>
      </c>
      <c r="H104" s="35" t="s">
        <v>64</v>
      </c>
      <c r="I104" s="40">
        <v>1</v>
      </c>
      <c r="J104" s="39">
        <v>18.5</v>
      </c>
      <c r="K104" s="39">
        <f t="shared" si="17"/>
        <v>18.5</v>
      </c>
      <c r="L104" s="39" t="s">
        <v>189</v>
      </c>
      <c r="M104" s="39">
        <v>30</v>
      </c>
      <c r="N104" s="46">
        <v>0.95</v>
      </c>
      <c r="O104" s="29"/>
      <c r="P104" s="39">
        <f>8000*19000</f>
        <v>152000000</v>
      </c>
      <c r="Q104" s="39"/>
      <c r="R104" s="39">
        <f>4000*19000</f>
        <v>76000000</v>
      </c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</row>
    <row r="105" spans="1:29" ht="25.15" customHeight="1" x14ac:dyDescent="0.25">
      <c r="A105" s="3">
        <v>103</v>
      </c>
      <c r="B105" s="42" t="s">
        <v>191</v>
      </c>
      <c r="C105" s="35" t="s">
        <v>188</v>
      </c>
      <c r="D105" s="35" t="s">
        <v>171</v>
      </c>
      <c r="E105" s="35">
        <v>2011</v>
      </c>
      <c r="F105" s="35" t="s">
        <v>245</v>
      </c>
      <c r="G105" s="34" t="s">
        <v>190</v>
      </c>
      <c r="H105" s="35" t="s">
        <v>64</v>
      </c>
      <c r="I105" s="40">
        <v>1</v>
      </c>
      <c r="J105" s="39">
        <v>12000</v>
      </c>
      <c r="K105" s="39">
        <f t="shared" si="17"/>
        <v>12000</v>
      </c>
      <c r="L105" s="39">
        <f>J105*3.25</f>
        <v>39000</v>
      </c>
      <c r="M105" s="39"/>
      <c r="N105" s="39"/>
      <c r="O105" s="29"/>
      <c r="P105" s="39">
        <f>K105*7000</f>
        <v>84000000</v>
      </c>
      <c r="Q105" s="39"/>
      <c r="R105" s="39">
        <f>K105*3000</f>
        <v>36000000</v>
      </c>
    </row>
    <row r="106" spans="1:29" ht="25.15" customHeight="1" x14ac:dyDescent="0.25">
      <c r="A106" s="3">
        <v>104</v>
      </c>
      <c r="B106" s="9" t="s">
        <v>183</v>
      </c>
      <c r="C106" s="7" t="s">
        <v>185</v>
      </c>
      <c r="D106" s="7" t="s">
        <v>136</v>
      </c>
      <c r="E106" s="7">
        <v>2013</v>
      </c>
      <c r="F106" s="7" t="s">
        <v>245</v>
      </c>
      <c r="G106" s="4" t="s">
        <v>4</v>
      </c>
      <c r="H106" s="7" t="s">
        <v>64</v>
      </c>
      <c r="I106" s="14">
        <v>3</v>
      </c>
      <c r="J106" s="29">
        <f>24*7</f>
        <v>168</v>
      </c>
      <c r="K106" s="29">
        <f t="shared" si="17"/>
        <v>504</v>
      </c>
      <c r="L106" s="29">
        <f t="shared" si="18"/>
        <v>1806</v>
      </c>
      <c r="M106" s="39">
        <v>30</v>
      </c>
      <c r="N106" s="46">
        <v>0.95</v>
      </c>
      <c r="O106" s="29">
        <v>2500</v>
      </c>
      <c r="P106" s="29">
        <f>O106*L106</f>
        <v>4515000</v>
      </c>
      <c r="Q106" s="29"/>
      <c r="R106" s="29">
        <v>3500000</v>
      </c>
    </row>
    <row r="107" spans="1:29" ht="24.75" customHeight="1" x14ac:dyDescent="0.25">
      <c r="A107" s="3">
        <v>105</v>
      </c>
      <c r="B107" s="9" t="s">
        <v>217</v>
      </c>
      <c r="C107" s="7" t="s">
        <v>192</v>
      </c>
      <c r="D107" s="7" t="s">
        <v>218</v>
      </c>
      <c r="E107" s="7">
        <v>2010</v>
      </c>
      <c r="F107" s="7" t="s">
        <v>245</v>
      </c>
      <c r="G107" s="4" t="s">
        <v>4</v>
      </c>
      <c r="H107" s="7" t="s">
        <v>64</v>
      </c>
      <c r="I107" s="14">
        <v>4</v>
      </c>
      <c r="J107" s="29">
        <f>8*10</f>
        <v>80</v>
      </c>
      <c r="K107" s="29">
        <f t="shared" ref="K107:K112" si="26">J107*I107</f>
        <v>320</v>
      </c>
      <c r="L107" s="29">
        <f t="shared" si="18"/>
        <v>860</v>
      </c>
      <c r="M107" s="39">
        <v>30</v>
      </c>
      <c r="N107" s="46">
        <v>0.95</v>
      </c>
      <c r="O107" s="29">
        <v>2500</v>
      </c>
      <c r="P107" s="29">
        <f>O107*L107</f>
        <v>2150000</v>
      </c>
      <c r="Q107" s="29"/>
      <c r="R107" s="29">
        <v>1500000</v>
      </c>
    </row>
    <row r="108" spans="1:29" ht="24.75" customHeight="1" x14ac:dyDescent="0.25">
      <c r="A108" s="3">
        <v>106</v>
      </c>
      <c r="B108" s="9" t="s">
        <v>219</v>
      </c>
      <c r="C108" s="7" t="s">
        <v>192</v>
      </c>
      <c r="D108" s="7" t="s">
        <v>128</v>
      </c>
      <c r="E108" s="7">
        <v>2011</v>
      </c>
      <c r="F108" s="7" t="s">
        <v>245</v>
      </c>
      <c r="G108" s="8" t="s">
        <v>190</v>
      </c>
      <c r="H108" s="7" t="s">
        <v>64</v>
      </c>
      <c r="I108" s="14">
        <v>1</v>
      </c>
      <c r="J108" s="29">
        <f>12*2200</f>
        <v>26400</v>
      </c>
      <c r="K108" s="29">
        <f t="shared" si="26"/>
        <v>26400</v>
      </c>
      <c r="L108" s="29">
        <f t="shared" si="18"/>
        <v>283800</v>
      </c>
      <c r="M108" s="29"/>
      <c r="N108" s="29"/>
      <c r="O108" s="29"/>
      <c r="P108" s="29"/>
      <c r="Q108" s="29"/>
      <c r="R108" s="29"/>
    </row>
    <row r="109" spans="1:29" ht="24.75" customHeight="1" x14ac:dyDescent="0.25">
      <c r="A109" s="3">
        <v>107</v>
      </c>
      <c r="B109" s="9" t="s">
        <v>220</v>
      </c>
      <c r="C109" s="7" t="s">
        <v>192</v>
      </c>
      <c r="D109" s="7" t="s">
        <v>227</v>
      </c>
      <c r="E109" s="7">
        <v>2013</v>
      </c>
      <c r="F109" s="7" t="s">
        <v>245</v>
      </c>
      <c r="G109" s="4" t="s">
        <v>4</v>
      </c>
      <c r="H109" s="7" t="s">
        <v>64</v>
      </c>
      <c r="I109" s="14">
        <v>8</v>
      </c>
      <c r="J109" s="29">
        <f>6*6</f>
        <v>36</v>
      </c>
      <c r="K109" s="29">
        <f t="shared" si="26"/>
        <v>288</v>
      </c>
      <c r="L109" s="29">
        <f t="shared" si="18"/>
        <v>387</v>
      </c>
      <c r="M109" s="29">
        <v>30</v>
      </c>
      <c r="N109" s="43">
        <v>0.95</v>
      </c>
      <c r="O109" s="29"/>
      <c r="P109" s="29"/>
      <c r="Q109" s="29"/>
      <c r="R109" s="29"/>
    </row>
    <row r="110" spans="1:29" ht="24.75" customHeight="1" x14ac:dyDescent="0.25">
      <c r="A110" s="3">
        <v>108</v>
      </c>
      <c r="B110" s="9" t="s">
        <v>226</v>
      </c>
      <c r="C110" s="7" t="s">
        <v>192</v>
      </c>
      <c r="D110" s="7" t="s">
        <v>228</v>
      </c>
      <c r="E110" s="7">
        <v>2015</v>
      </c>
      <c r="F110" s="7" t="s">
        <v>244</v>
      </c>
      <c r="G110" s="4" t="s">
        <v>4</v>
      </c>
      <c r="H110" s="7" t="s">
        <v>64</v>
      </c>
      <c r="I110" s="14">
        <v>1</v>
      </c>
      <c r="J110" s="29">
        <f>8.5*8.5</f>
        <v>72.25</v>
      </c>
      <c r="K110" s="29">
        <f t="shared" si="26"/>
        <v>72.25</v>
      </c>
      <c r="L110" s="29">
        <f t="shared" si="18"/>
        <v>776.6875</v>
      </c>
      <c r="M110" s="29">
        <v>30</v>
      </c>
      <c r="N110" s="43">
        <v>0.95</v>
      </c>
      <c r="O110" s="29">
        <v>1600</v>
      </c>
      <c r="P110" s="29">
        <f>O110*L110</f>
        <v>1242700</v>
      </c>
      <c r="Q110" s="29">
        <f>P110*(N110/M110)*($Q$1-E110)</f>
        <v>314817.33333333331</v>
      </c>
      <c r="R110" s="29">
        <f>P110-Q110</f>
        <v>927882.66666666674</v>
      </c>
    </row>
    <row r="111" spans="1:29" ht="24.75" customHeight="1" x14ac:dyDescent="0.25">
      <c r="A111" s="3">
        <v>109</v>
      </c>
      <c r="B111" s="9" t="s">
        <v>229</v>
      </c>
      <c r="C111" s="7" t="s">
        <v>192</v>
      </c>
      <c r="D111" s="7" t="s">
        <v>233</v>
      </c>
      <c r="E111" s="7">
        <v>2010</v>
      </c>
      <c r="F111" s="27" t="s">
        <v>252</v>
      </c>
      <c r="G111" s="8"/>
      <c r="H111" s="7" t="s">
        <v>64</v>
      </c>
      <c r="I111" s="14">
        <v>1</v>
      </c>
      <c r="J111" s="29">
        <f>11.15*11.15</f>
        <v>124.32250000000001</v>
      </c>
      <c r="K111" s="29">
        <f t="shared" si="26"/>
        <v>124.32250000000001</v>
      </c>
      <c r="L111" s="29">
        <f t="shared" si="18"/>
        <v>1336.4668750000001</v>
      </c>
      <c r="M111" s="29">
        <v>30</v>
      </c>
      <c r="N111" s="43">
        <v>0.95</v>
      </c>
      <c r="O111" s="29">
        <v>1200</v>
      </c>
      <c r="P111" s="29">
        <f t="shared" ref="P111" si="27">O111*L111</f>
        <v>1603760.25</v>
      </c>
      <c r="Q111" s="29">
        <f>P111*(N111/M111)*($Q$1-E111)</f>
        <v>660214.63624999986</v>
      </c>
      <c r="R111" s="29">
        <f t="shared" ref="R111" si="28">P111-Q111</f>
        <v>943545.61375000014</v>
      </c>
    </row>
    <row r="112" spans="1:29" ht="24.75" customHeight="1" x14ac:dyDescent="0.25">
      <c r="A112" s="3">
        <v>110</v>
      </c>
      <c r="B112" s="9" t="s">
        <v>234</v>
      </c>
      <c r="C112" s="7" t="s">
        <v>192</v>
      </c>
      <c r="D112" s="7" t="s">
        <v>235</v>
      </c>
      <c r="E112" s="7">
        <v>2014</v>
      </c>
      <c r="F112" s="7"/>
      <c r="G112" s="8"/>
      <c r="H112" s="7" t="s">
        <v>64</v>
      </c>
      <c r="I112" s="14">
        <v>1</v>
      </c>
      <c r="J112" s="29">
        <f>2.8*5000</f>
        <v>14000</v>
      </c>
      <c r="K112" s="29">
        <f t="shared" si="26"/>
        <v>14000</v>
      </c>
      <c r="L112" s="29">
        <f t="shared" si="18"/>
        <v>150500</v>
      </c>
      <c r="M112" s="29"/>
      <c r="N112" s="29"/>
      <c r="O112" s="29"/>
      <c r="P112" s="29"/>
      <c r="Q112" s="29"/>
      <c r="R112" s="29"/>
    </row>
    <row r="113" spans="1:18" ht="24.75" customHeight="1" x14ac:dyDescent="0.25">
      <c r="A113" s="3">
        <v>111</v>
      </c>
      <c r="B113" s="9" t="s">
        <v>236</v>
      </c>
      <c r="C113" s="7" t="s">
        <v>192</v>
      </c>
      <c r="D113" s="7" t="s">
        <v>235</v>
      </c>
      <c r="E113" s="7">
        <v>2014</v>
      </c>
      <c r="F113" s="7"/>
      <c r="G113" s="8"/>
      <c r="H113" s="7" t="s">
        <v>64</v>
      </c>
      <c r="I113" s="14">
        <v>1</v>
      </c>
      <c r="J113" s="29">
        <f>2.8*6000</f>
        <v>16800</v>
      </c>
      <c r="K113" s="29">
        <f t="shared" ref="K113:K114" si="29">J113*I113</f>
        <v>16800</v>
      </c>
      <c r="L113" s="29">
        <f t="shared" si="18"/>
        <v>180600</v>
      </c>
      <c r="M113" s="29"/>
      <c r="N113" s="29"/>
      <c r="O113" s="29"/>
      <c r="P113" s="29"/>
      <c r="Q113" s="29"/>
      <c r="R113" s="29"/>
    </row>
    <row r="114" spans="1:18" ht="30" x14ac:dyDescent="0.25">
      <c r="A114" s="3">
        <v>112</v>
      </c>
      <c r="B114" s="9" t="s">
        <v>237</v>
      </c>
      <c r="C114" s="7" t="s">
        <v>192</v>
      </c>
      <c r="D114" s="7" t="s">
        <v>218</v>
      </c>
      <c r="E114" s="7">
        <v>2014</v>
      </c>
      <c r="F114" s="7"/>
      <c r="G114" s="8"/>
      <c r="H114" s="7" t="s">
        <v>64</v>
      </c>
      <c r="I114" s="14">
        <v>1</v>
      </c>
      <c r="J114" s="29">
        <f xml:space="preserve"> 1.8*2000</f>
        <v>3600</v>
      </c>
      <c r="K114" s="29">
        <f t="shared" si="29"/>
        <v>3600</v>
      </c>
      <c r="L114" s="29">
        <f t="shared" si="18"/>
        <v>38700</v>
      </c>
      <c r="M114" s="29"/>
      <c r="N114" s="29"/>
      <c r="O114" s="29"/>
      <c r="P114" s="29"/>
      <c r="Q114" s="29"/>
      <c r="R114" s="29"/>
    </row>
    <row r="115" spans="1:18" ht="45" x14ac:dyDescent="0.25">
      <c r="A115" s="3">
        <v>113</v>
      </c>
      <c r="B115" s="24" t="s">
        <v>240</v>
      </c>
      <c r="C115" s="25" t="s">
        <v>192</v>
      </c>
      <c r="D115" s="25" t="s">
        <v>171</v>
      </c>
      <c r="E115" s="25">
        <v>2018</v>
      </c>
      <c r="F115" s="25" t="s">
        <v>244</v>
      </c>
      <c r="G115" s="26" t="s">
        <v>12</v>
      </c>
      <c r="H115" s="25" t="s">
        <v>241</v>
      </c>
      <c r="I115" s="25">
        <v>1</v>
      </c>
      <c r="J115" s="30">
        <v>56</v>
      </c>
      <c r="K115" s="30">
        <v>56</v>
      </c>
      <c r="L115" s="30">
        <v>603</v>
      </c>
      <c r="M115" s="29">
        <v>30</v>
      </c>
      <c r="N115" s="43">
        <v>0.95</v>
      </c>
      <c r="O115" s="29">
        <v>1000</v>
      </c>
      <c r="P115" s="29">
        <f t="shared" ref="P115:P116" si="30">O115*L115</f>
        <v>603000</v>
      </c>
      <c r="Q115" s="29">
        <f>P115*(N115/M115)*($Q$1-E115)</f>
        <v>95474.999999999985</v>
      </c>
      <c r="R115" s="29">
        <f t="shared" ref="R115:R116" si="31">P115-Q115</f>
        <v>507525</v>
      </c>
    </row>
    <row r="116" spans="1:18" ht="60" x14ac:dyDescent="0.25">
      <c r="A116" s="3">
        <v>114</v>
      </c>
      <c r="B116" s="24" t="s">
        <v>242</v>
      </c>
      <c r="C116" s="25" t="s">
        <v>192</v>
      </c>
      <c r="D116" s="25" t="s">
        <v>171</v>
      </c>
      <c r="E116" s="25">
        <v>2018</v>
      </c>
      <c r="F116" s="25" t="s">
        <v>244</v>
      </c>
      <c r="G116" s="26" t="s">
        <v>243</v>
      </c>
      <c r="H116" s="25" t="s">
        <v>241</v>
      </c>
      <c r="I116" s="25">
        <v>1</v>
      </c>
      <c r="J116" s="30">
        <v>85</v>
      </c>
      <c r="K116" s="30">
        <v>85</v>
      </c>
      <c r="L116" s="30">
        <v>915</v>
      </c>
      <c r="M116" s="29">
        <v>30</v>
      </c>
      <c r="N116" s="43">
        <v>0.95</v>
      </c>
      <c r="O116" s="29">
        <v>1000</v>
      </c>
      <c r="P116" s="29">
        <f t="shared" si="30"/>
        <v>915000</v>
      </c>
      <c r="Q116" s="29">
        <f>P116*(N116/M116)*($Q$1-E116)</f>
        <v>144874.99999999997</v>
      </c>
      <c r="R116" s="29">
        <f t="shared" si="31"/>
        <v>770125</v>
      </c>
    </row>
    <row r="119" spans="1:18" x14ac:dyDescent="0.25">
      <c r="G119" s="47">
        <v>1089.04</v>
      </c>
      <c r="H119" s="31">
        <f>G119*4046.84</f>
        <v>4407170.6336000003</v>
      </c>
      <c r="I119" s="31">
        <f>H119/2</f>
        <v>2203585.3168000001</v>
      </c>
      <c r="P119" s="31">
        <f>I119*150</f>
        <v>330537797.52000004</v>
      </c>
      <c r="R119" s="31">
        <f>P119</f>
        <v>330537797.52000004</v>
      </c>
    </row>
    <row r="124" spans="1:18" x14ac:dyDescent="0.25">
      <c r="G124" s="47"/>
    </row>
  </sheetData>
  <autoFilter ref="A2:R116"/>
  <dataValidations disablePrompts="1" count="2">
    <dataValidation type="list" allowBlank="1" showInputMessage="1" showErrorMessage="1" sqref="G106:G107 G26:G86 G21:G24 G14:G19 G8:G12 G4:G6 G91:G96 G88:G89 G109:G110">
      <formula1>$T$2:$T$34</formula1>
    </dataValidation>
    <dataValidation type="list" allowBlank="1" showInputMessage="1" showErrorMessage="1" sqref="H3:H86">
      <formula1>"Very Good, Good, Average, Poor, Ordinary with wreckages in the structure"</formula1>
    </dataValidation>
  </dataValidations>
  <pageMargins left="0.70866141732283472" right="0.70866141732283472" top="0.74803149606299213" bottom="0.74803149606299213" header="0.31496062992125984" footer="0.31496062992125984"/>
  <pageSetup paperSize="8" scale="91" orientation="landscape" r:id="rId1"/>
  <rowBreaks count="1" manualBreakCount="1">
    <brk id="83" max="10" man="1"/>
  </rowBreaks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8"/>
  <sheetViews>
    <sheetView workbookViewId="0">
      <selection activeCell="E7" sqref="E7"/>
    </sheetView>
  </sheetViews>
  <sheetFormatPr defaultRowHeight="15" x14ac:dyDescent="0.25"/>
  <cols>
    <col min="4" max="4" width="18.7109375" bestFit="1" customWidth="1"/>
    <col min="5" max="5" width="16.85546875" style="45" bestFit="1" customWidth="1"/>
    <col min="6" max="6" width="15.28515625" style="45" bestFit="1" customWidth="1"/>
    <col min="7" max="8" width="18" bestFit="1" customWidth="1"/>
    <col min="11" max="11" width="18" style="45" bestFit="1" customWidth="1"/>
    <col min="12" max="12" width="16.85546875" bestFit="1" customWidth="1"/>
    <col min="13" max="13" width="12" bestFit="1" customWidth="1"/>
    <col min="14" max="14" width="15.28515625" bestFit="1" customWidth="1"/>
  </cols>
  <sheetData>
    <row r="1" spans="4:14" x14ac:dyDescent="0.25">
      <c r="K1" s="45">
        <f>E8</f>
        <v>2168891137.7405</v>
      </c>
    </row>
    <row r="2" spans="4:14" x14ac:dyDescent="0.25">
      <c r="D2" s="53" t="s">
        <v>255</v>
      </c>
      <c r="E2" s="54" t="s">
        <v>249</v>
      </c>
      <c r="F2" s="54" t="s">
        <v>254</v>
      </c>
      <c r="K2" s="45">
        <v>96773392665.952652</v>
      </c>
      <c r="L2" s="68">
        <f>K2/10^7</f>
        <v>9677.3392665952651</v>
      </c>
      <c r="M2" s="62">
        <f>L2/1200</f>
        <v>8.064449388829388</v>
      </c>
    </row>
    <row r="3" spans="4:14" x14ac:dyDescent="0.25">
      <c r="D3" t="s">
        <v>244</v>
      </c>
      <c r="E3" s="45">
        <v>1066788810.5829999</v>
      </c>
      <c r="F3" s="45">
        <v>735470463.38816333</v>
      </c>
      <c r="K3" s="45">
        <f>F10</f>
        <v>1851368000</v>
      </c>
      <c r="L3" s="45"/>
      <c r="N3" s="45"/>
    </row>
    <row r="4" spans="4:14" x14ac:dyDescent="0.25">
      <c r="D4" t="s">
        <v>251</v>
      </c>
      <c r="E4" s="45">
        <v>309136650</v>
      </c>
      <c r="F4" s="45">
        <v>81351750</v>
      </c>
      <c r="K4" s="45">
        <f>SUM(K1:K3)</f>
        <v>100793651803.69315</v>
      </c>
      <c r="L4" s="68">
        <f>K4/10^7</f>
        <v>10079.365180369314</v>
      </c>
      <c r="M4" s="62">
        <f>L4/1200</f>
        <v>8.3994709836410948</v>
      </c>
      <c r="N4" s="45"/>
    </row>
    <row r="5" spans="4:14" x14ac:dyDescent="0.25">
      <c r="D5" t="s">
        <v>252</v>
      </c>
      <c r="E5" s="45">
        <v>181762879.63749999</v>
      </c>
      <c r="F5" s="45">
        <v>129762394.22654167</v>
      </c>
      <c r="N5" s="45"/>
    </row>
    <row r="6" spans="4:14" x14ac:dyDescent="0.25">
      <c r="D6" t="s">
        <v>253</v>
      </c>
      <c r="E6" s="45">
        <v>280665000</v>
      </c>
      <c r="F6" s="45">
        <v>136000000</v>
      </c>
      <c r="N6" s="58"/>
    </row>
    <row r="7" spans="4:14" x14ac:dyDescent="0.25">
      <c r="D7" t="s">
        <v>245</v>
      </c>
      <c r="E7" s="45">
        <v>330537797.52000004</v>
      </c>
      <c r="F7" s="45">
        <v>330537797.52000004</v>
      </c>
      <c r="J7" s="69" t="s">
        <v>268</v>
      </c>
      <c r="K7" s="69"/>
      <c r="N7" s="45"/>
    </row>
    <row r="8" spans="4:14" x14ac:dyDescent="0.25">
      <c r="D8" s="55" t="s">
        <v>256</v>
      </c>
      <c r="E8" s="56">
        <f>SUM(E3:E7)</f>
        <v>2168891137.7405</v>
      </c>
      <c r="F8" s="56">
        <f>SUM(F3:F7)</f>
        <v>1413122405.1347051</v>
      </c>
      <c r="G8" s="58"/>
      <c r="J8" t="s">
        <v>244</v>
      </c>
      <c r="K8" s="45">
        <v>1200000000</v>
      </c>
      <c r="L8" s="44"/>
      <c r="N8" s="58"/>
    </row>
    <row r="9" spans="4:14" x14ac:dyDescent="0.25">
      <c r="D9" t="s">
        <v>262</v>
      </c>
      <c r="F9" s="45">
        <f>[1]Working!$AK$3</f>
        <v>0</v>
      </c>
      <c r="G9" s="58"/>
      <c r="J9" t="s">
        <v>262</v>
      </c>
      <c r="K9" s="45">
        <v>69430000000</v>
      </c>
      <c r="L9" s="45"/>
      <c r="M9" s="62"/>
      <c r="N9" s="58"/>
    </row>
    <row r="10" spans="4:14" x14ac:dyDescent="0.25">
      <c r="D10" t="s">
        <v>263</v>
      </c>
      <c r="F10" s="45">
        <f>Sheet1!G16</f>
        <v>1851368000</v>
      </c>
      <c r="J10" t="s">
        <v>263</v>
      </c>
      <c r="K10" s="45">
        <v>1260000000</v>
      </c>
      <c r="L10" s="44"/>
      <c r="N10" s="58"/>
    </row>
    <row r="11" spans="4:14" x14ac:dyDescent="0.25">
      <c r="F11" s="60">
        <f>F10+F9+F8</f>
        <v>3264490405.1347051</v>
      </c>
      <c r="G11" s="45"/>
      <c r="J11" t="s">
        <v>265</v>
      </c>
      <c r="K11" s="45">
        <f>SUM(K8:K10)</f>
        <v>71890000000</v>
      </c>
      <c r="N11" s="58"/>
    </row>
    <row r="12" spans="4:14" x14ac:dyDescent="0.25">
      <c r="E12" s="45" t="s">
        <v>282</v>
      </c>
      <c r="F12" s="45">
        <f>F11*0.7</f>
        <v>2285143283.5942936</v>
      </c>
      <c r="G12" s="45">
        <f>F12/1200</f>
        <v>1904286.0696619113</v>
      </c>
      <c r="H12" t="s">
        <v>264</v>
      </c>
      <c r="J12" t="s">
        <v>266</v>
      </c>
      <c r="K12" s="45">
        <v>6110000000</v>
      </c>
      <c r="N12" s="58"/>
    </row>
    <row r="13" spans="4:14" x14ac:dyDescent="0.25">
      <c r="G13" s="45"/>
      <c r="J13" s="61" t="s">
        <v>267</v>
      </c>
      <c r="K13" s="60">
        <f>K11-K12</f>
        <v>65780000000</v>
      </c>
      <c r="L13" s="60">
        <f>K13/1200</f>
        <v>54816666.666666664</v>
      </c>
      <c r="M13" s="61" t="s">
        <v>264</v>
      </c>
      <c r="N13" s="45"/>
    </row>
    <row r="14" spans="4:14" x14ac:dyDescent="0.25">
      <c r="E14" s="45" t="s">
        <v>269</v>
      </c>
      <c r="F14" s="45">
        <f>4730*10^7</f>
        <v>47300000000</v>
      </c>
      <c r="G14" s="45">
        <f>F14/1200</f>
        <v>39416666.666666664</v>
      </c>
    </row>
    <row r="15" spans="4:14" x14ac:dyDescent="0.25">
      <c r="E15" s="45" t="s">
        <v>270</v>
      </c>
      <c r="F15" s="45">
        <f>F14*0.8</f>
        <v>37840000000</v>
      </c>
      <c r="G15" s="45">
        <f t="shared" ref="G15:G17" si="0">F15/1200</f>
        <v>31533333.333333332</v>
      </c>
    </row>
    <row r="16" spans="4:14" x14ac:dyDescent="0.25">
      <c r="E16" s="45" t="s">
        <v>271</v>
      </c>
      <c r="F16" s="45">
        <f>F14*0.65</f>
        <v>30745000000</v>
      </c>
      <c r="G16" s="45">
        <f t="shared" si="0"/>
        <v>25620833.333333332</v>
      </c>
    </row>
    <row r="17" spans="4:14" x14ac:dyDescent="0.25">
      <c r="E17" s="45" t="s">
        <v>272</v>
      </c>
      <c r="F17" s="45">
        <f>2.29*1200*10^7</f>
        <v>27480000000</v>
      </c>
      <c r="G17" s="45">
        <f t="shared" si="0"/>
        <v>22900000</v>
      </c>
      <c r="N17" s="45"/>
    </row>
    <row r="18" spans="4:14" x14ac:dyDescent="0.25">
      <c r="E18" s="59"/>
      <c r="F18" s="44">
        <f>F17/F14</f>
        <v>0.58097251585623677</v>
      </c>
      <c r="K18" s="64"/>
      <c r="N18" s="44"/>
    </row>
    <row r="19" spans="4:14" x14ac:dyDescent="0.25">
      <c r="E19" s="66" t="s">
        <v>274</v>
      </c>
      <c r="F19" s="66" t="s">
        <v>273</v>
      </c>
      <c r="K19" s="65"/>
    </row>
    <row r="20" spans="4:14" x14ac:dyDescent="0.25">
      <c r="E20" s="45" t="s">
        <v>275</v>
      </c>
      <c r="F20" s="68">
        <f>F14/10^7</f>
        <v>4730</v>
      </c>
      <c r="G20" s="62">
        <f>F20/1200</f>
        <v>3.9416666666666669</v>
      </c>
    </row>
    <row r="21" spans="4:14" x14ac:dyDescent="0.25">
      <c r="E21" s="45" t="s">
        <v>276</v>
      </c>
      <c r="F21" s="68">
        <f t="shared" ref="F21:F23" si="1">F15/10^7</f>
        <v>3784</v>
      </c>
      <c r="G21" s="62">
        <f t="shared" ref="G21:G23" si="2">F21/1200</f>
        <v>3.1533333333333333</v>
      </c>
      <c r="H21" s="44"/>
      <c r="I21" s="44"/>
    </row>
    <row r="22" spans="4:14" x14ac:dyDescent="0.25">
      <c r="E22" s="45" t="s">
        <v>277</v>
      </c>
      <c r="F22" s="68">
        <f t="shared" si="1"/>
        <v>3074.5</v>
      </c>
      <c r="G22" s="62">
        <f t="shared" si="2"/>
        <v>2.5620833333333333</v>
      </c>
    </row>
    <row r="23" spans="4:14" x14ac:dyDescent="0.25">
      <c r="E23" s="45" t="s">
        <v>278</v>
      </c>
      <c r="F23" s="68">
        <f t="shared" si="1"/>
        <v>2748</v>
      </c>
      <c r="G23" s="62">
        <f t="shared" si="2"/>
        <v>2.29</v>
      </c>
      <c r="L23" s="58"/>
    </row>
    <row r="24" spans="4:14" x14ac:dyDescent="0.25">
      <c r="M24" s="45"/>
    </row>
    <row r="25" spans="4:14" x14ac:dyDescent="0.25">
      <c r="F25" s="45" t="s">
        <v>281</v>
      </c>
      <c r="G25" s="63">
        <v>0.44</v>
      </c>
      <c r="K25" s="64"/>
      <c r="L25" s="64"/>
      <c r="M25" s="64"/>
      <c r="N25" s="64"/>
    </row>
    <row r="26" spans="4:14" x14ac:dyDescent="0.25">
      <c r="F26" s="45" t="s">
        <v>280</v>
      </c>
      <c r="G26" s="64">
        <v>0.38</v>
      </c>
    </row>
    <row r="27" spans="4:14" x14ac:dyDescent="0.25">
      <c r="F27" s="67" t="s">
        <v>279</v>
      </c>
      <c r="G27" s="64">
        <f>G25-G26</f>
        <v>0.06</v>
      </c>
    </row>
    <row r="28" spans="4:14" x14ac:dyDescent="0.25">
      <c r="G28" s="45"/>
    </row>
    <row r="30" spans="4:14" x14ac:dyDescent="0.25">
      <c r="D30" s="45"/>
    </row>
    <row r="31" spans="4:14" x14ac:dyDescent="0.25">
      <c r="D31" s="58"/>
      <c r="M31" s="44"/>
    </row>
    <row r="33" spans="6:8" x14ac:dyDescent="0.25">
      <c r="G33" s="45"/>
      <c r="H33" s="45"/>
    </row>
    <row r="34" spans="6:8" x14ac:dyDescent="0.25">
      <c r="G34" s="45"/>
      <c r="H34" s="45"/>
    </row>
    <row r="35" spans="6:8" x14ac:dyDescent="0.25">
      <c r="G35" s="45"/>
      <c r="H35" s="45"/>
    </row>
    <row r="36" spans="6:8" x14ac:dyDescent="0.25">
      <c r="F36" s="60"/>
      <c r="G36" s="60"/>
      <c r="H36" s="60"/>
    </row>
    <row r="37" spans="6:8" x14ac:dyDescent="0.25">
      <c r="G37" s="64"/>
      <c r="H37" s="45"/>
    </row>
    <row r="38" spans="6:8" x14ac:dyDescent="0.25">
      <c r="H38" s="58"/>
    </row>
  </sheetData>
  <mergeCells count="1">
    <mergeCell ref="J7:K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7:F29"/>
  <sheetViews>
    <sheetView topLeftCell="A11" workbookViewId="0">
      <selection activeCell="F29" sqref="F29"/>
    </sheetView>
  </sheetViews>
  <sheetFormatPr defaultRowHeight="15" x14ac:dyDescent="0.25"/>
  <cols>
    <col min="6" max="6" width="12.5703125" bestFit="1" customWidth="1"/>
  </cols>
  <sheetData>
    <row r="27" spans="6:6" x14ac:dyDescent="0.25">
      <c r="F27" s="44">
        <v>4.3099999999999996</v>
      </c>
    </row>
    <row r="28" spans="6:6" x14ac:dyDescent="0.25">
      <c r="F28" s="45">
        <f>F27*10^6</f>
        <v>4310000</v>
      </c>
    </row>
    <row r="29" spans="6:6" x14ac:dyDescent="0.25">
      <c r="F29" s="45">
        <f>F28/4046.84</f>
        <v>1065.0285160767414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G22"/>
  <sheetViews>
    <sheetView workbookViewId="0">
      <selection activeCell="H18" sqref="H18"/>
    </sheetView>
  </sheetViews>
  <sheetFormatPr defaultRowHeight="15" x14ac:dyDescent="0.25"/>
  <cols>
    <col min="5" max="5" width="16.85546875" style="45" bestFit="1" customWidth="1"/>
    <col min="7" max="7" width="16.85546875" bestFit="1" customWidth="1"/>
  </cols>
  <sheetData>
    <row r="5" spans="5:7" x14ac:dyDescent="0.25">
      <c r="E5" s="45">
        <v>1064536600</v>
      </c>
      <c r="G5" s="45">
        <v>1255118600</v>
      </c>
    </row>
    <row r="6" spans="5:7" x14ac:dyDescent="0.25">
      <c r="E6" s="45">
        <v>1089.04</v>
      </c>
      <c r="G6" s="45">
        <v>1089.04</v>
      </c>
    </row>
    <row r="7" spans="5:7" x14ac:dyDescent="0.25">
      <c r="E7" s="45">
        <f>E5/E6</f>
        <v>977500</v>
      </c>
      <c r="G7" s="45">
        <f>G5/G6</f>
        <v>1152500</v>
      </c>
    </row>
    <row r="12" spans="5:7" x14ac:dyDescent="0.25">
      <c r="E12" s="45">
        <v>14</v>
      </c>
    </row>
    <row r="13" spans="5:7" x14ac:dyDescent="0.25">
      <c r="E13" s="45">
        <f>E12*1.2</f>
        <v>16.8</v>
      </c>
    </row>
    <row r="16" spans="5:7" x14ac:dyDescent="0.25">
      <c r="E16" s="45">
        <f>17*10^5</f>
        <v>1700000</v>
      </c>
      <c r="F16">
        <v>1089.04</v>
      </c>
      <c r="G16" s="58">
        <f>F16*E16</f>
        <v>1851368000</v>
      </c>
    </row>
    <row r="22" spans="7:7" x14ac:dyDescent="0.25">
      <c r="G22" t="s">
        <v>283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Sheet2</vt:lpstr>
      <vt:lpstr>Building Sheet</vt:lpstr>
      <vt:lpstr>Summary</vt:lpstr>
      <vt:lpstr>Sheet3</vt:lpstr>
      <vt:lpstr>Sheet1</vt:lpstr>
      <vt:lpstr>'Building Sheet'!Print_Area</vt:lpstr>
      <vt:lpstr>'Building Sheet'!Print_Titles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Mohit Agarwal</dc:creator>
  <cp:lastModifiedBy>Abhinav Chaturvedi</cp:lastModifiedBy>
  <cp:lastPrinted>2023-10-25T11:33:09Z</cp:lastPrinted>
  <dcterms:created xsi:type="dcterms:W3CDTF">2016-02-17T05:50:56Z</dcterms:created>
  <dcterms:modified xsi:type="dcterms:W3CDTF">2023-11-30T13:07:14Z</dcterms:modified>
</cp:coreProperties>
</file>