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alanalyst3\Desktop\MANCARE LABORATORIES PRIVATE LTD\R K WORKING OCT 2023\FIN MODEL\"/>
    </mc:Choice>
  </mc:AlternateContent>
  <bookViews>
    <workbookView xWindow="0" yWindow="0" windowWidth="14670" windowHeight="7680" tabRatio="928" firstSheet="2" activeTab="5"/>
  </bookViews>
  <sheets>
    <sheet name="BEP(Proposed)" sheetId="39" r:id="rId1"/>
    <sheet name="BS Existing" sheetId="29" r:id="rId2"/>
    <sheet name="P&amp;L Existing" sheetId="24" r:id="rId3"/>
    <sheet name="CONPL" sheetId="30" r:id="rId4"/>
    <sheet name="CONBS" sheetId="31" r:id="rId5"/>
    <sheet name="NPV AND IRR (COMB)" sheetId="49" r:id="rId6"/>
    <sheet name="NPV AND IRR" sheetId="47" r:id="rId7"/>
    <sheet name="P&amp;L(Proposed)" sheetId="19" r:id="rId8"/>
    <sheet name="BS(Proposed)" sheetId="21" r:id="rId9"/>
    <sheet name="Capacity" sheetId="36" r:id="rId10"/>
    <sheet name="Dep(Existing)" sheetId="28" r:id="rId11"/>
    <sheet name="Dep(Proposed)" sheetId="20" r:id="rId12"/>
    <sheet name="DSCR &amp; Ratios-Combined" sheetId="48" r:id="rId13"/>
    <sheet name="DSCR &amp; Ratios" sheetId="41" r:id="rId14"/>
    <sheet name="Ratios proposed" sheetId="45" r:id="rId15"/>
    <sheet name="COP" sheetId="16" r:id="rId16"/>
    <sheet name="Raw Material" sheetId="42" r:id="rId17"/>
    <sheet name="Quotation P&amp;M" sheetId="38" r:id="rId18"/>
    <sheet name="Manpower" sheetId="37" r:id="rId19"/>
    <sheet name="Cost Sheet P&amp;M" sheetId="34" state="hidden" r:id="rId20"/>
    <sheet name="Cost Sheet Bldg &amp; Equipment" sheetId="35" state="hidden" r:id="rId21"/>
    <sheet name="Rep(Building)" sheetId="17" r:id="rId22"/>
    <sheet name="Rep(P&amp;M)" sheetId="18" r:id="rId23"/>
    <sheet name="ROUGH SHEET" sheetId="46" r:id="rId24"/>
    <sheet name="Ratios" sheetId="32" r:id="rId25"/>
    <sheet name="Existing TL Buldg" sheetId="25" r:id="rId26"/>
    <sheet name="Existing TL P&amp;M" sheetId="26" r:id="rId27"/>
    <sheet name="GECL" sheetId="27" r:id="rId28"/>
    <sheet name="BEP (Combined)" sheetId="43" r:id="rId29"/>
    <sheet name="IRR (Proposed)" sheetId="40" r:id="rId30"/>
    <sheet name="IRR (Combined)" sheetId="44" r:id="rId31"/>
  </sheets>
  <externalReferences>
    <externalReference r:id="rId32"/>
  </externalReferences>
  <definedNames>
    <definedName name="_xlnm.Print_Area" localSheetId="8">'BS(Proposed)'!$B$1:$O$45</definedName>
    <definedName name="_xlnm.Print_Area" localSheetId="4">CONBS!$A$1:$O$55</definedName>
    <definedName name="_xlnm.Print_Area" localSheetId="7">'P&amp;L(Proposed)'!$A$1:$Q$137</definedName>
    <definedName name="_xlnm.Print_Area" localSheetId="17">'Quotation P&amp;M'!$A$1:$H$405</definedName>
    <definedName name="_xlnm.Print_Area" localSheetId="21">'Rep(Building)'!$A$2:$I$184</definedName>
    <definedName name="_xlnm.Print_Area" localSheetId="22">'Rep(P&amp;M)'!$A$1:$I$184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9" l="1"/>
  <c r="D21" i="49"/>
  <c r="C24" i="49"/>
  <c r="E21" i="49"/>
  <c r="F21" i="49" s="1"/>
  <c r="G21" i="49" s="1"/>
  <c r="H21" i="49" s="1"/>
  <c r="I21" i="49" s="1"/>
  <c r="J21" i="49" s="1"/>
  <c r="K21" i="49" s="1"/>
  <c r="L21" i="49" s="1"/>
  <c r="M21" i="49" s="1"/>
  <c r="N21" i="49" s="1"/>
  <c r="O21" i="49" s="1"/>
  <c r="P21" i="49" s="1"/>
  <c r="C14" i="49"/>
  <c r="E12" i="49"/>
  <c r="F12" i="49"/>
  <c r="G12" i="49"/>
  <c r="H12" i="49"/>
  <c r="I12" i="49"/>
  <c r="J12" i="49"/>
  <c r="K12" i="49"/>
  <c r="L12" i="49"/>
  <c r="M12" i="49"/>
  <c r="N12" i="49"/>
  <c r="O12" i="49"/>
  <c r="P12" i="49"/>
  <c r="D12" i="49"/>
  <c r="C12" i="49"/>
  <c r="C11" i="49"/>
  <c r="D11" i="49"/>
  <c r="E11" i="49"/>
  <c r="F11" i="49"/>
  <c r="G11" i="49"/>
  <c r="H11" i="49"/>
  <c r="I11" i="49"/>
  <c r="J11" i="49"/>
  <c r="K11" i="49"/>
  <c r="L11" i="49"/>
  <c r="M11" i="49"/>
  <c r="N11" i="49"/>
  <c r="O11" i="49"/>
  <c r="P11" i="49"/>
  <c r="C82" i="31"/>
  <c r="D82" i="31"/>
  <c r="E82" i="31"/>
  <c r="F82" i="31"/>
  <c r="G82" i="31"/>
  <c r="H82" i="31"/>
  <c r="I82" i="31"/>
  <c r="J82" i="31"/>
  <c r="K82" i="31"/>
  <c r="L82" i="31"/>
  <c r="M82" i="31"/>
  <c r="N82" i="31"/>
  <c r="O82" i="31"/>
  <c r="C83" i="31"/>
  <c r="D83" i="31"/>
  <c r="E83" i="31"/>
  <c r="F83" i="31"/>
  <c r="G83" i="31"/>
  <c r="H83" i="31"/>
  <c r="I83" i="31"/>
  <c r="J83" i="31"/>
  <c r="K83" i="31"/>
  <c r="L83" i="31"/>
  <c r="M83" i="31"/>
  <c r="N83" i="31"/>
  <c r="O83" i="31"/>
  <c r="B83" i="31"/>
  <c r="B82" i="31"/>
  <c r="C75" i="31"/>
  <c r="D75" i="31"/>
  <c r="E75" i="31"/>
  <c r="F75" i="31"/>
  <c r="G75" i="31"/>
  <c r="H75" i="31"/>
  <c r="I75" i="31"/>
  <c r="J75" i="31"/>
  <c r="K75" i="31"/>
  <c r="L75" i="31"/>
  <c r="M75" i="31"/>
  <c r="N75" i="31"/>
  <c r="O75" i="31"/>
  <c r="C76" i="31"/>
  <c r="D76" i="31"/>
  <c r="E76" i="31"/>
  <c r="F76" i="31"/>
  <c r="G76" i="31"/>
  <c r="H76" i="31"/>
  <c r="I76" i="31"/>
  <c r="J76" i="31"/>
  <c r="K76" i="31"/>
  <c r="L76" i="31"/>
  <c r="M76" i="31"/>
  <c r="N76" i="31"/>
  <c r="O76" i="31"/>
  <c r="C77" i="31"/>
  <c r="D77" i="31"/>
  <c r="E77" i="31"/>
  <c r="F77" i="31"/>
  <c r="G77" i="31"/>
  <c r="H77" i="31"/>
  <c r="I77" i="31"/>
  <c r="J77" i="31"/>
  <c r="K77" i="31"/>
  <c r="L77" i="31"/>
  <c r="M77" i="31"/>
  <c r="N77" i="31"/>
  <c r="O77" i="31"/>
  <c r="C78" i="31"/>
  <c r="D78" i="31"/>
  <c r="E78" i="31"/>
  <c r="F78" i="31"/>
  <c r="G78" i="31"/>
  <c r="H78" i="31"/>
  <c r="I78" i="31"/>
  <c r="J78" i="31"/>
  <c r="K78" i="31"/>
  <c r="L78" i="31"/>
  <c r="M78" i="31"/>
  <c r="N78" i="31"/>
  <c r="O78" i="31"/>
  <c r="B78" i="31"/>
  <c r="B77" i="31"/>
  <c r="B76" i="31"/>
  <c r="B75" i="31"/>
  <c r="A83" i="31"/>
  <c r="A82" i="31"/>
  <c r="A78" i="31"/>
  <c r="A77" i="31"/>
  <c r="A76" i="31"/>
  <c r="A75" i="31"/>
  <c r="C9" i="49"/>
  <c r="C7" i="49"/>
  <c r="C6" i="49"/>
  <c r="C2" i="49"/>
  <c r="E1" i="49"/>
  <c r="F1" i="49"/>
  <c r="G1" i="49"/>
  <c r="H1" i="49"/>
  <c r="I1" i="49" s="1"/>
  <c r="J1" i="49" s="1"/>
  <c r="K1" i="49" s="1"/>
  <c r="L1" i="49" s="1"/>
  <c r="M1" i="49" s="1"/>
  <c r="N1" i="49" s="1"/>
  <c r="O1" i="49" s="1"/>
  <c r="P1" i="49" s="1"/>
  <c r="D1" i="49"/>
  <c r="D22" i="49"/>
  <c r="E22" i="49"/>
  <c r="D19" i="49"/>
  <c r="P6" i="49"/>
  <c r="O6" i="49"/>
  <c r="N6" i="49"/>
  <c r="M6" i="49"/>
  <c r="L6" i="49"/>
  <c r="K6" i="49"/>
  <c r="J6" i="49"/>
  <c r="I6" i="49"/>
  <c r="H6" i="49"/>
  <c r="G6" i="49"/>
  <c r="F6" i="49"/>
  <c r="E6" i="49"/>
  <c r="D6" i="49"/>
  <c r="P2" i="49"/>
  <c r="O2" i="49"/>
  <c r="N2" i="49"/>
  <c r="M2" i="49"/>
  <c r="L2" i="49"/>
  <c r="K2" i="49"/>
  <c r="J2" i="49"/>
  <c r="I2" i="49"/>
  <c r="H2" i="49"/>
  <c r="G2" i="49"/>
  <c r="F2" i="49"/>
  <c r="E2" i="49"/>
  <c r="D2" i="49"/>
  <c r="C40" i="29" l="1"/>
  <c r="F22" i="49" l="1"/>
  <c r="C67" i="29"/>
  <c r="D67" i="29"/>
  <c r="E67" i="29"/>
  <c r="F67" i="29"/>
  <c r="G67" i="29"/>
  <c r="H67" i="29"/>
  <c r="I67" i="29"/>
  <c r="J67" i="29"/>
  <c r="K67" i="29"/>
  <c r="L67" i="29"/>
  <c r="M67" i="29"/>
  <c r="N67" i="29"/>
  <c r="O67" i="29"/>
  <c r="B67" i="29"/>
  <c r="F43" i="30"/>
  <c r="G22" i="49" l="1"/>
  <c r="C46" i="48"/>
  <c r="C6" i="48"/>
  <c r="C25" i="48" s="1"/>
  <c r="D44" i="48"/>
  <c r="E44" i="48"/>
  <c r="C44" i="48"/>
  <c r="E108" i="48"/>
  <c r="E82" i="48"/>
  <c r="D82" i="48"/>
  <c r="B68" i="48"/>
  <c r="B67" i="48"/>
  <c r="B66" i="48"/>
  <c r="E64" i="48"/>
  <c r="D64" i="48"/>
  <c r="P6" i="48"/>
  <c r="O6" i="48"/>
  <c r="O44" i="48" s="1"/>
  <c r="N6" i="48"/>
  <c r="M6" i="48"/>
  <c r="M64" i="48" s="1"/>
  <c r="M82" i="48" s="1"/>
  <c r="M95" i="48" s="1"/>
  <c r="M108" i="48" s="1"/>
  <c r="L6" i="48"/>
  <c r="K6" i="48"/>
  <c r="K64" i="48" s="1"/>
  <c r="K82" i="48" s="1"/>
  <c r="K95" i="48" s="1"/>
  <c r="K108" i="48" s="1"/>
  <c r="J6" i="48"/>
  <c r="I6" i="48"/>
  <c r="I44" i="48" s="1"/>
  <c r="H6" i="48"/>
  <c r="G6" i="48"/>
  <c r="G44" i="48" s="1"/>
  <c r="F6" i="48"/>
  <c r="E6" i="48"/>
  <c r="E25" i="48" s="1"/>
  <c r="D6" i="48"/>
  <c r="D25" i="48" s="1"/>
  <c r="O31" i="41"/>
  <c r="O50" i="41" s="1"/>
  <c r="D44" i="41"/>
  <c r="C44" i="41"/>
  <c r="D25" i="41"/>
  <c r="C25" i="41"/>
  <c r="H56" i="19"/>
  <c r="I56" i="19"/>
  <c r="J56" i="19"/>
  <c r="K56" i="19"/>
  <c r="L56" i="19"/>
  <c r="M56" i="19"/>
  <c r="N56" i="19"/>
  <c r="O56" i="19"/>
  <c r="P56" i="19"/>
  <c r="Q56" i="19"/>
  <c r="G56" i="19"/>
  <c r="N11" i="43"/>
  <c r="H22" i="49" l="1"/>
  <c r="K25" i="48"/>
  <c r="O64" i="48"/>
  <c r="O82" i="48" s="1"/>
  <c r="O95" i="48" s="1"/>
  <c r="O108" i="48" s="1"/>
  <c r="O25" i="48"/>
  <c r="K44" i="48"/>
  <c r="G64" i="48"/>
  <c r="G82" i="48" s="1"/>
  <c r="G95" i="48" s="1"/>
  <c r="G108" i="48" s="1"/>
  <c r="G25" i="48"/>
  <c r="L64" i="48"/>
  <c r="L82" i="48" s="1"/>
  <c r="L95" i="48" s="1"/>
  <c r="L108" i="48" s="1"/>
  <c r="L25" i="48"/>
  <c r="L44" i="48"/>
  <c r="P64" i="48"/>
  <c r="P82" i="48" s="1"/>
  <c r="P95" i="48" s="1"/>
  <c r="P108" i="48" s="1"/>
  <c r="P25" i="48"/>
  <c r="P44" i="48"/>
  <c r="M25" i="48"/>
  <c r="M44" i="48"/>
  <c r="I64" i="48"/>
  <c r="I82" i="48" s="1"/>
  <c r="I95" i="48" s="1"/>
  <c r="I108" i="48" s="1"/>
  <c r="N44" i="48"/>
  <c r="N64" i="48"/>
  <c r="N82" i="48" s="1"/>
  <c r="N95" i="48" s="1"/>
  <c r="N108" i="48" s="1"/>
  <c r="N25" i="48"/>
  <c r="F44" i="48"/>
  <c r="F64" i="48"/>
  <c r="F82" i="48" s="1"/>
  <c r="F95" i="48" s="1"/>
  <c r="F108" i="48" s="1"/>
  <c r="F25" i="48"/>
  <c r="J44" i="48"/>
  <c r="J64" i="48"/>
  <c r="J82" i="48" s="1"/>
  <c r="J95" i="48" s="1"/>
  <c r="J108" i="48" s="1"/>
  <c r="J25" i="48"/>
  <c r="I25" i="48"/>
  <c r="H64" i="48"/>
  <c r="H82" i="48" s="1"/>
  <c r="H95" i="48" s="1"/>
  <c r="H108" i="48" s="1"/>
  <c r="H25" i="48"/>
  <c r="H44" i="48"/>
  <c r="M16" i="39"/>
  <c r="N16" i="39" s="1"/>
  <c r="I22" i="49" l="1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C38" i="30"/>
  <c r="C37" i="30"/>
  <c r="C36" i="30"/>
  <c r="C9" i="48" s="1"/>
  <c r="C32" i="30"/>
  <c r="D24" i="30"/>
  <c r="D25" i="30"/>
  <c r="E25" i="30"/>
  <c r="F25" i="30"/>
  <c r="D26" i="30"/>
  <c r="D27" i="30"/>
  <c r="C27" i="30"/>
  <c r="C26" i="30"/>
  <c r="C25" i="30"/>
  <c r="C24" i="30"/>
  <c r="D20" i="30"/>
  <c r="C22" i="30"/>
  <c r="C21" i="30"/>
  <c r="C20" i="30"/>
  <c r="C19" i="30"/>
  <c r="C15" i="30"/>
  <c r="C14" i="30"/>
  <c r="D8" i="30"/>
  <c r="C8" i="30"/>
  <c r="D7" i="30"/>
  <c r="C7" i="30"/>
  <c r="D39" i="19"/>
  <c r="D18" i="19"/>
  <c r="D19" i="19" s="1"/>
  <c r="D24" i="19" s="1"/>
  <c r="D29" i="19" s="1"/>
  <c r="D11" i="19"/>
  <c r="O40" i="21"/>
  <c r="N40" i="21"/>
  <c r="M40" i="21"/>
  <c r="L40" i="21"/>
  <c r="K40" i="21"/>
  <c r="J40" i="21"/>
  <c r="I40" i="21"/>
  <c r="H40" i="21"/>
  <c r="G40" i="21"/>
  <c r="F40" i="21"/>
  <c r="E40" i="21"/>
  <c r="P44" i="21"/>
  <c r="P41" i="21" s="1"/>
  <c r="Q44" i="21"/>
  <c r="Q41" i="21" s="1"/>
  <c r="R44" i="21"/>
  <c r="R41" i="21" s="1"/>
  <c r="S44" i="21"/>
  <c r="S41" i="21" s="1"/>
  <c r="T44" i="21"/>
  <c r="T41" i="21" s="1"/>
  <c r="U44" i="21"/>
  <c r="U41" i="21" s="1"/>
  <c r="V44" i="21"/>
  <c r="V41" i="21" s="1"/>
  <c r="W44" i="21"/>
  <c r="W41" i="21" s="1"/>
  <c r="X44" i="21"/>
  <c r="X41" i="21" s="1"/>
  <c r="Y44" i="21"/>
  <c r="Y41" i="21" s="1"/>
  <c r="Z44" i="21"/>
  <c r="Z41" i="21" s="1"/>
  <c r="O12" i="41"/>
  <c r="I89" i="37"/>
  <c r="H89" i="37"/>
  <c r="F33" i="36"/>
  <c r="J89" i="37" s="1"/>
  <c r="J22" i="49" l="1"/>
  <c r="C13" i="48"/>
  <c r="C28" i="48"/>
  <c r="C17" i="30"/>
  <c r="D47" i="19"/>
  <c r="D51" i="19" s="1"/>
  <c r="C39" i="30"/>
  <c r="D31" i="19"/>
  <c r="D34" i="19" s="1"/>
  <c r="D41" i="19" s="1"/>
  <c r="D22" i="16"/>
  <c r="E22" i="40"/>
  <c r="D22" i="40"/>
  <c r="D1" i="47"/>
  <c r="E1" i="47" s="1"/>
  <c r="F1" i="47" s="1"/>
  <c r="G1" i="47" s="1"/>
  <c r="H1" i="47" s="1"/>
  <c r="I1" i="47" s="1"/>
  <c r="J1" i="47" s="1"/>
  <c r="K1" i="47" s="1"/>
  <c r="L1" i="47" s="1"/>
  <c r="M1" i="47" s="1"/>
  <c r="N1" i="47" s="1"/>
  <c r="O1" i="47" s="1"/>
  <c r="K22" i="49" l="1"/>
  <c r="C32" i="48"/>
  <c r="C47" i="48" s="1"/>
  <c r="C29" i="48"/>
  <c r="D43" i="19"/>
  <c r="C19" i="47"/>
  <c r="C22" i="47" s="1"/>
  <c r="D21" i="47"/>
  <c r="E21" i="47" s="1"/>
  <c r="F21" i="47" s="1"/>
  <c r="G21" i="47" s="1"/>
  <c r="H21" i="47" s="1"/>
  <c r="I21" i="47" s="1"/>
  <c r="J21" i="47" s="1"/>
  <c r="K21" i="47" s="1"/>
  <c r="L21" i="47" s="1"/>
  <c r="M21" i="47" s="1"/>
  <c r="N21" i="47" s="1"/>
  <c r="O21" i="47" s="1"/>
  <c r="C11" i="47"/>
  <c r="D65" i="21"/>
  <c r="P65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C66" i="21"/>
  <c r="C65" i="21"/>
  <c r="P67" i="21"/>
  <c r="B66" i="21"/>
  <c r="B65" i="21"/>
  <c r="D58" i="21"/>
  <c r="P58" i="21"/>
  <c r="P59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C61" i="21"/>
  <c r="C60" i="21"/>
  <c r="C58" i="21"/>
  <c r="B61" i="21"/>
  <c r="B60" i="21"/>
  <c r="B59" i="21"/>
  <c r="B58" i="21"/>
  <c r="D5" i="47"/>
  <c r="D6" i="47" s="1"/>
  <c r="E5" i="47"/>
  <c r="E6" i="47" s="1"/>
  <c r="F5" i="47"/>
  <c r="F6" i="47" s="1"/>
  <c r="G5" i="47"/>
  <c r="G6" i="47" s="1"/>
  <c r="H5" i="47"/>
  <c r="H6" i="47" s="1"/>
  <c r="I5" i="47"/>
  <c r="I6" i="47" s="1"/>
  <c r="J5" i="47"/>
  <c r="J6" i="47" s="1"/>
  <c r="K5" i="47"/>
  <c r="K6" i="47" s="1"/>
  <c r="L5" i="47"/>
  <c r="L6" i="47" s="1"/>
  <c r="M5" i="47"/>
  <c r="M6" i="47" s="1"/>
  <c r="N5" i="47"/>
  <c r="N6" i="47" s="1"/>
  <c r="O5" i="47"/>
  <c r="O6" i="47" s="1"/>
  <c r="C5" i="47"/>
  <c r="C6" i="47" s="1"/>
  <c r="D2" i="47"/>
  <c r="E2" i="47"/>
  <c r="F2" i="47"/>
  <c r="G2" i="47"/>
  <c r="H2" i="47"/>
  <c r="I2" i="47"/>
  <c r="J2" i="47"/>
  <c r="K2" i="47"/>
  <c r="L2" i="47"/>
  <c r="M2" i="47"/>
  <c r="N2" i="47"/>
  <c r="O2" i="47"/>
  <c r="C2" i="47"/>
  <c r="L22" i="49" l="1"/>
  <c r="C67" i="21"/>
  <c r="D67" i="21"/>
  <c r="C51" i="48"/>
  <c r="C48" i="48"/>
  <c r="D45" i="19"/>
  <c r="D49" i="19" s="1"/>
  <c r="D22" i="47"/>
  <c r="P62" i="21"/>
  <c r="P69" i="21" s="1"/>
  <c r="P7" i="20"/>
  <c r="E4" i="39"/>
  <c r="O4" i="39"/>
  <c r="D4" i="39"/>
  <c r="O5" i="39"/>
  <c r="M22" i="49" l="1"/>
  <c r="E22" i="47"/>
  <c r="K12" i="36"/>
  <c r="N22" i="49" l="1"/>
  <c r="F22" i="47"/>
  <c r="I15" i="36"/>
  <c r="J15" i="36"/>
  <c r="E11" i="36"/>
  <c r="E10" i="36"/>
  <c r="E9" i="36"/>
  <c r="E8" i="36"/>
  <c r="P22" i="49" l="1"/>
  <c r="O22" i="49"/>
  <c r="G22" i="47"/>
  <c r="N13" i="45"/>
  <c r="C14" i="45"/>
  <c r="C11" i="45"/>
  <c r="C27" i="45" s="1"/>
  <c r="B14" i="45"/>
  <c r="B11" i="45"/>
  <c r="B27" i="45" s="1"/>
  <c r="N7" i="45"/>
  <c r="N23" i="45" s="1"/>
  <c r="N40" i="45" s="1"/>
  <c r="N55" i="45" s="1"/>
  <c r="N68" i="45" s="1"/>
  <c r="N81" i="45" s="1"/>
  <c r="N96" i="45" s="1"/>
  <c r="M7" i="45"/>
  <c r="M23" i="45" s="1"/>
  <c r="M40" i="45" s="1"/>
  <c r="M55" i="45" s="1"/>
  <c r="M68" i="45" s="1"/>
  <c r="M81" i="45" s="1"/>
  <c r="M96" i="45" s="1"/>
  <c r="L7" i="45"/>
  <c r="L23" i="45" s="1"/>
  <c r="L40" i="45" s="1"/>
  <c r="L55" i="45" s="1"/>
  <c r="L68" i="45" s="1"/>
  <c r="L81" i="45" s="1"/>
  <c r="L96" i="45" s="1"/>
  <c r="K7" i="45"/>
  <c r="K23" i="45" s="1"/>
  <c r="K40" i="45" s="1"/>
  <c r="K55" i="45" s="1"/>
  <c r="K68" i="45" s="1"/>
  <c r="K81" i="45" s="1"/>
  <c r="K96" i="45" s="1"/>
  <c r="J7" i="45"/>
  <c r="J23" i="45" s="1"/>
  <c r="J40" i="45" s="1"/>
  <c r="J55" i="45" s="1"/>
  <c r="J68" i="45" s="1"/>
  <c r="J81" i="45" s="1"/>
  <c r="J96" i="45" s="1"/>
  <c r="I7" i="45"/>
  <c r="I23" i="45" s="1"/>
  <c r="I40" i="45" s="1"/>
  <c r="I55" i="45" s="1"/>
  <c r="I68" i="45" s="1"/>
  <c r="I81" i="45" s="1"/>
  <c r="I96" i="45" s="1"/>
  <c r="H7" i="45"/>
  <c r="H23" i="45" s="1"/>
  <c r="H40" i="45" s="1"/>
  <c r="H55" i="45" s="1"/>
  <c r="H68" i="45" s="1"/>
  <c r="H81" i="45" s="1"/>
  <c r="H96" i="45" s="1"/>
  <c r="G7" i="45"/>
  <c r="G23" i="45" s="1"/>
  <c r="G40" i="45" s="1"/>
  <c r="G55" i="45" s="1"/>
  <c r="G68" i="45" s="1"/>
  <c r="G81" i="45" s="1"/>
  <c r="G96" i="45" s="1"/>
  <c r="F7" i="45"/>
  <c r="F23" i="45" s="1"/>
  <c r="F40" i="45" s="1"/>
  <c r="F55" i="45" s="1"/>
  <c r="F68" i="45" s="1"/>
  <c r="F81" i="45" s="1"/>
  <c r="F96" i="45" s="1"/>
  <c r="E7" i="45"/>
  <c r="E23" i="45" s="1"/>
  <c r="E40" i="45" s="1"/>
  <c r="E55" i="45" s="1"/>
  <c r="E68" i="45" s="1"/>
  <c r="E81" i="45" s="1"/>
  <c r="E96" i="45" s="1"/>
  <c r="D7" i="45"/>
  <c r="D23" i="45" s="1"/>
  <c r="D40" i="45" s="1"/>
  <c r="D55" i="45" s="1"/>
  <c r="D68" i="45" s="1"/>
  <c r="D81" i="45" s="1"/>
  <c r="D96" i="45" s="1"/>
  <c r="C7" i="45"/>
  <c r="C23" i="45" s="1"/>
  <c r="C40" i="45" s="1"/>
  <c r="C55" i="45" s="1"/>
  <c r="C68" i="45" s="1"/>
  <c r="C81" i="45" s="1"/>
  <c r="C96" i="45" s="1"/>
  <c r="B7" i="45"/>
  <c r="B23" i="45" s="1"/>
  <c r="B40" i="45" s="1"/>
  <c r="B55" i="45" s="1"/>
  <c r="B68" i="45" s="1"/>
  <c r="B81" i="45" s="1"/>
  <c r="B96" i="45" s="1"/>
  <c r="H22" i="47" l="1"/>
  <c r="G11" i="31"/>
  <c r="C11" i="31"/>
  <c r="B11" i="31"/>
  <c r="I22" i="47" l="1"/>
  <c r="D29" i="31"/>
  <c r="E29" i="31"/>
  <c r="F29" i="31"/>
  <c r="G29" i="31"/>
  <c r="H29" i="31"/>
  <c r="I29" i="31"/>
  <c r="J29" i="31"/>
  <c r="K29" i="31"/>
  <c r="L29" i="31"/>
  <c r="M29" i="31"/>
  <c r="N29" i="31"/>
  <c r="O29" i="31"/>
  <c r="F4" i="39"/>
  <c r="E27" i="36"/>
  <c r="E26" i="36"/>
  <c r="E25" i="36"/>
  <c r="E24" i="36"/>
  <c r="E23" i="36"/>
  <c r="E22" i="36"/>
  <c r="E21" i="36"/>
  <c r="E20" i="36"/>
  <c r="I68" i="37"/>
  <c r="J22" i="47" l="1"/>
  <c r="G33" i="36"/>
  <c r="K89" i="37" s="1"/>
  <c r="I38" i="19"/>
  <c r="H68" i="48" s="1"/>
  <c r="J38" i="19"/>
  <c r="I68" i="48" s="1"/>
  <c r="K38" i="19"/>
  <c r="J68" i="48" s="1"/>
  <c r="L38" i="19"/>
  <c r="K68" i="48" s="1"/>
  <c r="M38" i="19"/>
  <c r="L68" i="48" s="1"/>
  <c r="N38" i="19"/>
  <c r="M68" i="48" s="1"/>
  <c r="O38" i="19"/>
  <c r="N68" i="48" s="1"/>
  <c r="P38" i="19"/>
  <c r="O68" i="48" s="1"/>
  <c r="Q38" i="19"/>
  <c r="P68" i="48" s="1"/>
  <c r="H38" i="19"/>
  <c r="G68" i="48" s="1"/>
  <c r="G38" i="19"/>
  <c r="F68" i="48" s="1"/>
  <c r="D32" i="24"/>
  <c r="E32" i="24" l="1"/>
  <c r="D32" i="30"/>
  <c r="E28" i="45"/>
  <c r="G28" i="45"/>
  <c r="N28" i="45"/>
  <c r="F28" i="45"/>
  <c r="M28" i="45"/>
  <c r="I28" i="45"/>
  <c r="K28" i="45"/>
  <c r="J28" i="45"/>
  <c r="D28" i="45"/>
  <c r="L28" i="45"/>
  <c r="H28" i="45"/>
  <c r="H33" i="36"/>
  <c r="L89" i="37" s="1"/>
  <c r="G4" i="39"/>
  <c r="K22" i="47"/>
  <c r="O13" i="44"/>
  <c r="O12" i="44"/>
  <c r="O14" i="44"/>
  <c r="F30" i="44"/>
  <c r="P22" i="44"/>
  <c r="P20" i="44"/>
  <c r="C20" i="44"/>
  <c r="P19" i="44" s="1"/>
  <c r="C19" i="44"/>
  <c r="E28" i="44" s="1"/>
  <c r="C16" i="44"/>
  <c r="B29" i="44" s="1"/>
  <c r="N14" i="44"/>
  <c r="M14" i="44"/>
  <c r="L14" i="44"/>
  <c r="K14" i="44"/>
  <c r="J14" i="44"/>
  <c r="I14" i="44"/>
  <c r="H14" i="44"/>
  <c r="G14" i="44"/>
  <c r="F14" i="44"/>
  <c r="E14" i="44"/>
  <c r="N12" i="44"/>
  <c r="M12" i="44"/>
  <c r="L12" i="44"/>
  <c r="K12" i="44"/>
  <c r="J12" i="44"/>
  <c r="I12" i="44"/>
  <c r="H12" i="44"/>
  <c r="G12" i="44"/>
  <c r="F12" i="44"/>
  <c r="E12" i="44"/>
  <c r="F32" i="24" l="1"/>
  <c r="G32" i="24" s="1"/>
  <c r="H32" i="24" s="1"/>
  <c r="I32" i="24" s="1"/>
  <c r="J32" i="24" s="1"/>
  <c r="K32" i="24" s="1"/>
  <c r="L32" i="24" s="1"/>
  <c r="M32" i="24" s="1"/>
  <c r="N32" i="24" s="1"/>
  <c r="O32" i="24" s="1"/>
  <c r="P32" i="24" s="1"/>
  <c r="E32" i="30"/>
  <c r="I33" i="36"/>
  <c r="M89" i="37" s="1"/>
  <c r="H4" i="39"/>
  <c r="L22" i="47"/>
  <c r="O16" i="44"/>
  <c r="O19" i="44" s="1"/>
  <c r="J11" i="21"/>
  <c r="I11" i="31"/>
  <c r="O22" i="44" l="1"/>
  <c r="O24" i="44"/>
  <c r="J33" i="36"/>
  <c r="N89" i="37" s="1"/>
  <c r="I4" i="39"/>
  <c r="M22" i="47"/>
  <c r="K11" i="21"/>
  <c r="J11" i="31"/>
  <c r="P51" i="30"/>
  <c r="O51" i="30"/>
  <c r="N51" i="30"/>
  <c r="M51" i="30"/>
  <c r="L51" i="30"/>
  <c r="K51" i="30"/>
  <c r="J51" i="30"/>
  <c r="I51" i="30"/>
  <c r="H51" i="30"/>
  <c r="G51" i="30"/>
  <c r="F51" i="30"/>
  <c r="E17" i="43"/>
  <c r="E28" i="43" s="1"/>
  <c r="F17" i="43"/>
  <c r="F28" i="43" s="1"/>
  <c r="G17" i="43"/>
  <c r="G28" i="43" s="1"/>
  <c r="H17" i="43"/>
  <c r="H28" i="43" s="1"/>
  <c r="I17" i="43"/>
  <c r="I28" i="43" s="1"/>
  <c r="J17" i="43"/>
  <c r="J28" i="43" s="1"/>
  <c r="K17" i="43"/>
  <c r="K28" i="43" s="1"/>
  <c r="L17" i="43"/>
  <c r="L28" i="43" s="1"/>
  <c r="M17" i="43"/>
  <c r="M28" i="43" s="1"/>
  <c r="N17" i="43"/>
  <c r="N28" i="43" s="1"/>
  <c r="D17" i="43"/>
  <c r="D28" i="43" s="1"/>
  <c r="M16" i="43"/>
  <c r="N16" i="43" s="1"/>
  <c r="E4" i="43"/>
  <c r="F4" i="43" s="1"/>
  <c r="G4" i="43" s="1"/>
  <c r="H4" i="43" s="1"/>
  <c r="I4" i="43" s="1"/>
  <c r="J4" i="43" s="1"/>
  <c r="K4" i="43" s="1"/>
  <c r="L4" i="43" s="1"/>
  <c r="M4" i="43" s="1"/>
  <c r="N4" i="43" s="1"/>
  <c r="K33" i="36" l="1"/>
  <c r="O89" i="37" s="1"/>
  <c r="J4" i="39"/>
  <c r="O22" i="47"/>
  <c r="N22" i="47"/>
  <c r="L11" i="21"/>
  <c r="K11" i="31"/>
  <c r="H35" i="31"/>
  <c r="C49" i="31"/>
  <c r="L33" i="36" l="1"/>
  <c r="P89" i="37" s="1"/>
  <c r="K4" i="39"/>
  <c r="M11" i="21"/>
  <c r="L11" i="31"/>
  <c r="M33" i="36" l="1"/>
  <c r="Q89" i="37" s="1"/>
  <c r="L4" i="39"/>
  <c r="M11" i="31"/>
  <c r="C70" i="19"/>
  <c r="C71" i="19"/>
  <c r="C72" i="19"/>
  <c r="C69" i="19"/>
  <c r="F57" i="19"/>
  <c r="E57" i="19"/>
  <c r="D108" i="41"/>
  <c r="D82" i="41"/>
  <c r="C82" i="41"/>
  <c r="B68" i="41"/>
  <c r="C67" i="41"/>
  <c r="D67" i="41"/>
  <c r="B67" i="41"/>
  <c r="C66" i="41"/>
  <c r="D66" i="41"/>
  <c r="B66" i="41"/>
  <c r="D64" i="41"/>
  <c r="C64" i="41"/>
  <c r="D95" i="41" l="1"/>
  <c r="E95" i="48"/>
  <c r="C95" i="41"/>
  <c r="D95" i="48"/>
  <c r="N33" i="36"/>
  <c r="M4" i="39"/>
  <c r="O11" i="21"/>
  <c r="O11" i="31" s="1"/>
  <c r="N11" i="31"/>
  <c r="B2" i="19"/>
  <c r="B2" i="48" s="1"/>
  <c r="N4" i="39" l="1"/>
  <c r="R89" i="37"/>
  <c r="B2" i="21"/>
  <c r="B2" i="28"/>
  <c r="I90" i="37"/>
  <c r="J90" i="37"/>
  <c r="K90" i="37"/>
  <c r="L90" i="37"/>
  <c r="M90" i="37"/>
  <c r="N90" i="37"/>
  <c r="O90" i="37"/>
  <c r="P90" i="37"/>
  <c r="Q90" i="37"/>
  <c r="R90" i="37"/>
  <c r="H90" i="37"/>
  <c r="H77" i="37"/>
  <c r="H78" i="37" s="1"/>
  <c r="H79" i="37" s="1"/>
  <c r="H80" i="37" s="1"/>
  <c r="H81" i="37" s="1"/>
  <c r="H82" i="37" s="1"/>
  <c r="H83" i="37" s="1"/>
  <c r="H84" i="37" s="1"/>
  <c r="H85" i="37" s="1"/>
  <c r="H86" i="37" s="1"/>
  <c r="K46" i="37"/>
  <c r="L46" i="37" s="1"/>
  <c r="K47" i="37"/>
  <c r="L47" i="37" s="1"/>
  <c r="K48" i="37"/>
  <c r="L48" i="37" s="1"/>
  <c r="K49" i="37"/>
  <c r="L49" i="37" s="1"/>
  <c r="K50" i="37"/>
  <c r="L50" i="37" s="1"/>
  <c r="K51" i="37"/>
  <c r="L51" i="37" s="1"/>
  <c r="K52" i="37"/>
  <c r="L52" i="37" s="1"/>
  <c r="K53" i="37"/>
  <c r="L53" i="37" s="1"/>
  <c r="K54" i="37"/>
  <c r="L54" i="37" s="1"/>
  <c r="K55" i="37"/>
  <c r="L55" i="37" s="1"/>
  <c r="K56" i="37"/>
  <c r="L56" i="37" s="1"/>
  <c r="K57" i="37"/>
  <c r="L57" i="37" s="1"/>
  <c r="K58" i="37"/>
  <c r="L58" i="37" s="1"/>
  <c r="K59" i="37"/>
  <c r="L59" i="37" s="1"/>
  <c r="K60" i="37"/>
  <c r="L60" i="37" s="1"/>
  <c r="K61" i="37"/>
  <c r="L61" i="37" s="1"/>
  <c r="K62" i="37"/>
  <c r="L62" i="37" s="1"/>
  <c r="K63" i="37"/>
  <c r="L63" i="37" s="1"/>
  <c r="K64" i="37"/>
  <c r="L64" i="37" s="1"/>
  <c r="K65" i="37"/>
  <c r="L65" i="37" s="1"/>
  <c r="K66" i="37"/>
  <c r="L66" i="37" s="1"/>
  <c r="K67" i="37"/>
  <c r="L67" i="37" s="1"/>
  <c r="K45" i="37"/>
  <c r="L45" i="37" s="1"/>
  <c r="D75" i="37"/>
  <c r="D71" i="37"/>
  <c r="D64" i="37"/>
  <c r="D57" i="37"/>
  <c r="D51" i="37"/>
  <c r="D77" i="37" l="1"/>
  <c r="L68" i="37"/>
  <c r="L72" i="37" l="1"/>
  <c r="L74" i="37" s="1"/>
  <c r="L70" i="37"/>
  <c r="D6" i="41"/>
  <c r="E6" i="41"/>
  <c r="F6" i="41"/>
  <c r="G6" i="41"/>
  <c r="H6" i="41"/>
  <c r="I6" i="41"/>
  <c r="J6" i="41"/>
  <c r="K6" i="41"/>
  <c r="L6" i="41"/>
  <c r="M6" i="41"/>
  <c r="N6" i="41"/>
  <c r="O6" i="41"/>
  <c r="C6" i="41"/>
  <c r="H64" i="41" l="1"/>
  <c r="H82" i="41" s="1"/>
  <c r="H95" i="41" s="1"/>
  <c r="H108" i="41" s="1"/>
  <c r="H44" i="41"/>
  <c r="H25" i="41"/>
  <c r="M64" i="41"/>
  <c r="M82" i="41" s="1"/>
  <c r="M95" i="41" s="1"/>
  <c r="M108" i="41" s="1"/>
  <c r="M25" i="41"/>
  <c r="M44" i="41"/>
  <c r="E64" i="41"/>
  <c r="E82" i="41" s="1"/>
  <c r="E95" i="41" s="1"/>
  <c r="E108" i="41" s="1"/>
  <c r="E44" i="41"/>
  <c r="E25" i="41"/>
  <c r="O64" i="41"/>
  <c r="O82" i="41" s="1"/>
  <c r="O95" i="41" s="1"/>
  <c r="O108" i="41" s="1"/>
  <c r="O25" i="41"/>
  <c r="O44" i="41"/>
  <c r="K64" i="41"/>
  <c r="K82" i="41" s="1"/>
  <c r="K95" i="41" s="1"/>
  <c r="K108" i="41" s="1"/>
  <c r="K25" i="41"/>
  <c r="K44" i="41"/>
  <c r="G64" i="41"/>
  <c r="G82" i="41" s="1"/>
  <c r="G95" i="41" s="1"/>
  <c r="G108" i="41" s="1"/>
  <c r="G25" i="41"/>
  <c r="G44" i="41"/>
  <c r="I64" i="41"/>
  <c r="I82" i="41" s="1"/>
  <c r="I95" i="41" s="1"/>
  <c r="I108" i="41" s="1"/>
  <c r="I25" i="41"/>
  <c r="I44" i="41"/>
  <c r="L64" i="41"/>
  <c r="L82" i="41" s="1"/>
  <c r="L95" i="41" s="1"/>
  <c r="L108" i="41" s="1"/>
  <c r="L44" i="41"/>
  <c r="L25" i="41"/>
  <c r="N64" i="41"/>
  <c r="N82" i="41" s="1"/>
  <c r="N95" i="41" s="1"/>
  <c r="N108" i="41" s="1"/>
  <c r="N25" i="41"/>
  <c r="N44" i="41"/>
  <c r="J64" i="41"/>
  <c r="J82" i="41" s="1"/>
  <c r="J95" i="41" s="1"/>
  <c r="J108" i="41" s="1"/>
  <c r="J25" i="41"/>
  <c r="J44" i="41"/>
  <c r="F64" i="41"/>
  <c r="F82" i="41" s="1"/>
  <c r="F95" i="41" s="1"/>
  <c r="F108" i="41" s="1"/>
  <c r="F25" i="41"/>
  <c r="F44" i="41"/>
  <c r="L79" i="37"/>
  <c r="L83" i="37"/>
  <c r="H91" i="37"/>
  <c r="H92" i="37" s="1"/>
  <c r="L80" i="37"/>
  <c r="L84" i="37"/>
  <c r="L77" i="37"/>
  <c r="L85" i="37"/>
  <c r="L78" i="37"/>
  <c r="L82" i="37"/>
  <c r="L86" i="37"/>
  <c r="L81" i="37"/>
  <c r="L76" i="37"/>
  <c r="I53" i="19"/>
  <c r="H93" i="37" l="1"/>
  <c r="G15" i="19" s="1"/>
  <c r="I91" i="37"/>
  <c r="J91" i="37" l="1"/>
  <c r="I92" i="37"/>
  <c r="S47" i="24"/>
  <c r="B45" i="31"/>
  <c r="B44" i="31"/>
  <c r="B34" i="31"/>
  <c r="D50" i="31"/>
  <c r="E50" i="31"/>
  <c r="F50" i="31"/>
  <c r="G50" i="31"/>
  <c r="H50" i="31"/>
  <c r="I50" i="31"/>
  <c r="J50" i="31"/>
  <c r="K50" i="31"/>
  <c r="L50" i="31"/>
  <c r="M50" i="31"/>
  <c r="N50" i="31"/>
  <c r="O50" i="31"/>
  <c r="D51" i="31"/>
  <c r="E51" i="31"/>
  <c r="F51" i="31"/>
  <c r="G51" i="31"/>
  <c r="H51" i="31"/>
  <c r="I51" i="31"/>
  <c r="J51" i="31"/>
  <c r="K51" i="31"/>
  <c r="L51" i="31"/>
  <c r="M51" i="31"/>
  <c r="N51" i="31"/>
  <c r="O51" i="31"/>
  <c r="D52" i="31"/>
  <c r="E52" i="31"/>
  <c r="F52" i="31"/>
  <c r="G52" i="31"/>
  <c r="H52" i="31"/>
  <c r="I52" i="31"/>
  <c r="J52" i="31"/>
  <c r="K52" i="31"/>
  <c r="L52" i="31"/>
  <c r="M52" i="31"/>
  <c r="N52" i="31"/>
  <c r="O52" i="31"/>
  <c r="C50" i="31"/>
  <c r="C51" i="31"/>
  <c r="C52" i="31"/>
  <c r="B50" i="31"/>
  <c r="B51" i="31"/>
  <c r="B52" i="31"/>
  <c r="B49" i="31"/>
  <c r="B48" i="31"/>
  <c r="D33" i="31"/>
  <c r="E33" i="31"/>
  <c r="F33" i="31"/>
  <c r="G33" i="31"/>
  <c r="H33" i="31"/>
  <c r="I33" i="31"/>
  <c r="J33" i="31"/>
  <c r="K33" i="31"/>
  <c r="L33" i="31"/>
  <c r="M33" i="31"/>
  <c r="N33" i="31"/>
  <c r="O33" i="31"/>
  <c r="B33" i="31"/>
  <c r="G18" i="31"/>
  <c r="H18" i="31"/>
  <c r="I18" i="31"/>
  <c r="J18" i="31"/>
  <c r="K18" i="31"/>
  <c r="L18" i="31"/>
  <c r="M18" i="31"/>
  <c r="N18" i="31"/>
  <c r="O18" i="31"/>
  <c r="G19" i="31"/>
  <c r="H19" i="31"/>
  <c r="I19" i="31"/>
  <c r="J19" i="31"/>
  <c r="K19" i="31"/>
  <c r="L19" i="31"/>
  <c r="M19" i="31"/>
  <c r="N19" i="31"/>
  <c r="O19" i="31"/>
  <c r="E20" i="31"/>
  <c r="F20" i="31"/>
  <c r="G20" i="31"/>
  <c r="H20" i="31"/>
  <c r="I20" i="31"/>
  <c r="J20" i="31"/>
  <c r="K20" i="31"/>
  <c r="L20" i="31"/>
  <c r="M20" i="31"/>
  <c r="N20" i="31"/>
  <c r="O20" i="31"/>
  <c r="C104" i="31" l="1"/>
  <c r="D104" i="31"/>
  <c r="B104" i="31"/>
  <c r="O104" i="31"/>
  <c r="K104" i="31"/>
  <c r="G104" i="31"/>
  <c r="L104" i="31"/>
  <c r="H104" i="31"/>
  <c r="N104" i="31"/>
  <c r="J104" i="31"/>
  <c r="F104" i="31"/>
  <c r="M104" i="31"/>
  <c r="I104" i="31"/>
  <c r="E104" i="31"/>
  <c r="I93" i="37"/>
  <c r="H15" i="19" s="1"/>
  <c r="K91" i="37"/>
  <c r="J92" i="37"/>
  <c r="J93" i="37" l="1"/>
  <c r="I15" i="19" s="1"/>
  <c r="L91" i="37"/>
  <c r="K92" i="37"/>
  <c r="C41" i="29"/>
  <c r="K93" i="37" l="1"/>
  <c r="J15" i="19" s="1"/>
  <c r="M91" i="37"/>
  <c r="L92" i="37"/>
  <c r="O16" i="39"/>
  <c r="I35" i="31"/>
  <c r="D10" i="39"/>
  <c r="G21" i="19"/>
  <c r="F20" i="30" s="1"/>
  <c r="F21" i="19"/>
  <c r="E20" i="30" s="1"/>
  <c r="D7" i="39"/>
  <c r="D6" i="39"/>
  <c r="L93" i="37" l="1"/>
  <c r="K15" i="19" s="1"/>
  <c r="D11" i="39"/>
  <c r="N91" i="37"/>
  <c r="M92" i="37"/>
  <c r="E39" i="21"/>
  <c r="D22" i="39"/>
  <c r="H21" i="19"/>
  <c r="G20" i="30" l="1"/>
  <c r="D11" i="43" s="1"/>
  <c r="D22" i="43" s="1"/>
  <c r="D85" i="45"/>
  <c r="E59" i="21"/>
  <c r="M93" i="37"/>
  <c r="L15" i="19" s="1"/>
  <c r="O91" i="37"/>
  <c r="N92" i="37"/>
  <c r="B28" i="32"/>
  <c r="G20" i="29"/>
  <c r="H20" i="29"/>
  <c r="I20" i="29"/>
  <c r="J20" i="29"/>
  <c r="K20" i="29"/>
  <c r="L20" i="29"/>
  <c r="M20" i="29"/>
  <c r="N20" i="29"/>
  <c r="O20" i="29"/>
  <c r="H28" i="29"/>
  <c r="I28" i="29"/>
  <c r="J28" i="29"/>
  <c r="K28" i="29"/>
  <c r="L28" i="29"/>
  <c r="M28" i="29"/>
  <c r="N28" i="29"/>
  <c r="O28" i="29"/>
  <c r="G27" i="17"/>
  <c r="N93" i="37" l="1"/>
  <c r="M15" i="19" s="1"/>
  <c r="P91" i="37"/>
  <c r="O92" i="37"/>
  <c r="C28" i="31"/>
  <c r="D28" i="31"/>
  <c r="E28" i="31"/>
  <c r="F28" i="31"/>
  <c r="G28" i="31"/>
  <c r="H28" i="31"/>
  <c r="I28" i="31"/>
  <c r="J28" i="31"/>
  <c r="K28" i="31"/>
  <c r="L28" i="31"/>
  <c r="M28" i="31"/>
  <c r="N28" i="31"/>
  <c r="O28" i="31"/>
  <c r="B28" i="31"/>
  <c r="B10" i="31"/>
  <c r="C8" i="31" s="1"/>
  <c r="C29" i="31"/>
  <c r="C12" i="21"/>
  <c r="O93" i="37" l="1"/>
  <c r="N15" i="19" s="1"/>
  <c r="Q91" i="37"/>
  <c r="P92" i="37"/>
  <c r="B12" i="31"/>
  <c r="D9" i="31"/>
  <c r="E9" i="31"/>
  <c r="F9" i="31"/>
  <c r="G9" i="31"/>
  <c r="H9" i="31"/>
  <c r="I9" i="31"/>
  <c r="J9" i="31"/>
  <c r="K9" i="31"/>
  <c r="L9" i="31"/>
  <c r="M9" i="31"/>
  <c r="N9" i="31"/>
  <c r="O9" i="31"/>
  <c r="C9" i="31"/>
  <c r="C10" i="31" s="1"/>
  <c r="P93" i="37" l="1"/>
  <c r="O15" i="19" s="1"/>
  <c r="R91" i="37"/>
  <c r="Q92" i="37"/>
  <c r="D8" i="31"/>
  <c r="D10" i="31" s="1"/>
  <c r="C12" i="31"/>
  <c r="Q93" i="37" l="1"/>
  <c r="P15" i="19" s="1"/>
  <c r="R92" i="37"/>
  <c r="E8" i="31"/>
  <c r="E10" i="31" s="1"/>
  <c r="D55" i="24"/>
  <c r="D27" i="28"/>
  <c r="D43" i="28" s="1"/>
  <c r="H3" i="28"/>
  <c r="C14" i="28"/>
  <c r="B27" i="29"/>
  <c r="B35" i="31" s="1"/>
  <c r="C43" i="24"/>
  <c r="C43" i="30" s="1"/>
  <c r="I52" i="24"/>
  <c r="R37" i="24"/>
  <c r="C16" i="24"/>
  <c r="C16" i="30" s="1"/>
  <c r="C13" i="24"/>
  <c r="C13" i="30" s="1"/>
  <c r="R93" i="37" l="1"/>
  <c r="Q15" i="19" s="1"/>
  <c r="S24" i="24"/>
  <c r="F8" i="31"/>
  <c r="F10" i="31" s="1"/>
  <c r="H370" i="38"/>
  <c r="H339" i="38"/>
  <c r="H291" i="38"/>
  <c r="H252" i="38"/>
  <c r="H189" i="38"/>
  <c r="H158" i="38"/>
  <c r="H146" i="38"/>
  <c r="H138" i="38"/>
  <c r="H126" i="38"/>
  <c r="H113" i="38"/>
  <c r="H104" i="38"/>
  <c r="H96" i="38"/>
  <c r="H84" i="38"/>
  <c r="H74" i="38"/>
  <c r="H66" i="38"/>
  <c r="H56" i="38"/>
  <c r="H48" i="38"/>
  <c r="H40" i="38"/>
  <c r="H29" i="38"/>
  <c r="H11" i="38"/>
  <c r="D9" i="16"/>
  <c r="G8" i="31" l="1"/>
  <c r="G10" i="31" s="1"/>
  <c r="H14" i="38"/>
  <c r="H385" i="38" s="1"/>
  <c r="N22" i="43" l="1"/>
  <c r="H387" i="38"/>
  <c r="H386" i="38"/>
  <c r="H388" i="38" s="1"/>
  <c r="D10" i="16" s="1"/>
  <c r="H8" i="31"/>
  <c r="H10" i="31" s="1"/>
  <c r="G12" i="31"/>
  <c r="M55" i="18"/>
  <c r="C35" i="31"/>
  <c r="C48" i="31"/>
  <c r="C33" i="31"/>
  <c r="D45" i="31"/>
  <c r="E45" i="31"/>
  <c r="F45" i="31"/>
  <c r="G45" i="31"/>
  <c r="D35" i="31"/>
  <c r="E35" i="31"/>
  <c r="G35" i="31"/>
  <c r="K35" i="31"/>
  <c r="F30" i="31"/>
  <c r="C45" i="31"/>
  <c r="L36" i="21"/>
  <c r="G172" i="18"/>
  <c r="G173" i="18" s="1"/>
  <c r="G174" i="18" s="1"/>
  <c r="G175" i="18" s="1"/>
  <c r="G176" i="18" s="1"/>
  <c r="G177" i="18" s="1"/>
  <c r="G178" i="18" s="1"/>
  <c r="G179" i="18" s="1"/>
  <c r="G180" i="18" s="1"/>
  <c r="G159" i="18"/>
  <c r="G160" i="18" s="1"/>
  <c r="G161" i="18" s="1"/>
  <c r="G162" i="18" s="1"/>
  <c r="G163" i="18" s="1"/>
  <c r="G164" i="18" s="1"/>
  <c r="G165" i="18" s="1"/>
  <c r="G166" i="18" s="1"/>
  <c r="G167" i="18" s="1"/>
  <c r="G168" i="18" s="1"/>
  <c r="G169" i="18" s="1"/>
  <c r="G146" i="18"/>
  <c r="G147" i="18" s="1"/>
  <c r="G148" i="18" s="1"/>
  <c r="G149" i="18" s="1"/>
  <c r="G150" i="18" s="1"/>
  <c r="G151" i="18" s="1"/>
  <c r="G152" i="18" s="1"/>
  <c r="G153" i="18" s="1"/>
  <c r="G154" i="18" s="1"/>
  <c r="G155" i="18" s="1"/>
  <c r="G156" i="18" s="1"/>
  <c r="G133" i="18"/>
  <c r="G134" i="18" s="1"/>
  <c r="G135" i="18" s="1"/>
  <c r="G136" i="18" s="1"/>
  <c r="G137" i="18" s="1"/>
  <c r="G138" i="18" s="1"/>
  <c r="G139" i="18" s="1"/>
  <c r="G140" i="18" s="1"/>
  <c r="G141" i="18" s="1"/>
  <c r="G142" i="18" s="1"/>
  <c r="G143" i="18" s="1"/>
  <c r="G120" i="18"/>
  <c r="G121" i="18" s="1"/>
  <c r="G122" i="18" s="1"/>
  <c r="G123" i="18" s="1"/>
  <c r="G124" i="18" s="1"/>
  <c r="G125" i="18" s="1"/>
  <c r="G126" i="18" s="1"/>
  <c r="G127" i="18" s="1"/>
  <c r="G128" i="18" s="1"/>
  <c r="G129" i="18" s="1"/>
  <c r="G130" i="18" s="1"/>
  <c r="G107" i="18"/>
  <c r="G108" i="18" s="1"/>
  <c r="G109" i="18" s="1"/>
  <c r="G110" i="18" s="1"/>
  <c r="G111" i="18" s="1"/>
  <c r="G112" i="18" s="1"/>
  <c r="G113" i="18" s="1"/>
  <c r="G114" i="18" s="1"/>
  <c r="G115" i="18" s="1"/>
  <c r="G116" i="18" s="1"/>
  <c r="G117" i="18" s="1"/>
  <c r="G94" i="18"/>
  <c r="G95" i="18" s="1"/>
  <c r="G96" i="18" s="1"/>
  <c r="G97" i="18" s="1"/>
  <c r="G98" i="18" s="1"/>
  <c r="G99" i="18" s="1"/>
  <c r="G100" i="18" s="1"/>
  <c r="G101" i="18" s="1"/>
  <c r="G102" i="18" s="1"/>
  <c r="G103" i="18" s="1"/>
  <c r="G104" i="18" s="1"/>
  <c r="G81" i="18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68" i="18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60" i="18"/>
  <c r="G61" i="18" s="1"/>
  <c r="G62" i="18" s="1"/>
  <c r="G63" i="18" s="1"/>
  <c r="G64" i="18" s="1"/>
  <c r="G65" i="18" s="1"/>
  <c r="G172" i="17"/>
  <c r="G159" i="17"/>
  <c r="G160" i="17" s="1"/>
  <c r="G161" i="17" s="1"/>
  <c r="G162" i="17" s="1"/>
  <c r="G163" i="17" s="1"/>
  <c r="G164" i="17" s="1"/>
  <c r="G165" i="17" s="1"/>
  <c r="G166" i="17" s="1"/>
  <c r="G167" i="17" s="1"/>
  <c r="G168" i="17" s="1"/>
  <c r="G169" i="17" s="1"/>
  <c r="G146" i="17"/>
  <c r="G147" i="17" s="1"/>
  <c r="G148" i="17" s="1"/>
  <c r="G149" i="17" s="1"/>
  <c r="G150" i="17" s="1"/>
  <c r="G151" i="17" s="1"/>
  <c r="G152" i="17" s="1"/>
  <c r="G153" i="17" s="1"/>
  <c r="G154" i="17" s="1"/>
  <c r="G155" i="17" s="1"/>
  <c r="G156" i="17" s="1"/>
  <c r="G133" i="17"/>
  <c r="G134" i="17" s="1"/>
  <c r="G135" i="17" s="1"/>
  <c r="G136" i="17" s="1"/>
  <c r="G137" i="17" s="1"/>
  <c r="G138" i="17" s="1"/>
  <c r="G139" i="17" s="1"/>
  <c r="G140" i="17" s="1"/>
  <c r="G141" i="17" s="1"/>
  <c r="G142" i="17" s="1"/>
  <c r="G143" i="17" s="1"/>
  <c r="G120" i="17"/>
  <c r="G121" i="17" s="1"/>
  <c r="G122" i="17" s="1"/>
  <c r="G123" i="17" s="1"/>
  <c r="G124" i="17" s="1"/>
  <c r="G125" i="17" s="1"/>
  <c r="G126" i="17" s="1"/>
  <c r="G127" i="17" s="1"/>
  <c r="G128" i="17" s="1"/>
  <c r="G129" i="17" s="1"/>
  <c r="G130" i="17" s="1"/>
  <c r="G107" i="17"/>
  <c r="G108" i="17" s="1"/>
  <c r="G109" i="17" s="1"/>
  <c r="G94" i="17"/>
  <c r="G95" i="17" s="1"/>
  <c r="G96" i="17" s="1"/>
  <c r="G81" i="17"/>
  <c r="G82" i="17" s="1"/>
  <c r="G83" i="17" s="1"/>
  <c r="G68" i="17"/>
  <c r="G69" i="17" s="1"/>
  <c r="G70" i="17" s="1"/>
  <c r="G71" i="17" s="1"/>
  <c r="G72" i="17" s="1"/>
  <c r="G73" i="17" s="1"/>
  <c r="G74" i="17" s="1"/>
  <c r="G75" i="17" s="1"/>
  <c r="G76" i="17" s="1"/>
  <c r="G77" i="17" s="1"/>
  <c r="G78" i="17" s="1"/>
  <c r="G60" i="17"/>
  <c r="G61" i="17" s="1"/>
  <c r="G62" i="17" s="1"/>
  <c r="G63" i="17" s="1"/>
  <c r="G64" i="17" s="1"/>
  <c r="G65" i="17" s="1"/>
  <c r="H20" i="36"/>
  <c r="H21" i="36"/>
  <c r="I21" i="36" s="1"/>
  <c r="H22" i="36"/>
  <c r="I22" i="36" s="1"/>
  <c r="H23" i="36"/>
  <c r="H24" i="36"/>
  <c r="H25" i="36"/>
  <c r="H26" i="36"/>
  <c r="H27" i="36"/>
  <c r="I11" i="36"/>
  <c r="H11" i="36"/>
  <c r="J11" i="36" s="1"/>
  <c r="L11" i="36" s="1"/>
  <c r="I8" i="36"/>
  <c r="I9" i="36"/>
  <c r="I10" i="36"/>
  <c r="H10" i="36"/>
  <c r="J10" i="36" s="1"/>
  <c r="L10" i="36" s="1"/>
  <c r="N10" i="36" s="1"/>
  <c r="H9" i="36"/>
  <c r="J9" i="36" s="1"/>
  <c r="L9" i="36" s="1"/>
  <c r="N9" i="36" s="1"/>
  <c r="G173" i="17" l="1"/>
  <c r="G174" i="17" s="1"/>
  <c r="G175" i="17" s="1"/>
  <c r="G176" i="17" s="1"/>
  <c r="G177" i="17" s="1"/>
  <c r="G178" i="17" s="1"/>
  <c r="G179" i="17" s="1"/>
  <c r="G180" i="17" s="1"/>
  <c r="J21" i="36"/>
  <c r="L21" i="36" s="1"/>
  <c r="J22" i="36"/>
  <c r="L22" i="36" s="1"/>
  <c r="O11" i="39"/>
  <c r="O22" i="39" s="1"/>
  <c r="I25" i="36"/>
  <c r="I27" i="36"/>
  <c r="J27" i="36" s="1"/>
  <c r="I24" i="36"/>
  <c r="I20" i="36"/>
  <c r="I23" i="36"/>
  <c r="I26" i="36"/>
  <c r="M11" i="36"/>
  <c r="N11" i="36"/>
  <c r="G30" i="31"/>
  <c r="I8" i="31"/>
  <c r="I10" i="31" s="1"/>
  <c r="G170" i="17"/>
  <c r="G157" i="17"/>
  <c r="G144" i="17"/>
  <c r="G131" i="17"/>
  <c r="G110" i="17"/>
  <c r="G111" i="17" s="1"/>
  <c r="G112" i="17" s="1"/>
  <c r="G113" i="17" s="1"/>
  <c r="G114" i="17" s="1"/>
  <c r="G115" i="17" s="1"/>
  <c r="G116" i="17" s="1"/>
  <c r="G117" i="17" s="1"/>
  <c r="G97" i="17"/>
  <c r="G98" i="17" s="1"/>
  <c r="G99" i="17" s="1"/>
  <c r="G100" i="17" s="1"/>
  <c r="G101" i="17" s="1"/>
  <c r="G102" i="17" s="1"/>
  <c r="G103" i="17" s="1"/>
  <c r="G104" i="17" s="1"/>
  <c r="G84" i="17"/>
  <c r="G85" i="17" s="1"/>
  <c r="G86" i="17" s="1"/>
  <c r="G87" i="17" s="1"/>
  <c r="G88" i="17" s="1"/>
  <c r="G89" i="17" s="1"/>
  <c r="G90" i="17" s="1"/>
  <c r="G91" i="17" s="1"/>
  <c r="G92" i="17" s="1"/>
  <c r="M10" i="36"/>
  <c r="O10" i="36" s="1"/>
  <c r="M9" i="36"/>
  <c r="G182" i="17" l="1"/>
  <c r="M22" i="36"/>
  <c r="N22" i="36"/>
  <c r="M21" i="36"/>
  <c r="N21" i="36"/>
  <c r="J23" i="36"/>
  <c r="L23" i="36" s="1"/>
  <c r="M23" i="36" s="1"/>
  <c r="J20" i="36"/>
  <c r="L20" i="36" s="1"/>
  <c r="L27" i="36"/>
  <c r="M27" i="36" s="1"/>
  <c r="J25" i="36"/>
  <c r="L25" i="36" s="1"/>
  <c r="J24" i="36"/>
  <c r="L24" i="36" s="1"/>
  <c r="J26" i="36"/>
  <c r="L26" i="36" s="1"/>
  <c r="O11" i="36"/>
  <c r="I30" i="31"/>
  <c r="H30" i="31"/>
  <c r="J8" i="31"/>
  <c r="J10" i="31" s="1"/>
  <c r="I12" i="31"/>
  <c r="G118" i="17"/>
  <c r="G105" i="17"/>
  <c r="O9" i="36"/>
  <c r="H8" i="36"/>
  <c r="J8" i="36" s="1"/>
  <c r="C32" i="37"/>
  <c r="C28" i="37"/>
  <c r="C21" i="37"/>
  <c r="C14" i="37"/>
  <c r="C8" i="37"/>
  <c r="F17" i="16"/>
  <c r="G17" i="16"/>
  <c r="E17" i="16"/>
  <c r="H24" i="35"/>
  <c r="H12" i="35"/>
  <c r="J12" i="35" s="1"/>
  <c r="H34" i="35"/>
  <c r="H50" i="35" s="1"/>
  <c r="H196" i="34"/>
  <c r="H176" i="34"/>
  <c r="H150" i="34"/>
  <c r="H129" i="34"/>
  <c r="H103" i="34"/>
  <c r="H67" i="34"/>
  <c r="H38" i="34"/>
  <c r="H30" i="34"/>
  <c r="H11" i="34"/>
  <c r="L8" i="36" l="1"/>
  <c r="L12" i="36" s="1"/>
  <c r="J12" i="36"/>
  <c r="O22" i="36"/>
  <c r="N23" i="36"/>
  <c r="O23" i="36" s="1"/>
  <c r="O21" i="36"/>
  <c r="N25" i="36"/>
  <c r="M25" i="36"/>
  <c r="M26" i="36"/>
  <c r="N26" i="36"/>
  <c r="M24" i="36"/>
  <c r="N24" i="36"/>
  <c r="M20" i="36"/>
  <c r="L28" i="36"/>
  <c r="L34" i="36" s="1"/>
  <c r="O8" i="19" s="1"/>
  <c r="N20" i="36"/>
  <c r="N27" i="36"/>
  <c r="O27" i="36" s="1"/>
  <c r="C33" i="37"/>
  <c r="H197" i="34"/>
  <c r="H200" i="34" s="1"/>
  <c r="H51" i="35"/>
  <c r="I12" i="35"/>
  <c r="K12" i="35" s="1"/>
  <c r="N13" i="39"/>
  <c r="N24" i="39" s="1"/>
  <c r="D13" i="39"/>
  <c r="D24" i="39" s="1"/>
  <c r="J30" i="31"/>
  <c r="K8" i="31"/>
  <c r="K10" i="31" s="1"/>
  <c r="J12" i="31"/>
  <c r="N8" i="36"/>
  <c r="N12" i="36" s="1"/>
  <c r="M8" i="36"/>
  <c r="H17" i="16"/>
  <c r="B26" i="31"/>
  <c r="B30" i="31"/>
  <c r="C10" i="24"/>
  <c r="C59" i="24" s="1"/>
  <c r="C67" i="24" s="1"/>
  <c r="D45" i="28"/>
  <c r="D47" i="28"/>
  <c r="C18" i="24"/>
  <c r="C23" i="24" s="1"/>
  <c r="C28" i="24" s="1"/>
  <c r="C39" i="24"/>
  <c r="E7" i="24"/>
  <c r="E17" i="17"/>
  <c r="F17" i="17" s="1"/>
  <c r="E17" i="18"/>
  <c r="F17" i="18" s="1"/>
  <c r="E15" i="25"/>
  <c r="G15" i="25"/>
  <c r="G16" i="25"/>
  <c r="H16" i="25" s="1"/>
  <c r="G17" i="25"/>
  <c r="G18" i="25"/>
  <c r="G19" i="25"/>
  <c r="G20" i="25"/>
  <c r="G21" i="25"/>
  <c r="G22" i="25"/>
  <c r="G23" i="25"/>
  <c r="G24" i="25"/>
  <c r="G25" i="25"/>
  <c r="G26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E14" i="26"/>
  <c r="F14" i="26" s="1"/>
  <c r="H15" i="26"/>
  <c r="E14" i="27"/>
  <c r="F14" i="27" s="1"/>
  <c r="C30" i="31"/>
  <c r="D13" i="24"/>
  <c r="O7" i="32"/>
  <c r="O23" i="32" s="1"/>
  <c r="O40" i="32" s="1"/>
  <c r="O55" i="32" s="1"/>
  <c r="O68" i="32" s="1"/>
  <c r="O81" i="32" s="1"/>
  <c r="O96" i="32" s="1"/>
  <c r="N7" i="32"/>
  <c r="N23" i="32" s="1"/>
  <c r="N40" i="32" s="1"/>
  <c r="N55" i="32" s="1"/>
  <c r="N68" i="32" s="1"/>
  <c r="N81" i="32" s="1"/>
  <c r="N96" i="32" s="1"/>
  <c r="M7" i="32"/>
  <c r="M23" i="32" s="1"/>
  <c r="M40" i="32" s="1"/>
  <c r="M55" i="32" s="1"/>
  <c r="M68" i="32" s="1"/>
  <c r="M81" i="32" s="1"/>
  <c r="M96" i="32" s="1"/>
  <c r="L7" i="32"/>
  <c r="L23" i="32" s="1"/>
  <c r="L40" i="32" s="1"/>
  <c r="L55" i="32" s="1"/>
  <c r="L68" i="32" s="1"/>
  <c r="L81" i="32" s="1"/>
  <c r="L96" i="32" s="1"/>
  <c r="K7" i="32"/>
  <c r="K23" i="32" s="1"/>
  <c r="K40" i="32" s="1"/>
  <c r="K55" i="32" s="1"/>
  <c r="K68" i="32" s="1"/>
  <c r="K81" i="32" s="1"/>
  <c r="K96" i="32" s="1"/>
  <c r="J7" i="32"/>
  <c r="J23" i="32" s="1"/>
  <c r="J40" i="32" s="1"/>
  <c r="J55" i="32" s="1"/>
  <c r="J68" i="32" s="1"/>
  <c r="J81" i="32" s="1"/>
  <c r="J96" i="32" s="1"/>
  <c r="I7" i="32"/>
  <c r="I23" i="32" s="1"/>
  <c r="I40" i="32" s="1"/>
  <c r="I55" i="32" s="1"/>
  <c r="I68" i="32" s="1"/>
  <c r="I81" i="32" s="1"/>
  <c r="I96" i="32" s="1"/>
  <c r="H7" i="32"/>
  <c r="H23" i="32" s="1"/>
  <c r="H40" i="32" s="1"/>
  <c r="H55" i="32" s="1"/>
  <c r="H68" i="32" s="1"/>
  <c r="H81" i="32" s="1"/>
  <c r="H96" i="32" s="1"/>
  <c r="G7" i="32"/>
  <c r="G23" i="32" s="1"/>
  <c r="G40" i="32" s="1"/>
  <c r="G55" i="32" s="1"/>
  <c r="G68" i="32" s="1"/>
  <c r="G81" i="32" s="1"/>
  <c r="G96" i="32" s="1"/>
  <c r="F7" i="32"/>
  <c r="F23" i="32" s="1"/>
  <c r="F40" i="32" s="1"/>
  <c r="F55" i="32" s="1"/>
  <c r="F68" i="32" s="1"/>
  <c r="F81" i="32" s="1"/>
  <c r="F96" i="32" s="1"/>
  <c r="E7" i="32"/>
  <c r="E23" i="32" s="1"/>
  <c r="E40" i="32" s="1"/>
  <c r="E55" i="32" s="1"/>
  <c r="E68" i="32" s="1"/>
  <c r="E81" i="32" s="1"/>
  <c r="E96" i="32" s="1"/>
  <c r="D7" i="32"/>
  <c r="D23" i="32" s="1"/>
  <c r="D40" i="32" s="1"/>
  <c r="D55" i="32" s="1"/>
  <c r="D68" i="32" s="1"/>
  <c r="D81" i="32" s="1"/>
  <c r="D96" i="32" s="1"/>
  <c r="C7" i="32"/>
  <c r="C23" i="32" s="1"/>
  <c r="C40" i="32" s="1"/>
  <c r="C55" i="32" s="1"/>
  <c r="C68" i="32" s="1"/>
  <c r="C81" i="32" s="1"/>
  <c r="C96" i="32" s="1"/>
  <c r="B7" i="32"/>
  <c r="B23" i="32" s="1"/>
  <c r="B40" i="32" s="1"/>
  <c r="B55" i="32" s="1"/>
  <c r="B68" i="32" s="1"/>
  <c r="B81" i="32" s="1"/>
  <c r="B96" i="32" s="1"/>
  <c r="B53" i="31"/>
  <c r="B85" i="32"/>
  <c r="C39" i="21"/>
  <c r="C59" i="21" s="1"/>
  <c r="C62" i="21" s="1"/>
  <c r="C69" i="21" s="1"/>
  <c r="D39" i="21"/>
  <c r="B11" i="32"/>
  <c r="B27" i="32" s="1"/>
  <c r="B31" i="32" s="1"/>
  <c r="C10" i="30"/>
  <c r="C54" i="30" s="1"/>
  <c r="C61" i="30" s="1"/>
  <c r="B14" i="32"/>
  <c r="D46" i="20"/>
  <c r="C15" i="20" s="1"/>
  <c r="G20" i="19"/>
  <c r="G22" i="19"/>
  <c r="G23" i="19"/>
  <c r="E68" i="41"/>
  <c r="H9" i="19"/>
  <c r="H20" i="19"/>
  <c r="H22" i="19"/>
  <c r="H23" i="19"/>
  <c r="F68" i="41"/>
  <c r="G68" i="41"/>
  <c r="H68" i="41"/>
  <c r="H13" i="39"/>
  <c r="H24" i="39" s="1"/>
  <c r="I68" i="41"/>
  <c r="J68" i="41"/>
  <c r="J13" i="39"/>
  <c r="J24" i="39" s="1"/>
  <c r="K68" i="41"/>
  <c r="K13" i="39"/>
  <c r="K24" i="39" s="1"/>
  <c r="L68" i="41"/>
  <c r="L13" i="39"/>
  <c r="L24" i="39" s="1"/>
  <c r="M68" i="41"/>
  <c r="N68" i="41"/>
  <c r="O68" i="41"/>
  <c r="O13" i="39"/>
  <c r="O24" i="39" s="1"/>
  <c r="D36" i="29"/>
  <c r="E36" i="29"/>
  <c r="F36" i="29"/>
  <c r="G36" i="29"/>
  <c r="H36" i="29"/>
  <c r="H45" i="31"/>
  <c r="I36" i="29"/>
  <c r="J36" i="29"/>
  <c r="K36" i="29"/>
  <c r="L36" i="29"/>
  <c r="M36" i="29"/>
  <c r="N36" i="29"/>
  <c r="O36" i="29"/>
  <c r="C36" i="29"/>
  <c r="B46" i="31"/>
  <c r="O5" i="31"/>
  <c r="N5" i="31"/>
  <c r="M5" i="31"/>
  <c r="L5" i="31"/>
  <c r="K5" i="31"/>
  <c r="J5" i="31"/>
  <c r="I5" i="31"/>
  <c r="H5" i="31"/>
  <c r="G5" i="31"/>
  <c r="F5" i="31"/>
  <c r="E5" i="31"/>
  <c r="D5" i="31"/>
  <c r="C5" i="31"/>
  <c r="P38" i="24"/>
  <c r="O38" i="24"/>
  <c r="N38" i="24"/>
  <c r="M38" i="24"/>
  <c r="L38" i="24"/>
  <c r="K38" i="24"/>
  <c r="J38" i="24"/>
  <c r="I38" i="24"/>
  <c r="I38" i="30" s="1"/>
  <c r="H38" i="24"/>
  <c r="H38" i="30" s="1"/>
  <c r="G38" i="24"/>
  <c r="G38" i="30" s="1"/>
  <c r="F38" i="24"/>
  <c r="F38" i="30" s="1"/>
  <c r="E38" i="24"/>
  <c r="F38" i="19"/>
  <c r="D38" i="24"/>
  <c r="E38" i="19"/>
  <c r="E27" i="24"/>
  <c r="E26" i="24"/>
  <c r="F21" i="24" s="1"/>
  <c r="E24" i="24"/>
  <c r="E24" i="30" s="1"/>
  <c r="E22" i="24"/>
  <c r="F23" i="19"/>
  <c r="E22" i="30" s="1"/>
  <c r="D22" i="24"/>
  <c r="D22" i="30" s="1"/>
  <c r="E21" i="24"/>
  <c r="F22" i="19"/>
  <c r="D21" i="24"/>
  <c r="D21" i="30" s="1"/>
  <c r="E19" i="24"/>
  <c r="F20" i="19"/>
  <c r="E19" i="30" s="1"/>
  <c r="D19" i="24"/>
  <c r="D19" i="30" s="1"/>
  <c r="D14" i="24"/>
  <c r="D14" i="30" s="1"/>
  <c r="D15" i="24"/>
  <c r="D15" i="30" s="1"/>
  <c r="D16" i="24"/>
  <c r="D16" i="30" s="1"/>
  <c r="E8" i="24"/>
  <c r="R13" i="24"/>
  <c r="D23" i="28"/>
  <c r="D39" i="28" s="1"/>
  <c r="C23" i="28"/>
  <c r="Q33" i="28"/>
  <c r="R33" i="28"/>
  <c r="D41" i="28"/>
  <c r="D33" i="28"/>
  <c r="C33" i="28"/>
  <c r="F8" i="28"/>
  <c r="F23" i="28" s="1"/>
  <c r="F39" i="28" s="1"/>
  <c r="G8" i="28"/>
  <c r="G23" i="28" s="1"/>
  <c r="G39" i="28" s="1"/>
  <c r="H8" i="28"/>
  <c r="H23" i="28" s="1"/>
  <c r="H39" i="28" s="1"/>
  <c r="I8" i="28"/>
  <c r="I23" i="28" s="1"/>
  <c r="I39" i="28" s="1"/>
  <c r="J8" i="28"/>
  <c r="J23" i="28" s="1"/>
  <c r="J39" i="28" s="1"/>
  <c r="K8" i="28"/>
  <c r="K23" i="28" s="1"/>
  <c r="K39" i="28" s="1"/>
  <c r="L8" i="28"/>
  <c r="L23" i="28" s="1"/>
  <c r="L39" i="28" s="1"/>
  <c r="M8" i="28"/>
  <c r="M23" i="28" s="1"/>
  <c r="M39" i="28" s="1"/>
  <c r="N8" i="28"/>
  <c r="N23" i="28" s="1"/>
  <c r="N39" i="28" s="1"/>
  <c r="O8" i="28"/>
  <c r="O23" i="28" s="1"/>
  <c r="O39" i="28" s="1"/>
  <c r="P8" i="28"/>
  <c r="P23" i="28" s="1"/>
  <c r="P39" i="28" s="1"/>
  <c r="Q8" i="28"/>
  <c r="Q23" i="28" s="1"/>
  <c r="Q39" i="28" s="1"/>
  <c r="R8" i="28"/>
  <c r="R23" i="28" s="1"/>
  <c r="R39" i="28" s="1"/>
  <c r="E8" i="28"/>
  <c r="E23" i="28" s="1"/>
  <c r="E39" i="28" s="1"/>
  <c r="P33" i="28"/>
  <c r="O33" i="28"/>
  <c r="N33" i="28"/>
  <c r="M33" i="28"/>
  <c r="L33" i="28"/>
  <c r="K33" i="28"/>
  <c r="J33" i="28"/>
  <c r="I33" i="28"/>
  <c r="H33" i="28"/>
  <c r="G33" i="28"/>
  <c r="F33" i="28"/>
  <c r="E33" i="28"/>
  <c r="B10" i="29"/>
  <c r="C8" i="29" s="1"/>
  <c r="C10" i="29" s="1"/>
  <c r="D8" i="29" s="1"/>
  <c r="D10" i="29" s="1"/>
  <c r="E8" i="29" s="1"/>
  <c r="E10" i="29" s="1"/>
  <c r="F8" i="29" s="1"/>
  <c r="F10" i="29" s="1"/>
  <c r="G8" i="29" s="1"/>
  <c r="G10" i="29" s="1"/>
  <c r="H8" i="29" s="1"/>
  <c r="H10" i="29" s="1"/>
  <c r="I8" i="29" s="1"/>
  <c r="I10" i="29" s="1"/>
  <c r="J8" i="29" s="1"/>
  <c r="J10" i="29" s="1"/>
  <c r="K8" i="29" s="1"/>
  <c r="K10" i="29" s="1"/>
  <c r="L8" i="29" s="1"/>
  <c r="L10" i="29" s="1"/>
  <c r="M8" i="29" s="1"/>
  <c r="M10" i="29" s="1"/>
  <c r="N8" i="29" s="1"/>
  <c r="N10" i="29" s="1"/>
  <c r="O8" i="29" s="1"/>
  <c r="O10" i="29" s="1"/>
  <c r="B38" i="29"/>
  <c r="O5" i="29"/>
  <c r="N5" i="29"/>
  <c r="M5" i="29"/>
  <c r="L5" i="29"/>
  <c r="K5" i="29"/>
  <c r="J5" i="29"/>
  <c r="I5" i="29"/>
  <c r="H5" i="29"/>
  <c r="G5" i="29"/>
  <c r="F5" i="29"/>
  <c r="E5" i="29"/>
  <c r="D5" i="29"/>
  <c r="C5" i="29"/>
  <c r="B45" i="29"/>
  <c r="C18" i="28"/>
  <c r="F54" i="27"/>
  <c r="G52" i="27"/>
  <c r="D52" i="27"/>
  <c r="D39" i="27"/>
  <c r="D26" i="27"/>
  <c r="G39" i="27"/>
  <c r="G26" i="27"/>
  <c r="B19" i="29" s="1"/>
  <c r="B20" i="31" s="1"/>
  <c r="F80" i="26"/>
  <c r="D78" i="26"/>
  <c r="G78" i="26"/>
  <c r="D65" i="26"/>
  <c r="G65" i="26"/>
  <c r="D52" i="26"/>
  <c r="D39" i="26"/>
  <c r="D26" i="26"/>
  <c r="G26" i="26"/>
  <c r="B18" i="29" s="1"/>
  <c r="B19" i="31" s="1"/>
  <c r="F94" i="25"/>
  <c r="G92" i="25"/>
  <c r="D92" i="25"/>
  <c r="D79" i="25"/>
  <c r="D66" i="25"/>
  <c r="D53" i="25"/>
  <c r="D40" i="25"/>
  <c r="D27" i="25"/>
  <c r="R15" i="24"/>
  <c r="R32" i="24"/>
  <c r="R16" i="24"/>
  <c r="R14" i="24"/>
  <c r="D10" i="24"/>
  <c r="D59" i="24" s="1"/>
  <c r="D67" i="24" s="1"/>
  <c r="D36" i="21"/>
  <c r="E36" i="21"/>
  <c r="F36" i="21"/>
  <c r="G36" i="21"/>
  <c r="H36" i="21"/>
  <c r="I36" i="21"/>
  <c r="C36" i="21"/>
  <c r="I12" i="16"/>
  <c r="F11" i="19"/>
  <c r="E11" i="19"/>
  <c r="D6" i="21"/>
  <c r="E6" i="21"/>
  <c r="F6" i="21"/>
  <c r="G6" i="21"/>
  <c r="H6" i="21"/>
  <c r="I6" i="21"/>
  <c r="J6" i="21"/>
  <c r="K6" i="21"/>
  <c r="L6" i="21"/>
  <c r="M6" i="21"/>
  <c r="N6" i="21"/>
  <c r="O6" i="21"/>
  <c r="C6" i="21"/>
  <c r="D40" i="20"/>
  <c r="P32" i="20"/>
  <c r="O32" i="20"/>
  <c r="O12" i="47" s="1"/>
  <c r="N32" i="20"/>
  <c r="N12" i="47" s="1"/>
  <c r="P22" i="20"/>
  <c r="Q38" i="20" s="1"/>
  <c r="O7" i="20"/>
  <c r="O22" i="20" s="1"/>
  <c r="P38" i="20" s="1"/>
  <c r="N7" i="20"/>
  <c r="N22" i="20" s="1"/>
  <c r="O38" i="20" s="1"/>
  <c r="M7" i="20"/>
  <c r="M22" i="20" s="1"/>
  <c r="N38" i="20" s="1"/>
  <c r="L7" i="20"/>
  <c r="L22" i="20" s="1"/>
  <c r="M38" i="20" s="1"/>
  <c r="K7" i="20"/>
  <c r="K22" i="20" s="1"/>
  <c r="L38" i="20" s="1"/>
  <c r="J7" i="20"/>
  <c r="J22" i="20" s="1"/>
  <c r="K38" i="20" s="1"/>
  <c r="I7" i="20"/>
  <c r="I22" i="20" s="1"/>
  <c r="J38" i="20" s="1"/>
  <c r="H7" i="20"/>
  <c r="H22" i="20" s="1"/>
  <c r="I38" i="20" s="1"/>
  <c r="G7" i="20"/>
  <c r="G22" i="20" s="1"/>
  <c r="H38" i="20" s="1"/>
  <c r="F7" i="20"/>
  <c r="F22" i="20" s="1"/>
  <c r="G38" i="20" s="1"/>
  <c r="E7" i="20"/>
  <c r="E22" i="20" s="1"/>
  <c r="F38" i="20" s="1"/>
  <c r="D7" i="20"/>
  <c r="D22" i="20" s="1"/>
  <c r="E38" i="20" s="1"/>
  <c r="C7" i="20"/>
  <c r="C22" i="20" s="1"/>
  <c r="D38" i="20" s="1"/>
  <c r="M32" i="20"/>
  <c r="M12" i="47" s="1"/>
  <c r="L32" i="20"/>
  <c r="L12" i="47" s="1"/>
  <c r="K32" i="20"/>
  <c r="K12" i="47" s="1"/>
  <c r="J32" i="20"/>
  <c r="J12" i="47" s="1"/>
  <c r="I32" i="20"/>
  <c r="I12" i="47" s="1"/>
  <c r="H32" i="20"/>
  <c r="H12" i="47" s="1"/>
  <c r="G32" i="20"/>
  <c r="G12" i="47" s="1"/>
  <c r="F32" i="20"/>
  <c r="F12" i="47" s="1"/>
  <c r="C47" i="24"/>
  <c r="G39" i="26"/>
  <c r="G52" i="26"/>
  <c r="J36" i="21"/>
  <c r="K36" i="21"/>
  <c r="M36" i="21"/>
  <c r="N36" i="21"/>
  <c r="O36" i="21"/>
  <c r="G53" i="17"/>
  <c r="G66" i="17"/>
  <c r="G79" i="17"/>
  <c r="H15" i="17"/>
  <c r="D170" i="17"/>
  <c r="D182" i="17" s="1"/>
  <c r="D157" i="17"/>
  <c r="D144" i="17"/>
  <c r="D131" i="17"/>
  <c r="D118" i="17"/>
  <c r="D105" i="17"/>
  <c r="D92" i="17"/>
  <c r="D79" i="17"/>
  <c r="D66" i="17"/>
  <c r="D53" i="17"/>
  <c r="D40" i="17"/>
  <c r="D27" i="17"/>
  <c r="H16" i="18"/>
  <c r="H15" i="18"/>
  <c r="G182" i="18"/>
  <c r="N26" i="21" s="1"/>
  <c r="G170" i="18"/>
  <c r="M26" i="21" s="1"/>
  <c r="G157" i="18"/>
  <c r="L26" i="21" s="1"/>
  <c r="G144" i="18"/>
  <c r="K26" i="21" s="1"/>
  <c r="G131" i="18"/>
  <c r="J26" i="21" s="1"/>
  <c r="G118" i="18"/>
  <c r="I26" i="21" s="1"/>
  <c r="G105" i="18"/>
  <c r="H26" i="21" s="1"/>
  <c r="G92" i="18"/>
  <c r="G79" i="18"/>
  <c r="G66" i="18"/>
  <c r="G53" i="18"/>
  <c r="G40" i="18"/>
  <c r="D26" i="21" s="1"/>
  <c r="C13" i="45" s="1"/>
  <c r="C15" i="45" s="1"/>
  <c r="G27" i="18"/>
  <c r="C26" i="21" s="1"/>
  <c r="L28" i="17"/>
  <c r="N26" i="17"/>
  <c r="N25" i="17"/>
  <c r="N24" i="17"/>
  <c r="N23" i="17"/>
  <c r="N22" i="17"/>
  <c r="N21" i="17"/>
  <c r="M27" i="18"/>
  <c r="O25" i="18"/>
  <c r="O24" i="18"/>
  <c r="O23" i="18"/>
  <c r="O22" i="18"/>
  <c r="O21" i="18"/>
  <c r="O20" i="18"/>
  <c r="L61" i="18"/>
  <c r="L59" i="18"/>
  <c r="L60" i="18"/>
  <c r="L58" i="18"/>
  <c r="L57" i="18"/>
  <c r="K64" i="18"/>
  <c r="M40" i="18"/>
  <c r="D182" i="18"/>
  <c r="D170" i="18"/>
  <c r="D157" i="18"/>
  <c r="D144" i="18"/>
  <c r="D131" i="18"/>
  <c r="D118" i="18"/>
  <c r="D105" i="18"/>
  <c r="D92" i="18"/>
  <c r="D79" i="18"/>
  <c r="D66" i="18"/>
  <c r="D53" i="18"/>
  <c r="D40" i="18"/>
  <c r="D27" i="18"/>
  <c r="M42" i="17"/>
  <c r="E21" i="30" l="1"/>
  <c r="I13" i="45"/>
  <c r="J31" i="41"/>
  <c r="J12" i="41"/>
  <c r="M13" i="45"/>
  <c r="N31" i="41"/>
  <c r="N12" i="41"/>
  <c r="F8" i="24"/>
  <c r="F8" i="30" s="1"/>
  <c r="E8" i="30"/>
  <c r="F27" i="24"/>
  <c r="E27" i="30"/>
  <c r="M39" i="24"/>
  <c r="M38" i="30"/>
  <c r="G66" i="25"/>
  <c r="K31" i="41"/>
  <c r="K12" i="41"/>
  <c r="J39" i="24"/>
  <c r="J38" i="30"/>
  <c r="N39" i="24"/>
  <c r="N38" i="30"/>
  <c r="F21" i="30"/>
  <c r="C26" i="29"/>
  <c r="D13" i="30"/>
  <c r="E15" i="24"/>
  <c r="E15" i="30" s="1"/>
  <c r="D40" i="29"/>
  <c r="D48" i="31" s="1"/>
  <c r="E7" i="30"/>
  <c r="H31" i="41"/>
  <c r="H12" i="41"/>
  <c r="K13" i="45"/>
  <c r="L31" i="41"/>
  <c r="L12" i="41"/>
  <c r="K39" i="24"/>
  <c r="K38" i="30"/>
  <c r="O39" i="24"/>
  <c r="O38" i="30"/>
  <c r="B103" i="31"/>
  <c r="H13" i="45"/>
  <c r="I31" i="41"/>
  <c r="I50" i="41" s="1"/>
  <c r="I12" i="41"/>
  <c r="L13" i="45"/>
  <c r="M31" i="41"/>
  <c r="M12" i="41"/>
  <c r="F26" i="24"/>
  <c r="F26" i="30" s="1"/>
  <c r="E26" i="30"/>
  <c r="L39" i="24"/>
  <c r="L38" i="30"/>
  <c r="P39" i="24"/>
  <c r="P38" i="30"/>
  <c r="B66" i="29"/>
  <c r="O44" i="31"/>
  <c r="K44" i="31"/>
  <c r="H44" i="31"/>
  <c r="H46" i="31" s="1"/>
  <c r="D44" i="31"/>
  <c r="D46" i="31" s="1"/>
  <c r="N44" i="31"/>
  <c r="J44" i="31"/>
  <c r="G44" i="31"/>
  <c r="G46" i="31" s="1"/>
  <c r="M44" i="31"/>
  <c r="I44" i="31"/>
  <c r="F44" i="31"/>
  <c r="F46" i="31" s="1"/>
  <c r="D38" i="29"/>
  <c r="L44" i="31"/>
  <c r="E44" i="31"/>
  <c r="E46" i="31" s="1"/>
  <c r="B70" i="32"/>
  <c r="B83" i="32" s="1"/>
  <c r="B28" i="45"/>
  <c r="D38" i="30"/>
  <c r="C28" i="32" s="1"/>
  <c r="C28" i="45"/>
  <c r="E38" i="30"/>
  <c r="I9" i="19"/>
  <c r="C85" i="45"/>
  <c r="D59" i="21"/>
  <c r="D62" i="21" s="1"/>
  <c r="D69" i="21" s="1"/>
  <c r="D71" i="21" s="1"/>
  <c r="D11" i="47" s="1"/>
  <c r="D184" i="18"/>
  <c r="G13" i="45"/>
  <c r="G184" i="17"/>
  <c r="F22" i="24"/>
  <c r="F22" i="30" s="1"/>
  <c r="C53" i="31"/>
  <c r="B85" i="45"/>
  <c r="D184" i="17"/>
  <c r="J13" i="45"/>
  <c r="C27" i="21"/>
  <c r="B72" i="45" s="1"/>
  <c r="B87" i="45" s="1"/>
  <c r="B13" i="45"/>
  <c r="B15" i="45" s="1"/>
  <c r="O16" i="19"/>
  <c r="M38" i="21"/>
  <c r="M58" i="21" s="1"/>
  <c r="K14" i="36"/>
  <c r="I16" i="36"/>
  <c r="J16" i="36"/>
  <c r="M14" i="36"/>
  <c r="L14" i="36"/>
  <c r="G26" i="21"/>
  <c r="G184" i="18"/>
  <c r="O14" i="19"/>
  <c r="O17" i="19"/>
  <c r="O20" i="36"/>
  <c r="O25" i="36"/>
  <c r="O24" i="36"/>
  <c r="O26" i="36"/>
  <c r="M28" i="36"/>
  <c r="D36" i="36" s="1"/>
  <c r="E34" i="36"/>
  <c r="H8" i="19" s="1"/>
  <c r="N28" i="36"/>
  <c r="N34" i="36"/>
  <c r="Q8" i="19" s="1"/>
  <c r="O33" i="19"/>
  <c r="N32" i="30" s="1"/>
  <c r="H34" i="36"/>
  <c r="K8" i="19" s="1"/>
  <c r="K34" i="36"/>
  <c r="N8" i="19" s="1"/>
  <c r="I34" i="36"/>
  <c r="L8" i="19" s="1"/>
  <c r="J34" i="36"/>
  <c r="M8" i="19" s="1"/>
  <c r="O57" i="19"/>
  <c r="G34" i="36"/>
  <c r="J8" i="19" s="1"/>
  <c r="M34" i="36"/>
  <c r="P8" i="19" s="1"/>
  <c r="F34" i="36"/>
  <c r="I8" i="19" s="1"/>
  <c r="D34" i="36"/>
  <c r="G8" i="19" s="1"/>
  <c r="E16" i="24"/>
  <c r="E16" i="30" s="1"/>
  <c r="F7" i="24"/>
  <c r="O36" i="31"/>
  <c r="H17" i="17"/>
  <c r="I17" i="17" s="1"/>
  <c r="C18" i="17" s="1"/>
  <c r="D49" i="31"/>
  <c r="G53" i="25"/>
  <c r="D28" i="29" s="1"/>
  <c r="D36" i="31" s="1"/>
  <c r="H199" i="34"/>
  <c r="H14" i="27"/>
  <c r="H198" i="34"/>
  <c r="H201" i="34" s="1"/>
  <c r="I14" i="27"/>
  <c r="C15" i="27" s="1"/>
  <c r="E15" i="27" s="1"/>
  <c r="H15" i="27" s="1"/>
  <c r="G27" i="25"/>
  <c r="N28" i="17"/>
  <c r="D94" i="25"/>
  <c r="E14" i="24"/>
  <c r="E14" i="30" s="1"/>
  <c r="E13" i="24"/>
  <c r="G40" i="25"/>
  <c r="H17" i="18"/>
  <c r="I17" i="18" s="1"/>
  <c r="C18" i="18" s="1"/>
  <c r="D48" i="20"/>
  <c r="E18" i="19" s="1"/>
  <c r="E46" i="20"/>
  <c r="E48" i="20" s="1"/>
  <c r="F18" i="19" s="1"/>
  <c r="B2" i="42"/>
  <c r="B2" i="16"/>
  <c r="D6" i="43"/>
  <c r="G21" i="24"/>
  <c r="G21" i="30" s="1"/>
  <c r="G26" i="24"/>
  <c r="E26" i="21"/>
  <c r="I36" i="31"/>
  <c r="M36" i="31"/>
  <c r="D27" i="21"/>
  <c r="C72" i="45" s="1"/>
  <c r="C87" i="45" s="1"/>
  <c r="L36" i="31"/>
  <c r="E10" i="24"/>
  <c r="E59" i="24" s="1"/>
  <c r="E67" i="24" s="1"/>
  <c r="F26" i="21"/>
  <c r="J36" i="31"/>
  <c r="N36" i="31"/>
  <c r="G80" i="26"/>
  <c r="D54" i="27"/>
  <c r="G38" i="29"/>
  <c r="F19" i="24"/>
  <c r="F19" i="30" s="1"/>
  <c r="D41" i="29"/>
  <c r="G79" i="25"/>
  <c r="F28" i="29" s="1"/>
  <c r="F39" i="19"/>
  <c r="C31" i="45" s="1"/>
  <c r="B2" i="36"/>
  <c r="B2" i="40"/>
  <c r="B2" i="41"/>
  <c r="C44" i="31"/>
  <c r="C46" i="31" s="1"/>
  <c r="C38" i="29"/>
  <c r="G54" i="27"/>
  <c r="F38" i="29"/>
  <c r="N15" i="39"/>
  <c r="J15" i="39"/>
  <c r="G28" i="29"/>
  <c r="G36" i="31" s="1"/>
  <c r="H12" i="48" s="1"/>
  <c r="D80" i="26"/>
  <c r="L64" i="18"/>
  <c r="O27" i="18"/>
  <c r="F24" i="24"/>
  <c r="F24" i="30" s="1"/>
  <c r="G27" i="24"/>
  <c r="B28" i="29"/>
  <c r="B36" i="31" s="1"/>
  <c r="C12" i="48" s="1"/>
  <c r="B17" i="29"/>
  <c r="B18" i="31" s="1"/>
  <c r="E28" i="29"/>
  <c r="C28" i="29"/>
  <c r="C36" i="31" s="1"/>
  <c r="O15" i="39"/>
  <c r="M13" i="39"/>
  <c r="M24" i="39" s="1"/>
  <c r="K15" i="39"/>
  <c r="I13" i="39"/>
  <c r="I24" i="39" s="1"/>
  <c r="G15" i="39"/>
  <c r="G13" i="39"/>
  <c r="G24" i="39" s="1"/>
  <c r="F13" i="39"/>
  <c r="F24" i="39" s="1"/>
  <c r="E13" i="39"/>
  <c r="E24" i="39" s="1"/>
  <c r="M15" i="39"/>
  <c r="I15" i="39"/>
  <c r="C85" i="32"/>
  <c r="H14" i="26"/>
  <c r="I14" i="26" s="1"/>
  <c r="C15" i="26" s="1"/>
  <c r="F15" i="26" s="1"/>
  <c r="I15" i="26" s="1"/>
  <c r="C16" i="26" s="1"/>
  <c r="L15" i="39"/>
  <c r="H15" i="39"/>
  <c r="F15" i="39"/>
  <c r="E15" i="39"/>
  <c r="D15" i="39"/>
  <c r="C45" i="29"/>
  <c r="F15" i="25"/>
  <c r="H15" i="25"/>
  <c r="O8" i="36"/>
  <c r="O12" i="36" s="1"/>
  <c r="M12" i="36"/>
  <c r="K36" i="31"/>
  <c r="L12" i="48" s="1"/>
  <c r="H36" i="31"/>
  <c r="I12" i="48" s="1"/>
  <c r="D10" i="30"/>
  <c r="D54" i="30" s="1"/>
  <c r="D61" i="30" s="1"/>
  <c r="K32" i="18"/>
  <c r="K30" i="31"/>
  <c r="L8" i="31"/>
  <c r="L10" i="31" s="1"/>
  <c r="K12" i="31"/>
  <c r="E38" i="29"/>
  <c r="N21" i="31"/>
  <c r="M21" i="31"/>
  <c r="G21" i="31"/>
  <c r="L21" i="31"/>
  <c r="H21" i="31"/>
  <c r="J21" i="31"/>
  <c r="I21" i="31"/>
  <c r="O21" i="31"/>
  <c r="K21" i="31"/>
  <c r="E39" i="19"/>
  <c r="B31" i="45" s="1"/>
  <c r="D43" i="21"/>
  <c r="H38" i="29"/>
  <c r="D49" i="28"/>
  <c r="C18" i="30" s="1"/>
  <c r="C30" i="24"/>
  <c r="C34" i="24" s="1"/>
  <c r="K32" i="17"/>
  <c r="F35" i="31"/>
  <c r="C43" i="21"/>
  <c r="C9" i="20"/>
  <c r="G8" i="24" l="1"/>
  <c r="F31" i="41"/>
  <c r="F12" i="41"/>
  <c r="F14" i="24"/>
  <c r="E40" i="29"/>
  <c r="F7" i="30"/>
  <c r="L50" i="41"/>
  <c r="K50" i="41"/>
  <c r="D26" i="29"/>
  <c r="D29" i="29" s="1"/>
  <c r="D69" i="29" s="1"/>
  <c r="E13" i="30"/>
  <c r="E31" i="41"/>
  <c r="E12" i="41"/>
  <c r="J50" i="41"/>
  <c r="D49" i="21"/>
  <c r="D48" i="21"/>
  <c r="C49" i="21"/>
  <c r="C48" i="21"/>
  <c r="H8" i="24"/>
  <c r="H8" i="30" s="1"/>
  <c r="G8" i="30"/>
  <c r="G31" i="41"/>
  <c r="G12" i="41"/>
  <c r="M50" i="41"/>
  <c r="H50" i="41"/>
  <c r="G22" i="24"/>
  <c r="G22" i="30" s="1"/>
  <c r="F27" i="30"/>
  <c r="D7" i="43" s="1"/>
  <c r="N50" i="41"/>
  <c r="C103" i="31"/>
  <c r="C66" i="29"/>
  <c r="L31" i="48"/>
  <c r="C13" i="32"/>
  <c r="D12" i="48"/>
  <c r="J13" i="32"/>
  <c r="K12" i="48"/>
  <c r="M13" i="32"/>
  <c r="N12" i="48"/>
  <c r="H31" i="48"/>
  <c r="I13" i="32"/>
  <c r="J12" i="48"/>
  <c r="I31" i="48"/>
  <c r="C14" i="48"/>
  <c r="C31" i="48"/>
  <c r="N13" i="32"/>
  <c r="O12" i="48"/>
  <c r="L13" i="32"/>
  <c r="M12" i="48"/>
  <c r="D13" i="32"/>
  <c r="E12" i="48"/>
  <c r="O13" i="32"/>
  <c r="P12" i="48"/>
  <c r="H14" i="19"/>
  <c r="G38" i="21"/>
  <c r="G58" i="21" s="1"/>
  <c r="D28" i="32"/>
  <c r="L25" i="39"/>
  <c r="J9" i="19"/>
  <c r="L12" i="39"/>
  <c r="L23" i="39" s="1"/>
  <c r="C23" i="30"/>
  <c r="C28" i="30" s="1"/>
  <c r="C30" i="30" s="1"/>
  <c r="C34" i="30" s="1"/>
  <c r="E19" i="19"/>
  <c r="E24" i="19" s="1"/>
  <c r="E29" i="19" s="1"/>
  <c r="E31" i="19" s="1"/>
  <c r="C9" i="47"/>
  <c r="F38" i="21"/>
  <c r="F58" i="21" s="1"/>
  <c r="F24" i="21"/>
  <c r="F65" i="21" s="1"/>
  <c r="F67" i="21" s="1"/>
  <c r="F19" i="19"/>
  <c r="F24" i="19" s="1"/>
  <c r="F29" i="19" s="1"/>
  <c r="F31" i="19" s="1"/>
  <c r="F59" i="19" s="1"/>
  <c r="D9" i="47"/>
  <c r="C41" i="24"/>
  <c r="C45" i="24" s="1"/>
  <c r="C62" i="24" s="1"/>
  <c r="C66" i="24" s="1"/>
  <c r="C60" i="24"/>
  <c r="C64" i="24" s="1"/>
  <c r="C61" i="24"/>
  <c r="C65" i="24" s="1"/>
  <c r="F10" i="24"/>
  <c r="F59" i="24" s="1"/>
  <c r="F67" i="24" s="1"/>
  <c r="B11" i="29"/>
  <c r="B13" i="31" s="1"/>
  <c r="B56" i="29"/>
  <c r="C70" i="45"/>
  <c r="G94" i="25"/>
  <c r="F13" i="24"/>
  <c r="B70" i="45"/>
  <c r="P12" i="41"/>
  <c r="D13" i="45"/>
  <c r="F16" i="24"/>
  <c r="E13" i="45"/>
  <c r="F13" i="45"/>
  <c r="J17" i="36"/>
  <c r="I17" i="36"/>
  <c r="J16" i="19"/>
  <c r="H38" i="21"/>
  <c r="H58" i="21" s="1"/>
  <c r="L16" i="19"/>
  <c r="J38" i="21"/>
  <c r="J58" i="21" s="1"/>
  <c r="Q16" i="19"/>
  <c r="O38" i="21"/>
  <c r="O58" i="21" s="1"/>
  <c r="L16" i="36"/>
  <c r="L17" i="36" s="1"/>
  <c r="L15" i="36"/>
  <c r="K16" i="36"/>
  <c r="K17" i="36" s="1"/>
  <c r="K15" i="36"/>
  <c r="P16" i="19"/>
  <c r="N38" i="21"/>
  <c r="N58" i="21" s="1"/>
  <c r="N16" i="19"/>
  <c r="L38" i="21"/>
  <c r="L58" i="21" s="1"/>
  <c r="O26" i="19"/>
  <c r="N25" i="30" s="1"/>
  <c r="O28" i="19"/>
  <c r="O25" i="19"/>
  <c r="M24" i="21"/>
  <c r="O27" i="19"/>
  <c r="M16" i="36"/>
  <c r="M17" i="36" s="1"/>
  <c r="M15" i="36"/>
  <c r="M16" i="19"/>
  <c r="K38" i="21"/>
  <c r="K58" i="21" s="1"/>
  <c r="K16" i="19"/>
  <c r="I38" i="21"/>
  <c r="I58" i="21" s="1"/>
  <c r="H17" i="19"/>
  <c r="H16" i="19"/>
  <c r="I16" i="19"/>
  <c r="I14" i="19"/>
  <c r="M14" i="19"/>
  <c r="M17" i="19"/>
  <c r="J14" i="19"/>
  <c r="J17" i="19"/>
  <c r="L14" i="19"/>
  <c r="L17" i="19"/>
  <c r="Q14" i="19"/>
  <c r="Q17" i="19"/>
  <c r="P14" i="19"/>
  <c r="P17" i="19"/>
  <c r="K14" i="19"/>
  <c r="K17" i="19"/>
  <c r="I17" i="19"/>
  <c r="N14" i="19"/>
  <c r="N17" i="19"/>
  <c r="G14" i="19"/>
  <c r="F13" i="30" s="1"/>
  <c r="H33" i="19"/>
  <c r="G32" i="30" s="1"/>
  <c r="O28" i="36"/>
  <c r="E36" i="36"/>
  <c r="H57" i="19"/>
  <c r="H11" i="19"/>
  <c r="E5" i="39" s="1"/>
  <c r="N36" i="36"/>
  <c r="J36" i="36"/>
  <c r="I36" i="36"/>
  <c r="K36" i="36"/>
  <c r="F36" i="36"/>
  <c r="L36" i="36"/>
  <c r="G17" i="19"/>
  <c r="G36" i="36"/>
  <c r="M36" i="36"/>
  <c r="H36" i="36"/>
  <c r="O25" i="39"/>
  <c r="G57" i="19"/>
  <c r="I57" i="19"/>
  <c r="I11" i="19"/>
  <c r="F5" i="39" s="1"/>
  <c r="I33" i="19"/>
  <c r="H32" i="30" s="1"/>
  <c r="N57" i="19"/>
  <c r="O63" i="19" s="1"/>
  <c r="Q57" i="19"/>
  <c r="N33" i="19"/>
  <c r="M32" i="30" s="1"/>
  <c r="Q33" i="19"/>
  <c r="P32" i="30" s="1"/>
  <c r="K57" i="19"/>
  <c r="G11" i="19"/>
  <c r="D5" i="39" s="1"/>
  <c r="L57" i="19"/>
  <c r="G33" i="19"/>
  <c r="F32" i="30" s="1"/>
  <c r="M33" i="19"/>
  <c r="L32" i="30" s="1"/>
  <c r="M57" i="19"/>
  <c r="M63" i="19" s="1"/>
  <c r="P57" i="19"/>
  <c r="P63" i="19" s="1"/>
  <c r="P33" i="19"/>
  <c r="O32" i="30" s="1"/>
  <c r="J11" i="19"/>
  <c r="G5" i="39" s="1"/>
  <c r="L33" i="19"/>
  <c r="K32" i="30" s="1"/>
  <c r="K33" i="19"/>
  <c r="J32" i="30" s="1"/>
  <c r="L14" i="39"/>
  <c r="J57" i="19"/>
  <c r="J63" i="19" s="1"/>
  <c r="E38" i="21"/>
  <c r="O12" i="39"/>
  <c r="O23" i="39" s="1"/>
  <c r="G16" i="19"/>
  <c r="J33" i="19"/>
  <c r="I32" i="30" s="1"/>
  <c r="F10" i="30"/>
  <c r="D45" i="29"/>
  <c r="E10" i="30"/>
  <c r="E54" i="30" s="1"/>
  <c r="E61" i="30" s="1"/>
  <c r="F15" i="24"/>
  <c r="G7" i="24"/>
  <c r="E36" i="31"/>
  <c r="G28" i="32"/>
  <c r="F15" i="43"/>
  <c r="M28" i="32"/>
  <c r="L15" i="43"/>
  <c r="O28" i="32"/>
  <c r="N15" i="43"/>
  <c r="F28" i="32"/>
  <c r="E15" i="43"/>
  <c r="J28" i="32"/>
  <c r="I15" i="43"/>
  <c r="N28" i="32"/>
  <c r="M15" i="43"/>
  <c r="L28" i="32"/>
  <c r="K15" i="43"/>
  <c r="E28" i="32"/>
  <c r="D15" i="43"/>
  <c r="H28" i="32"/>
  <c r="G15" i="43"/>
  <c r="I28" i="32"/>
  <c r="H15" i="43"/>
  <c r="K28" i="32"/>
  <c r="J15" i="43"/>
  <c r="E41" i="29"/>
  <c r="E49" i="31"/>
  <c r="D53" i="31"/>
  <c r="F34" i="19"/>
  <c r="E47" i="19"/>
  <c r="F15" i="27"/>
  <c r="I15" i="27" s="1"/>
  <c r="C16" i="27" s="1"/>
  <c r="E16" i="27" s="1"/>
  <c r="F16" i="27" s="1"/>
  <c r="F36" i="31"/>
  <c r="E26" i="29"/>
  <c r="E29" i="29" s="1"/>
  <c r="E69" i="29" s="1"/>
  <c r="F47" i="19"/>
  <c r="C10" i="45" s="1"/>
  <c r="C26" i="45" s="1"/>
  <c r="D15" i="20"/>
  <c r="F46" i="20" s="1"/>
  <c r="E15" i="20" s="1"/>
  <c r="G46" i="20" s="1"/>
  <c r="F15" i="20" s="1"/>
  <c r="H21" i="24"/>
  <c r="H26" i="24"/>
  <c r="C70" i="32"/>
  <c r="C83" i="32" s="1"/>
  <c r="B29" i="29"/>
  <c r="E18" i="17"/>
  <c r="H18" i="17" s="1"/>
  <c r="C29" i="29"/>
  <c r="C69" i="29" s="1"/>
  <c r="C34" i="31"/>
  <c r="B14" i="31"/>
  <c r="B13" i="29"/>
  <c r="E18" i="18"/>
  <c r="F18" i="18" s="1"/>
  <c r="G24" i="24"/>
  <c r="D10" i="43"/>
  <c r="G19" i="24"/>
  <c r="G19" i="30" s="1"/>
  <c r="E16" i="26"/>
  <c r="F16" i="26" s="1"/>
  <c r="B21" i="31"/>
  <c r="B20" i="29"/>
  <c r="B68" i="29" s="1"/>
  <c r="B71" i="29" s="1"/>
  <c r="I15" i="25"/>
  <c r="C16" i="25" s="1"/>
  <c r="F16" i="25" s="1"/>
  <c r="I16" i="25" s="1"/>
  <c r="C17" i="25" s="1"/>
  <c r="H27" i="24"/>
  <c r="H22" i="24"/>
  <c r="K13" i="32"/>
  <c r="H13" i="32"/>
  <c r="G13" i="32"/>
  <c r="L30" i="31"/>
  <c r="M8" i="31"/>
  <c r="M10" i="31" s="1"/>
  <c r="L12" i="31"/>
  <c r="I45" i="31"/>
  <c r="I46" i="31" s="1"/>
  <c r="I38" i="29"/>
  <c r="C47" i="30"/>
  <c r="C49" i="24"/>
  <c r="E40" i="20"/>
  <c r="D9" i="20" s="1"/>
  <c r="B66" i="31" l="1"/>
  <c r="E45" i="29"/>
  <c r="E72" i="29" s="1"/>
  <c r="G10" i="24"/>
  <c r="G59" i="24" s="1"/>
  <c r="G7" i="30"/>
  <c r="G10" i="30" s="1"/>
  <c r="F14" i="30"/>
  <c r="D13" i="43" s="1"/>
  <c r="D24" i="43" s="1"/>
  <c r="I8" i="24"/>
  <c r="I8" i="30" s="1"/>
  <c r="I63" i="19"/>
  <c r="G50" i="41"/>
  <c r="E50" i="41"/>
  <c r="B31" i="29"/>
  <c r="N63" i="19"/>
  <c r="F50" i="41"/>
  <c r="D103" i="31"/>
  <c r="B69" i="29"/>
  <c r="B70" i="29" s="1"/>
  <c r="B72" i="29"/>
  <c r="E66" i="29"/>
  <c r="C52" i="29"/>
  <c r="C72" i="29"/>
  <c r="D72" i="29"/>
  <c r="D66" i="29"/>
  <c r="E31" i="48"/>
  <c r="O31" i="48"/>
  <c r="N31" i="48"/>
  <c r="D31" i="48"/>
  <c r="I50" i="48"/>
  <c r="H50" i="48"/>
  <c r="F13" i="32"/>
  <c r="G12" i="48"/>
  <c r="D70" i="32"/>
  <c r="D83" i="32" s="1"/>
  <c r="P31" i="48"/>
  <c r="M31" i="48"/>
  <c r="C50" i="48"/>
  <c r="C52" i="48" s="1"/>
  <c r="C54" i="48" s="1"/>
  <c r="C33" i="48"/>
  <c r="C35" i="48" s="1"/>
  <c r="J31" i="48"/>
  <c r="K31" i="48"/>
  <c r="E13" i="32"/>
  <c r="F12" i="48"/>
  <c r="L50" i="48"/>
  <c r="L63" i="19"/>
  <c r="D8" i="39"/>
  <c r="D16" i="39"/>
  <c r="Q63" i="19"/>
  <c r="M12" i="39"/>
  <c r="M23" i="39" s="1"/>
  <c r="K63" i="19"/>
  <c r="F58" i="19"/>
  <c r="F25" i="39"/>
  <c r="E25" i="39"/>
  <c r="J12" i="39"/>
  <c r="J23" i="39" s="1"/>
  <c r="D14" i="39"/>
  <c r="F16" i="30"/>
  <c r="H25" i="39"/>
  <c r="N25" i="39"/>
  <c r="G25" i="39"/>
  <c r="K12" i="39"/>
  <c r="K23" i="39" s="1"/>
  <c r="N12" i="39"/>
  <c r="N23" i="39" s="1"/>
  <c r="G12" i="39"/>
  <c r="G23" i="39" s="1"/>
  <c r="K9" i="19"/>
  <c r="K25" i="39"/>
  <c r="F12" i="39"/>
  <c r="H12" i="39"/>
  <c r="H23" i="39" s="1"/>
  <c r="D12" i="39"/>
  <c r="F15" i="30"/>
  <c r="D12" i="43" s="1"/>
  <c r="O23" i="43" s="1"/>
  <c r="D23" i="43" s="1"/>
  <c r="M25" i="39"/>
  <c r="I25" i="39"/>
  <c r="J14" i="39"/>
  <c r="E12" i="39"/>
  <c r="I12" i="39"/>
  <c r="I23" i="39" s="1"/>
  <c r="C41" i="30"/>
  <c r="C45" i="30" s="1"/>
  <c r="C49" i="30" s="1"/>
  <c r="C56" i="30"/>
  <c r="C55" i="30"/>
  <c r="C58" i="30" s="1"/>
  <c r="D5" i="43"/>
  <c r="D8" i="43" s="1"/>
  <c r="F54" i="30"/>
  <c r="F61" i="30" s="1"/>
  <c r="D34" i="31"/>
  <c r="D37" i="31" s="1"/>
  <c r="D109" i="31" s="1"/>
  <c r="G67" i="24"/>
  <c r="M27" i="21"/>
  <c r="M65" i="21"/>
  <c r="M67" i="21" s="1"/>
  <c r="E43" i="21"/>
  <c r="F110" i="48" s="1"/>
  <c r="E58" i="21"/>
  <c r="E62" i="21" s="1"/>
  <c r="F51" i="19"/>
  <c r="B53" i="29"/>
  <c r="E51" i="19"/>
  <c r="B10" i="45"/>
  <c r="B26" i="45" s="1"/>
  <c r="D52" i="29"/>
  <c r="D51" i="29"/>
  <c r="C51" i="29"/>
  <c r="B83" i="45"/>
  <c r="B89" i="45" s="1"/>
  <c r="B74" i="45"/>
  <c r="B52" i="29"/>
  <c r="B51" i="29"/>
  <c r="E52" i="29"/>
  <c r="E51" i="29"/>
  <c r="C83" i="45"/>
  <c r="C89" i="45" s="1"/>
  <c r="C74" i="45"/>
  <c r="N24" i="21"/>
  <c r="P25" i="19"/>
  <c r="P26" i="19"/>
  <c r="O25" i="30" s="1"/>
  <c r="P27" i="19"/>
  <c r="P28" i="19"/>
  <c r="I25" i="19"/>
  <c r="I26" i="19"/>
  <c r="H25" i="30" s="1"/>
  <c r="I28" i="19"/>
  <c r="H27" i="30" s="1"/>
  <c r="I27" i="19"/>
  <c r="H26" i="30" s="1"/>
  <c r="G24" i="21"/>
  <c r="L27" i="19"/>
  <c r="J24" i="21"/>
  <c r="L26" i="19"/>
  <c r="K25" i="30" s="1"/>
  <c r="L28" i="19"/>
  <c r="L25" i="19"/>
  <c r="M26" i="19"/>
  <c r="L25" i="30" s="1"/>
  <c r="K24" i="21"/>
  <c r="M25" i="19"/>
  <c r="M27" i="19"/>
  <c r="M28" i="19"/>
  <c r="N28" i="19"/>
  <c r="N27" i="19"/>
  <c r="L24" i="21"/>
  <c r="N25" i="19"/>
  <c r="N26" i="19"/>
  <c r="M25" i="30" s="1"/>
  <c r="K25" i="19"/>
  <c r="K28" i="19"/>
  <c r="I24" i="21"/>
  <c r="K26" i="19"/>
  <c r="J25" i="30" s="1"/>
  <c r="K27" i="19"/>
  <c r="Q27" i="19"/>
  <c r="O24" i="21"/>
  <c r="Q25" i="19"/>
  <c r="Q26" i="19"/>
  <c r="P25" i="30" s="1"/>
  <c r="Q28" i="19"/>
  <c r="H24" i="21"/>
  <c r="J28" i="19"/>
  <c r="J27" i="19"/>
  <c r="J26" i="19"/>
  <c r="I25" i="30" s="1"/>
  <c r="J25" i="19"/>
  <c r="E24" i="21"/>
  <c r="H28" i="19"/>
  <c r="G27" i="30" s="1"/>
  <c r="H27" i="19"/>
  <c r="G26" i="30" s="1"/>
  <c r="H25" i="19"/>
  <c r="G24" i="30" s="1"/>
  <c r="H26" i="19"/>
  <c r="G25" i="30" s="1"/>
  <c r="E23" i="39"/>
  <c r="E14" i="39"/>
  <c r="H14" i="39"/>
  <c r="F23" i="39"/>
  <c r="F27" i="21"/>
  <c r="M14" i="39"/>
  <c r="D25" i="43"/>
  <c r="F14" i="39"/>
  <c r="D25" i="39"/>
  <c r="O14" i="39"/>
  <c r="N14" i="39"/>
  <c r="I14" i="39"/>
  <c r="J25" i="39"/>
  <c r="E48" i="31"/>
  <c r="E53" i="31" s="1"/>
  <c r="G14" i="39"/>
  <c r="K14" i="39"/>
  <c r="D23" i="39"/>
  <c r="F40" i="29"/>
  <c r="F48" i="31" s="1"/>
  <c r="G13" i="24"/>
  <c r="G13" i="30" s="1"/>
  <c r="G16" i="24"/>
  <c r="G16" i="30" s="1"/>
  <c r="G15" i="24"/>
  <c r="G15" i="30" s="1"/>
  <c r="G14" i="24"/>
  <c r="H7" i="24"/>
  <c r="H7" i="30" s="1"/>
  <c r="F41" i="29"/>
  <c r="E85" i="32"/>
  <c r="D85" i="32"/>
  <c r="F41" i="19"/>
  <c r="F43" i="19" s="1"/>
  <c r="F45" i="19" s="1"/>
  <c r="D53" i="21" s="1"/>
  <c r="F60" i="19"/>
  <c r="D4" i="47" s="1"/>
  <c r="D7" i="47" s="1"/>
  <c r="E34" i="19"/>
  <c r="E59" i="19"/>
  <c r="E58" i="19"/>
  <c r="H46" i="20"/>
  <c r="G15" i="20" s="1"/>
  <c r="I46" i="20" s="1"/>
  <c r="H15" i="20" s="1"/>
  <c r="C37" i="31"/>
  <c r="F18" i="17"/>
  <c r="I18" i="17" s="1"/>
  <c r="C19" i="17" s="1"/>
  <c r="E19" i="17" s="1"/>
  <c r="H19" i="17" s="1"/>
  <c r="I26" i="24"/>
  <c r="I21" i="24"/>
  <c r="J8" i="24"/>
  <c r="J8" i="30" s="1"/>
  <c r="I22" i="24"/>
  <c r="I27" i="24"/>
  <c r="B13" i="32"/>
  <c r="B15" i="32" s="1"/>
  <c r="B37" i="31"/>
  <c r="H16" i="26"/>
  <c r="I16" i="26" s="1"/>
  <c r="C17" i="26" s="1"/>
  <c r="H24" i="24"/>
  <c r="H19" i="24"/>
  <c r="H18" i="18"/>
  <c r="I18" i="18" s="1"/>
  <c r="C19" i="18" s="1"/>
  <c r="B57" i="32"/>
  <c r="B42" i="32"/>
  <c r="B100" i="32"/>
  <c r="B59" i="32"/>
  <c r="E17" i="25"/>
  <c r="F17" i="25" s="1"/>
  <c r="H16" i="27"/>
  <c r="M30" i="31"/>
  <c r="N8" i="31"/>
  <c r="N10" i="31" s="1"/>
  <c r="M12" i="31"/>
  <c r="J45" i="31"/>
  <c r="J46" i="31" s="1"/>
  <c r="J38" i="29"/>
  <c r="F40" i="20"/>
  <c r="E9" i="20" s="1"/>
  <c r="G40" i="20" s="1"/>
  <c r="F9" i="20" s="1"/>
  <c r="C59" i="30" l="1"/>
  <c r="C4" i="49"/>
  <c r="G14" i="30"/>
  <c r="E13" i="43" s="1"/>
  <c r="E24" i="43" s="1"/>
  <c r="B10" i="32"/>
  <c r="B26" i="32" s="1"/>
  <c r="B69" i="31"/>
  <c r="C8" i="48"/>
  <c r="C10" i="48" s="1"/>
  <c r="C16" i="48" s="1"/>
  <c r="F19" i="48" s="1"/>
  <c r="B106" i="31"/>
  <c r="B109" i="31"/>
  <c r="E72" i="45"/>
  <c r="E87" i="45" s="1"/>
  <c r="G112" i="48"/>
  <c r="I26" i="30"/>
  <c r="H24" i="30"/>
  <c r="F10" i="43" s="1"/>
  <c r="M112" i="41"/>
  <c r="N112" i="48"/>
  <c r="C106" i="31"/>
  <c r="C109" i="31"/>
  <c r="I27" i="30"/>
  <c r="D72" i="32"/>
  <c r="D74" i="32" s="1"/>
  <c r="D106" i="31"/>
  <c r="B39" i="31"/>
  <c r="B67" i="31" s="1"/>
  <c r="E103" i="31"/>
  <c r="B74" i="29"/>
  <c r="B73" i="29"/>
  <c r="B72" i="32"/>
  <c r="B74" i="32" s="1"/>
  <c r="B65" i="31"/>
  <c r="B64" i="31"/>
  <c r="J50" i="48"/>
  <c r="M50" i="48"/>
  <c r="D65" i="31"/>
  <c r="D50" i="48"/>
  <c r="C72" i="32"/>
  <c r="C87" i="32" s="1"/>
  <c r="C89" i="32" s="1"/>
  <c r="C64" i="31"/>
  <c r="C65" i="31"/>
  <c r="E70" i="32"/>
  <c r="E83" i="32" s="1"/>
  <c r="O50" i="48"/>
  <c r="F31" i="48"/>
  <c r="Q12" i="48"/>
  <c r="K50" i="48"/>
  <c r="P50" i="48"/>
  <c r="G31" i="48"/>
  <c r="D64" i="31"/>
  <c r="N50" i="48"/>
  <c r="E50" i="48"/>
  <c r="E12" i="43"/>
  <c r="P23" i="43" s="1"/>
  <c r="E23" i="43" s="1"/>
  <c r="L9" i="19"/>
  <c r="K11" i="19"/>
  <c r="H5" i="39" s="1"/>
  <c r="E5" i="43"/>
  <c r="G54" i="30"/>
  <c r="G61" i="30" s="1"/>
  <c r="C57" i="30"/>
  <c r="C60" i="30" s="1"/>
  <c r="B9" i="32"/>
  <c r="F45" i="29"/>
  <c r="L72" i="45"/>
  <c r="L87" i="45" s="1"/>
  <c r="D70" i="45"/>
  <c r="D83" i="45" s="1"/>
  <c r="E110" i="41"/>
  <c r="L27" i="21"/>
  <c r="L65" i="21"/>
  <c r="L67" i="21" s="1"/>
  <c r="G27" i="21"/>
  <c r="G65" i="21"/>
  <c r="G67" i="21" s="1"/>
  <c r="E27" i="21"/>
  <c r="E65" i="21"/>
  <c r="E67" i="21" s="1"/>
  <c r="E69" i="21" s="1"/>
  <c r="E71" i="21" s="1"/>
  <c r="E11" i="47" s="1"/>
  <c r="K27" i="21"/>
  <c r="K65" i="21"/>
  <c r="K67" i="21" s="1"/>
  <c r="N27" i="21"/>
  <c r="N65" i="21"/>
  <c r="N67" i="21" s="1"/>
  <c r="H27" i="21"/>
  <c r="H65" i="21"/>
  <c r="H67" i="21" s="1"/>
  <c r="O27" i="21"/>
  <c r="O65" i="21"/>
  <c r="O67" i="21" s="1"/>
  <c r="I27" i="21"/>
  <c r="I65" i="21"/>
  <c r="I67" i="21" s="1"/>
  <c r="J27" i="21"/>
  <c r="J65" i="21"/>
  <c r="J67" i="21" s="1"/>
  <c r="G112" i="41"/>
  <c r="C9" i="45"/>
  <c r="C25" i="45" s="1"/>
  <c r="B54" i="29"/>
  <c r="B40" i="31"/>
  <c r="E34" i="31"/>
  <c r="E37" i="31" s="1"/>
  <c r="E48" i="21"/>
  <c r="F112" i="41"/>
  <c r="E10" i="43"/>
  <c r="F49" i="31"/>
  <c r="F53" i="31" s="1"/>
  <c r="E6" i="39"/>
  <c r="I22" i="19"/>
  <c r="H21" i="30" s="1"/>
  <c r="E6" i="43"/>
  <c r="E7" i="39"/>
  <c r="I23" i="19"/>
  <c r="H22" i="30" s="1"/>
  <c r="E7" i="43"/>
  <c r="G49" i="31"/>
  <c r="E11" i="39"/>
  <c r="E22" i="39" s="1"/>
  <c r="I21" i="19"/>
  <c r="H20" i="30" s="1"/>
  <c r="E10" i="39"/>
  <c r="I20" i="19"/>
  <c r="H19" i="30" s="1"/>
  <c r="F39" i="21"/>
  <c r="F59" i="21" s="1"/>
  <c r="F62" i="21" s="1"/>
  <c r="F69" i="21" s="1"/>
  <c r="D14" i="43"/>
  <c r="G40" i="29"/>
  <c r="G48" i="31" s="1"/>
  <c r="H15" i="24"/>
  <c r="H13" i="24"/>
  <c r="H13" i="30" s="1"/>
  <c r="H10" i="30"/>
  <c r="I7" i="24"/>
  <c r="I7" i="30" s="1"/>
  <c r="H16" i="24"/>
  <c r="H16" i="30" s="1"/>
  <c r="H10" i="24"/>
  <c r="H59" i="24" s="1"/>
  <c r="H67" i="24" s="1"/>
  <c r="H14" i="24"/>
  <c r="E25" i="43"/>
  <c r="E14" i="43"/>
  <c r="F26" i="29"/>
  <c r="G41" i="29"/>
  <c r="E41" i="19"/>
  <c r="E43" i="19" s="1"/>
  <c r="E45" i="19" s="1"/>
  <c r="C53" i="21" s="1"/>
  <c r="E60" i="19"/>
  <c r="C4" i="47" s="1"/>
  <c r="C7" i="47" s="1"/>
  <c r="F61" i="19"/>
  <c r="D13" i="21"/>
  <c r="F49" i="19"/>
  <c r="D87" i="32"/>
  <c r="D89" i="32" s="1"/>
  <c r="J26" i="24"/>
  <c r="J26" i="30" s="1"/>
  <c r="J21" i="24"/>
  <c r="E19" i="18"/>
  <c r="J46" i="20"/>
  <c r="I15" i="20" s="1"/>
  <c r="J27" i="24"/>
  <c r="J27" i="30" s="1"/>
  <c r="J22" i="24"/>
  <c r="H17" i="25"/>
  <c r="I17" i="25" s="1"/>
  <c r="C18" i="25" s="1"/>
  <c r="I24" i="24"/>
  <c r="I24" i="30" s="1"/>
  <c r="I19" i="24"/>
  <c r="E17" i="26"/>
  <c r="F17" i="26" s="1"/>
  <c r="I16" i="27"/>
  <c r="C17" i="27" s="1"/>
  <c r="F19" i="17"/>
  <c r="I19" i="17" s="1"/>
  <c r="C20" i="17" s="1"/>
  <c r="E20" i="17" s="1"/>
  <c r="K8" i="24"/>
  <c r="K8" i="30" s="1"/>
  <c r="N30" i="31"/>
  <c r="O8" i="31"/>
  <c r="O10" i="31" s="1"/>
  <c r="N12" i="31"/>
  <c r="J35" i="31"/>
  <c r="K45" i="31"/>
  <c r="K46" i="31" s="1"/>
  <c r="K38" i="29"/>
  <c r="B61" i="32"/>
  <c r="H40" i="20"/>
  <c r="G9" i="20" s="1"/>
  <c r="B98" i="32" l="1"/>
  <c r="B102" i="32" s="1"/>
  <c r="B87" i="32"/>
  <c r="B89" i="32" s="1"/>
  <c r="G45" i="29"/>
  <c r="F103" i="31"/>
  <c r="E72" i="32"/>
  <c r="E87" i="32" s="1"/>
  <c r="E89" i="32" s="1"/>
  <c r="E106" i="31"/>
  <c r="I112" i="41"/>
  <c r="J112" i="48"/>
  <c r="G72" i="45"/>
  <c r="G87" i="45" s="1"/>
  <c r="I112" i="48"/>
  <c r="K112" i="41"/>
  <c r="L112" i="48"/>
  <c r="F72" i="45"/>
  <c r="F87" i="45" s="1"/>
  <c r="H112" i="48"/>
  <c r="H14" i="30"/>
  <c r="F13" i="43" s="1"/>
  <c r="F24" i="43" s="1"/>
  <c r="E109" i="31"/>
  <c r="H15" i="30"/>
  <c r="F12" i="43" s="1"/>
  <c r="Q23" i="43" s="1"/>
  <c r="F23" i="43" s="1"/>
  <c r="J112" i="41"/>
  <c r="K112" i="48"/>
  <c r="O112" i="41"/>
  <c r="P112" i="48"/>
  <c r="M72" i="45"/>
  <c r="M87" i="45" s="1"/>
  <c r="O112" i="48"/>
  <c r="D72" i="45"/>
  <c r="D87" i="45" s="1"/>
  <c r="F112" i="48"/>
  <c r="F114" i="48" s="1"/>
  <c r="L112" i="41"/>
  <c r="M112" i="48"/>
  <c r="G66" i="29"/>
  <c r="G68" i="29" s="1"/>
  <c r="F66" i="29"/>
  <c r="C74" i="32"/>
  <c r="B75" i="29"/>
  <c r="F50" i="48"/>
  <c r="E64" i="31"/>
  <c r="G50" i="48"/>
  <c r="F70" i="32"/>
  <c r="F83" i="32" s="1"/>
  <c r="E65" i="31"/>
  <c r="E49" i="21"/>
  <c r="M9" i="19"/>
  <c r="L11" i="19"/>
  <c r="I5" i="39" s="1"/>
  <c r="F5" i="43"/>
  <c r="H54" i="30"/>
  <c r="H61" i="30" s="1"/>
  <c r="B12" i="32"/>
  <c r="B16" i="32" s="1"/>
  <c r="B25" i="32"/>
  <c r="B29" i="32" s="1"/>
  <c r="B33" i="32" s="1"/>
  <c r="K72" i="45"/>
  <c r="K87" i="45" s="1"/>
  <c r="N72" i="45"/>
  <c r="N87" i="45" s="1"/>
  <c r="N112" i="41"/>
  <c r="E112" i="41"/>
  <c r="E114" i="41" s="1"/>
  <c r="I72" i="45"/>
  <c r="I87" i="45" s="1"/>
  <c r="J72" i="45"/>
  <c r="J87" i="45" s="1"/>
  <c r="H72" i="45"/>
  <c r="H87" i="45" s="1"/>
  <c r="D89" i="45"/>
  <c r="H112" i="41"/>
  <c r="F71" i="21"/>
  <c r="F11" i="47" s="1"/>
  <c r="B9" i="45"/>
  <c r="B25" i="45" s="1"/>
  <c r="D74" i="45"/>
  <c r="F43" i="21"/>
  <c r="G110" i="48" s="1"/>
  <c r="G114" i="48" s="1"/>
  <c r="E85" i="45"/>
  <c r="F85" i="32"/>
  <c r="E8" i="43"/>
  <c r="E11" i="43"/>
  <c r="E22" i="43" s="1"/>
  <c r="F7" i="39"/>
  <c r="J23" i="19"/>
  <c r="I22" i="30" s="1"/>
  <c r="F7" i="43"/>
  <c r="E8" i="39"/>
  <c r="F11" i="39"/>
  <c r="F22" i="39" s="1"/>
  <c r="J21" i="19"/>
  <c r="I20" i="30" s="1"/>
  <c r="F6" i="39"/>
  <c r="J22" i="19"/>
  <c r="I21" i="30" s="1"/>
  <c r="F6" i="43"/>
  <c r="F10" i="39"/>
  <c r="J20" i="19"/>
  <c r="I19" i="30" s="1"/>
  <c r="G39" i="21"/>
  <c r="G59" i="21" s="1"/>
  <c r="G62" i="21" s="1"/>
  <c r="G69" i="21" s="1"/>
  <c r="G71" i="21" s="1"/>
  <c r="G11" i="47" s="1"/>
  <c r="F25" i="43"/>
  <c r="F14" i="43"/>
  <c r="H40" i="29"/>
  <c r="H48" i="31" s="1"/>
  <c r="I10" i="30"/>
  <c r="I15" i="24"/>
  <c r="J7" i="24"/>
  <c r="J7" i="30" s="1"/>
  <c r="I10" i="24"/>
  <c r="I59" i="24" s="1"/>
  <c r="I67" i="24" s="1"/>
  <c r="I13" i="24"/>
  <c r="I16" i="24"/>
  <c r="I16" i="30" s="1"/>
  <c r="I14" i="24"/>
  <c r="F34" i="31"/>
  <c r="F37" i="31" s="1"/>
  <c r="F29" i="29"/>
  <c r="F69" i="29" s="1"/>
  <c r="G26" i="29"/>
  <c r="H41" i="29"/>
  <c r="G53" i="31"/>
  <c r="C13" i="21"/>
  <c r="C14" i="21" s="1"/>
  <c r="E61" i="19"/>
  <c r="E49" i="19"/>
  <c r="K21" i="24"/>
  <c r="K26" i="24"/>
  <c r="K26" i="30" s="1"/>
  <c r="K46" i="20"/>
  <c r="J15" i="20" s="1"/>
  <c r="E17" i="27"/>
  <c r="F20" i="17"/>
  <c r="H20" i="17"/>
  <c r="J24" i="24"/>
  <c r="J24" i="30" s="1"/>
  <c r="J19" i="24"/>
  <c r="G10" i="43"/>
  <c r="H19" i="18"/>
  <c r="K27" i="24"/>
  <c r="K27" i="30" s="1"/>
  <c r="K22" i="24"/>
  <c r="E18" i="25"/>
  <c r="F18" i="25" s="1"/>
  <c r="L8" i="24"/>
  <c r="L8" i="30" s="1"/>
  <c r="H17" i="26"/>
  <c r="G85" i="32"/>
  <c r="F19" i="18"/>
  <c r="O30" i="31"/>
  <c r="O12" i="31"/>
  <c r="L45" i="31"/>
  <c r="L46" i="31" s="1"/>
  <c r="L38" i="29"/>
  <c r="I40" i="20"/>
  <c r="H9" i="20" s="1"/>
  <c r="E74" i="32" l="1"/>
  <c r="I14" i="30"/>
  <c r="G13" i="43" s="1"/>
  <c r="G24" i="43" s="1"/>
  <c r="I15" i="30"/>
  <c r="G12" i="43" s="1"/>
  <c r="R23" i="43" s="1"/>
  <c r="G23" i="43" s="1"/>
  <c r="H26" i="29"/>
  <c r="I13" i="30"/>
  <c r="G103" i="31"/>
  <c r="F72" i="32"/>
  <c r="F87" i="32" s="1"/>
  <c r="F89" i="32" s="1"/>
  <c r="F106" i="31"/>
  <c r="F109" i="31"/>
  <c r="F72" i="29"/>
  <c r="G71" i="29"/>
  <c r="F64" i="31"/>
  <c r="F65" i="31"/>
  <c r="G70" i="32"/>
  <c r="G83" i="32" s="1"/>
  <c r="N9" i="19"/>
  <c r="M11" i="19"/>
  <c r="J5" i="39" s="1"/>
  <c r="G5" i="43"/>
  <c r="I54" i="30"/>
  <c r="I61" i="30" s="1"/>
  <c r="H45" i="29"/>
  <c r="F52" i="29"/>
  <c r="F51" i="29"/>
  <c r="D9" i="21"/>
  <c r="B59" i="45"/>
  <c r="B100" i="45"/>
  <c r="G43" i="21"/>
  <c r="F85" i="45"/>
  <c r="F110" i="41"/>
  <c r="F114" i="41" s="1"/>
  <c r="E70" i="45"/>
  <c r="F49" i="21"/>
  <c r="F48" i="21"/>
  <c r="F8" i="43"/>
  <c r="F8" i="39"/>
  <c r="G6" i="39"/>
  <c r="K22" i="19"/>
  <c r="J21" i="30" s="1"/>
  <c r="G6" i="43"/>
  <c r="G11" i="39"/>
  <c r="G22" i="39" s="1"/>
  <c r="K21" i="19"/>
  <c r="J20" i="30" s="1"/>
  <c r="G7" i="39"/>
  <c r="K23" i="19"/>
  <c r="J22" i="30" s="1"/>
  <c r="G7" i="43"/>
  <c r="F11" i="43"/>
  <c r="F22" i="43" s="1"/>
  <c r="H49" i="31"/>
  <c r="H85" i="32" s="1"/>
  <c r="G10" i="39"/>
  <c r="H10" i="43"/>
  <c r="K20" i="19"/>
  <c r="J19" i="30" s="1"/>
  <c r="H39" i="21"/>
  <c r="H59" i="21" s="1"/>
  <c r="H62" i="21" s="1"/>
  <c r="H69" i="21" s="1"/>
  <c r="H71" i="21" s="1"/>
  <c r="H11" i="47" s="1"/>
  <c r="G25" i="43"/>
  <c r="G14" i="43"/>
  <c r="G29" i="29"/>
  <c r="G34" i="31"/>
  <c r="G37" i="31" s="1"/>
  <c r="G109" i="31" s="1"/>
  <c r="I40" i="29"/>
  <c r="I48" i="31" s="1"/>
  <c r="J10" i="24"/>
  <c r="J59" i="24" s="1"/>
  <c r="J67" i="24" s="1"/>
  <c r="J15" i="24"/>
  <c r="J13" i="24"/>
  <c r="K7" i="24"/>
  <c r="K7" i="30" s="1"/>
  <c r="J10" i="30"/>
  <c r="J16" i="24"/>
  <c r="J16" i="30" s="1"/>
  <c r="J14" i="24"/>
  <c r="I41" i="29"/>
  <c r="I20" i="17"/>
  <c r="C21" i="17" s="1"/>
  <c r="E21" i="17" s="1"/>
  <c r="H21" i="17" s="1"/>
  <c r="L21" i="24"/>
  <c r="L26" i="24"/>
  <c r="L26" i="30" s="1"/>
  <c r="I19" i="18"/>
  <c r="C20" i="18" s="1"/>
  <c r="E20" i="18" s="1"/>
  <c r="L27" i="24"/>
  <c r="L27" i="30" s="1"/>
  <c r="L22" i="24"/>
  <c r="H17" i="27"/>
  <c r="H18" i="25"/>
  <c r="F17" i="27"/>
  <c r="M8" i="24"/>
  <c r="M8" i="30" s="1"/>
  <c r="I17" i="26"/>
  <c r="C18" i="26" s="1"/>
  <c r="K24" i="24"/>
  <c r="K24" i="30" s="1"/>
  <c r="K19" i="24"/>
  <c r="L46" i="20"/>
  <c r="K15" i="20" s="1"/>
  <c r="O7" i="39"/>
  <c r="O6" i="39"/>
  <c r="M45" i="31"/>
  <c r="M46" i="31" s="1"/>
  <c r="M38" i="29"/>
  <c r="J40" i="20"/>
  <c r="I9" i="20" s="1"/>
  <c r="F74" i="32" l="1"/>
  <c r="F70" i="45"/>
  <c r="H110" i="48"/>
  <c r="H114" i="48" s="1"/>
  <c r="J14" i="30"/>
  <c r="H13" i="43" s="1"/>
  <c r="H24" i="43" s="1"/>
  <c r="I26" i="29"/>
  <c r="J13" i="30"/>
  <c r="G72" i="32"/>
  <c r="G87" i="32" s="1"/>
  <c r="G89" i="32" s="1"/>
  <c r="G106" i="31"/>
  <c r="I17" i="27"/>
  <c r="C18" i="27" s="1"/>
  <c r="J15" i="30"/>
  <c r="H12" i="43" s="1"/>
  <c r="S23" i="43" s="1"/>
  <c r="H23" i="43" s="1"/>
  <c r="H66" i="29"/>
  <c r="H68" i="29" s="1"/>
  <c r="G69" i="29"/>
  <c r="G70" i="29" s="1"/>
  <c r="G72" i="29"/>
  <c r="G64" i="31"/>
  <c r="G65" i="31"/>
  <c r="N11" i="19"/>
  <c r="K5" i="39" s="1"/>
  <c r="O9" i="19"/>
  <c r="H5" i="43"/>
  <c r="J54" i="30"/>
  <c r="J61" i="30" s="1"/>
  <c r="G52" i="29"/>
  <c r="G51" i="29"/>
  <c r="G49" i="21"/>
  <c r="I45" i="29"/>
  <c r="G48" i="21"/>
  <c r="G110" i="41"/>
  <c r="G114" i="41" s="1"/>
  <c r="E83" i="45"/>
  <c r="E89" i="45" s="1"/>
  <c r="E74" i="45"/>
  <c r="H43" i="21"/>
  <c r="G85" i="45"/>
  <c r="F83" i="45"/>
  <c r="F89" i="45" s="1"/>
  <c r="F74" i="45"/>
  <c r="G8" i="43"/>
  <c r="G8" i="39"/>
  <c r="H53" i="31"/>
  <c r="H7" i="39"/>
  <c r="L23" i="19"/>
  <c r="K22" i="30" s="1"/>
  <c r="H7" i="43"/>
  <c r="H6" i="39"/>
  <c r="L22" i="19"/>
  <c r="K21" i="30" s="1"/>
  <c r="H6" i="43"/>
  <c r="G11" i="43"/>
  <c r="G22" i="43" s="1"/>
  <c r="I49" i="31"/>
  <c r="I85" i="32" s="1"/>
  <c r="H11" i="39"/>
  <c r="H22" i="39" s="1"/>
  <c r="L21" i="19"/>
  <c r="K20" i="30" s="1"/>
  <c r="H10" i="39"/>
  <c r="L20" i="19"/>
  <c r="K19" i="30" s="1"/>
  <c r="I39" i="21"/>
  <c r="I59" i="21" s="1"/>
  <c r="I62" i="21" s="1"/>
  <c r="I69" i="21" s="1"/>
  <c r="I71" i="21" s="1"/>
  <c r="I11" i="47" s="1"/>
  <c r="H29" i="29"/>
  <c r="H69" i="29" s="1"/>
  <c r="H34" i="31"/>
  <c r="H37" i="31" s="1"/>
  <c r="J40" i="29"/>
  <c r="J48" i="31" s="1"/>
  <c r="K13" i="24"/>
  <c r="K15" i="24"/>
  <c r="K10" i="24"/>
  <c r="K59" i="24" s="1"/>
  <c r="K67" i="24" s="1"/>
  <c r="K16" i="24"/>
  <c r="K16" i="30" s="1"/>
  <c r="K10" i="30"/>
  <c r="L7" i="24"/>
  <c r="K14" i="24"/>
  <c r="G74" i="32"/>
  <c r="H25" i="43"/>
  <c r="H14" i="43"/>
  <c r="J41" i="29"/>
  <c r="M26" i="24"/>
  <c r="M26" i="30" s="1"/>
  <c r="M21" i="24"/>
  <c r="M46" i="20"/>
  <c r="L15" i="20" s="1"/>
  <c r="N8" i="24"/>
  <c r="N8" i="30" s="1"/>
  <c r="M22" i="24"/>
  <c r="M27" i="24"/>
  <c r="M27" i="30" s="1"/>
  <c r="L35" i="31"/>
  <c r="O8" i="39"/>
  <c r="I18" i="25"/>
  <c r="C19" i="25" s="1"/>
  <c r="F21" i="17"/>
  <c r="I21" i="17" s="1"/>
  <c r="C22" i="17" s="1"/>
  <c r="H20" i="18"/>
  <c r="E18" i="27"/>
  <c r="F18" i="27" s="1"/>
  <c r="F20" i="18"/>
  <c r="L24" i="24"/>
  <c r="L24" i="30" s="1"/>
  <c r="L19" i="24"/>
  <c r="E18" i="26"/>
  <c r="F18" i="26" s="1"/>
  <c r="O10" i="39"/>
  <c r="N45" i="31"/>
  <c r="N46" i="31" s="1"/>
  <c r="N38" i="29"/>
  <c r="K40" i="20"/>
  <c r="J9" i="20" s="1"/>
  <c r="H72" i="29" l="1"/>
  <c r="K40" i="29"/>
  <c r="L7" i="30"/>
  <c r="K15" i="30"/>
  <c r="I12" i="43" s="1"/>
  <c r="T23" i="43" s="1"/>
  <c r="I23" i="43" s="1"/>
  <c r="K14" i="30"/>
  <c r="I13" i="43" s="1"/>
  <c r="I24" i="43" s="1"/>
  <c r="H72" i="32"/>
  <c r="H87" i="32" s="1"/>
  <c r="H106" i="31"/>
  <c r="J26" i="29"/>
  <c r="K13" i="30"/>
  <c r="G70" i="45"/>
  <c r="I110" i="48"/>
  <c r="I114" i="48" s="1"/>
  <c r="H109" i="31"/>
  <c r="H103" i="31"/>
  <c r="G74" i="29"/>
  <c r="G73" i="29"/>
  <c r="I66" i="29"/>
  <c r="I68" i="29" s="1"/>
  <c r="H71" i="29"/>
  <c r="H70" i="29"/>
  <c r="H70" i="32"/>
  <c r="H83" i="32" s="1"/>
  <c r="H64" i="31"/>
  <c r="H65" i="31"/>
  <c r="O11" i="19"/>
  <c r="L5" i="39" s="1"/>
  <c r="P9" i="19"/>
  <c r="I5" i="43"/>
  <c r="K54" i="30"/>
  <c r="K61" i="30" s="1"/>
  <c r="H110" i="41"/>
  <c r="H114" i="41" s="1"/>
  <c r="H49" i="21"/>
  <c r="H51" i="29"/>
  <c r="H52" i="29"/>
  <c r="H48" i="21"/>
  <c r="I43" i="21"/>
  <c r="H85" i="45"/>
  <c r="G83" i="45"/>
  <c r="G89" i="45" s="1"/>
  <c r="G74" i="45"/>
  <c r="H8" i="43"/>
  <c r="I53" i="31"/>
  <c r="H8" i="39"/>
  <c r="J49" i="31"/>
  <c r="J85" i="32" s="1"/>
  <c r="H11" i="43"/>
  <c r="H22" i="43" s="1"/>
  <c r="I7" i="39"/>
  <c r="M23" i="19"/>
  <c r="L22" i="30" s="1"/>
  <c r="I7" i="43"/>
  <c r="I6" i="39"/>
  <c r="M22" i="19"/>
  <c r="L21" i="30" s="1"/>
  <c r="I6" i="43"/>
  <c r="I11" i="39"/>
  <c r="I22" i="39" s="1"/>
  <c r="M21" i="19"/>
  <c r="L20" i="30" s="1"/>
  <c r="I10" i="43"/>
  <c r="J10" i="43"/>
  <c r="I10" i="39"/>
  <c r="M20" i="19"/>
  <c r="L19" i="30" s="1"/>
  <c r="J39" i="21"/>
  <c r="J59" i="21" s="1"/>
  <c r="J62" i="21" s="1"/>
  <c r="J69" i="21" s="1"/>
  <c r="J71" i="21" s="1"/>
  <c r="J11" i="47" s="1"/>
  <c r="J45" i="29"/>
  <c r="I29" i="29"/>
  <c r="I34" i="31"/>
  <c r="I37" i="31" s="1"/>
  <c r="I25" i="43"/>
  <c r="I14" i="43"/>
  <c r="K48" i="31"/>
  <c r="L14" i="24"/>
  <c r="L10" i="24"/>
  <c r="L59" i="24" s="1"/>
  <c r="L67" i="24" s="1"/>
  <c r="L13" i="24"/>
  <c r="M7" i="24"/>
  <c r="M7" i="30" s="1"/>
  <c r="L16" i="24"/>
  <c r="L16" i="30" s="1"/>
  <c r="L10" i="30"/>
  <c r="L15" i="24"/>
  <c r="K41" i="29"/>
  <c r="K45" i="29" s="1"/>
  <c r="N26" i="24"/>
  <c r="N26" i="30" s="1"/>
  <c r="N21" i="24"/>
  <c r="M24" i="24"/>
  <c r="M24" i="30" s="1"/>
  <c r="M19" i="24"/>
  <c r="H18" i="26"/>
  <c r="I20" i="18"/>
  <c r="C21" i="18" s="1"/>
  <c r="H18" i="27"/>
  <c r="I18" i="27" s="1"/>
  <c r="C19" i="27" s="1"/>
  <c r="E22" i="17"/>
  <c r="H22" i="17" s="1"/>
  <c r="O8" i="24"/>
  <c r="O8" i="30" s="1"/>
  <c r="N46" i="20"/>
  <c r="M15" i="20" s="1"/>
  <c r="E19" i="25"/>
  <c r="F19" i="25" s="1"/>
  <c r="N27" i="24"/>
  <c r="N27" i="30" s="1"/>
  <c r="N22" i="24"/>
  <c r="O45" i="31"/>
  <c r="O46" i="31" s="1"/>
  <c r="O38" i="29"/>
  <c r="L40" i="20"/>
  <c r="K9" i="20" s="1"/>
  <c r="H89" i="32" l="1"/>
  <c r="L15" i="30"/>
  <c r="J12" i="43" s="1"/>
  <c r="U23" i="43" s="1"/>
  <c r="J23" i="43" s="1"/>
  <c r="K26" i="29"/>
  <c r="L13" i="30"/>
  <c r="I109" i="31"/>
  <c r="I103" i="31"/>
  <c r="L14" i="30"/>
  <c r="J13" i="43" s="1"/>
  <c r="J24" i="43" s="1"/>
  <c r="I72" i="32"/>
  <c r="I87" i="32" s="1"/>
  <c r="I106" i="31"/>
  <c r="H70" i="45"/>
  <c r="H83" i="45" s="1"/>
  <c r="H89" i="45" s="1"/>
  <c r="J110" i="48"/>
  <c r="J114" i="48" s="1"/>
  <c r="K66" i="29"/>
  <c r="K68" i="29" s="1"/>
  <c r="J66" i="29"/>
  <c r="J68" i="29" s="1"/>
  <c r="I71" i="29"/>
  <c r="I52" i="29"/>
  <c r="I69" i="29"/>
  <c r="I70" i="29" s="1"/>
  <c r="I72" i="29"/>
  <c r="H74" i="32"/>
  <c r="H74" i="29"/>
  <c r="H73" i="29"/>
  <c r="G75" i="29"/>
  <c r="I70" i="32"/>
  <c r="I83" i="32" s="1"/>
  <c r="I64" i="31"/>
  <c r="I65" i="31"/>
  <c r="P11" i="19"/>
  <c r="M5" i="39" s="1"/>
  <c r="Q9" i="19"/>
  <c r="J5" i="43"/>
  <c r="L54" i="30"/>
  <c r="L61" i="30" s="1"/>
  <c r="I51" i="29"/>
  <c r="I110" i="41"/>
  <c r="I114" i="41" s="1"/>
  <c r="I48" i="21"/>
  <c r="I49" i="21"/>
  <c r="J43" i="21"/>
  <c r="I85" i="45"/>
  <c r="I8" i="43"/>
  <c r="J53" i="31"/>
  <c r="K49" i="31"/>
  <c r="K85" i="32" s="1"/>
  <c r="I8" i="39"/>
  <c r="J11" i="39"/>
  <c r="J22" i="39" s="1"/>
  <c r="N21" i="19"/>
  <c r="M20" i="30" s="1"/>
  <c r="J6" i="39"/>
  <c r="N22" i="19"/>
  <c r="M21" i="30" s="1"/>
  <c r="J6" i="43"/>
  <c r="J7" i="39"/>
  <c r="N23" i="19"/>
  <c r="M22" i="30" s="1"/>
  <c r="J7" i="43"/>
  <c r="I11" i="43"/>
  <c r="I22" i="43" s="1"/>
  <c r="K10" i="43"/>
  <c r="J10" i="39"/>
  <c r="K39" i="21"/>
  <c r="K59" i="21" s="1"/>
  <c r="K62" i="21" s="1"/>
  <c r="K69" i="21" s="1"/>
  <c r="K71" i="21" s="1"/>
  <c r="K11" i="47" s="1"/>
  <c r="N20" i="19"/>
  <c r="M19" i="30" s="1"/>
  <c r="L40" i="29"/>
  <c r="L48" i="31" s="1"/>
  <c r="M15" i="24"/>
  <c r="M13" i="24"/>
  <c r="M10" i="24"/>
  <c r="M59" i="24" s="1"/>
  <c r="M67" i="24" s="1"/>
  <c r="M10" i="30"/>
  <c r="N7" i="24"/>
  <c r="N7" i="30" s="1"/>
  <c r="M16" i="24"/>
  <c r="M16" i="30" s="1"/>
  <c r="M14" i="24"/>
  <c r="J25" i="43"/>
  <c r="J14" i="43"/>
  <c r="J29" i="29"/>
  <c r="J34" i="31"/>
  <c r="J37" i="31" s="1"/>
  <c r="L41" i="29"/>
  <c r="L45" i="29" s="1"/>
  <c r="O26" i="24"/>
  <c r="O26" i="30" s="1"/>
  <c r="O21" i="24"/>
  <c r="O46" i="20"/>
  <c r="N15" i="20" s="1"/>
  <c r="H19" i="25"/>
  <c r="I19" i="25" s="1"/>
  <c r="C20" i="25" s="1"/>
  <c r="P8" i="24"/>
  <c r="N19" i="24"/>
  <c r="N24" i="24"/>
  <c r="N24" i="30" s="1"/>
  <c r="O27" i="24"/>
  <c r="O27" i="30" s="1"/>
  <c r="O22" i="24"/>
  <c r="E19" i="27"/>
  <c r="F19" i="27" s="1"/>
  <c r="I18" i="26"/>
  <c r="C19" i="26" s="1"/>
  <c r="F22" i="17"/>
  <c r="I22" i="17" s="1"/>
  <c r="C23" i="17" s="1"/>
  <c r="E23" i="17" s="1"/>
  <c r="F23" i="17" s="1"/>
  <c r="E21" i="18"/>
  <c r="M40" i="20"/>
  <c r="L9" i="20" s="1"/>
  <c r="I89" i="32" l="1"/>
  <c r="J72" i="32"/>
  <c r="J87" i="32" s="1"/>
  <c r="J106" i="31"/>
  <c r="M14" i="30"/>
  <c r="K13" i="43" s="1"/>
  <c r="K24" i="43" s="1"/>
  <c r="L26" i="29"/>
  <c r="M13" i="30"/>
  <c r="I70" i="45"/>
  <c r="K110" i="48"/>
  <c r="K114" i="48" s="1"/>
  <c r="J109" i="31"/>
  <c r="J103" i="31"/>
  <c r="P8" i="30"/>
  <c r="M15" i="30"/>
  <c r="K12" i="43" s="1"/>
  <c r="V23" i="43" s="1"/>
  <c r="K23" i="43" s="1"/>
  <c r="H74" i="45"/>
  <c r="I74" i="29"/>
  <c r="I73" i="29"/>
  <c r="I75" i="29" s="1"/>
  <c r="J52" i="29"/>
  <c r="J69" i="29"/>
  <c r="J70" i="29" s="1"/>
  <c r="H75" i="29"/>
  <c r="J71" i="29"/>
  <c r="L66" i="29"/>
  <c r="L68" i="29" s="1"/>
  <c r="J72" i="29"/>
  <c r="K71" i="29"/>
  <c r="I74" i="32"/>
  <c r="J70" i="32"/>
  <c r="J83" i="32" s="1"/>
  <c r="J65" i="31"/>
  <c r="J64" i="31"/>
  <c r="Q11" i="19"/>
  <c r="N5" i="39" s="1"/>
  <c r="K5" i="43"/>
  <c r="M54" i="30"/>
  <c r="M61" i="30" s="1"/>
  <c r="J110" i="41"/>
  <c r="J114" i="41" s="1"/>
  <c r="J48" i="21"/>
  <c r="J51" i="29"/>
  <c r="J49" i="21"/>
  <c r="K43" i="21"/>
  <c r="J85" i="45"/>
  <c r="I83" i="45"/>
  <c r="I89" i="45" s="1"/>
  <c r="I74" i="45"/>
  <c r="K53" i="31"/>
  <c r="J8" i="43"/>
  <c r="L49" i="31"/>
  <c r="L85" i="32" s="1"/>
  <c r="J8" i="39"/>
  <c r="K7" i="39"/>
  <c r="O23" i="19"/>
  <c r="N22" i="30" s="1"/>
  <c r="K7" i="43"/>
  <c r="K6" i="39"/>
  <c r="O22" i="19"/>
  <c r="N21" i="30" s="1"/>
  <c r="K6" i="43"/>
  <c r="K11" i="39"/>
  <c r="K22" i="39" s="1"/>
  <c r="O21" i="19"/>
  <c r="N20" i="30" s="1"/>
  <c r="J11" i="43"/>
  <c r="J22" i="43" s="1"/>
  <c r="K10" i="39"/>
  <c r="L39" i="21"/>
  <c r="L59" i="21" s="1"/>
  <c r="L62" i="21" s="1"/>
  <c r="L69" i="21" s="1"/>
  <c r="L71" i="21" s="1"/>
  <c r="L11" i="47" s="1"/>
  <c r="O20" i="19"/>
  <c r="N19" i="30" s="1"/>
  <c r="M27" i="29"/>
  <c r="M35" i="31" s="1"/>
  <c r="M40" i="29"/>
  <c r="M48" i="31" s="1"/>
  <c r="N13" i="24"/>
  <c r="N15" i="24"/>
  <c r="O7" i="24"/>
  <c r="O7" i="30" s="1"/>
  <c r="N16" i="24"/>
  <c r="N16" i="30" s="1"/>
  <c r="N10" i="24"/>
  <c r="N59" i="24" s="1"/>
  <c r="N67" i="24" s="1"/>
  <c r="N14" i="24"/>
  <c r="N10" i="30"/>
  <c r="K25" i="43"/>
  <c r="K14" i="43"/>
  <c r="K29" i="29"/>
  <c r="K34" i="31"/>
  <c r="K37" i="31" s="1"/>
  <c r="M41" i="29"/>
  <c r="M45" i="29" s="1"/>
  <c r="P21" i="24"/>
  <c r="P26" i="24"/>
  <c r="P26" i="30" s="1"/>
  <c r="O24" i="24"/>
  <c r="O24" i="30" s="1"/>
  <c r="O19" i="24"/>
  <c r="P27" i="24"/>
  <c r="P27" i="30" s="1"/>
  <c r="P22" i="24"/>
  <c r="E20" i="25"/>
  <c r="F20" i="25" s="1"/>
  <c r="H21" i="18"/>
  <c r="E19" i="26"/>
  <c r="H19" i="27"/>
  <c r="I19" i="27" s="1"/>
  <c r="C20" i="27" s="1"/>
  <c r="H23" i="17"/>
  <c r="I23" i="17" s="1"/>
  <c r="C24" i="17" s="1"/>
  <c r="E24" i="17" s="1"/>
  <c r="F24" i="17" s="1"/>
  <c r="F21" i="18"/>
  <c r="I21" i="18" s="1"/>
  <c r="C22" i="18" s="1"/>
  <c r="P46" i="20"/>
  <c r="O15" i="20" s="1"/>
  <c r="N40" i="20"/>
  <c r="M9" i="20" s="1"/>
  <c r="J89" i="32" l="1"/>
  <c r="J74" i="32"/>
  <c r="K109" i="31"/>
  <c r="K103" i="31"/>
  <c r="K72" i="32"/>
  <c r="K87" i="32" s="1"/>
  <c r="K106" i="31"/>
  <c r="M26" i="29"/>
  <c r="N13" i="30"/>
  <c r="J70" i="45"/>
  <c r="L110" i="48"/>
  <c r="L114" i="48" s="1"/>
  <c r="N14" i="30"/>
  <c r="L13" i="43" s="1"/>
  <c r="L24" i="43" s="1"/>
  <c r="N15" i="30"/>
  <c r="L12" i="43" s="1"/>
  <c r="W23" i="43" s="1"/>
  <c r="L23" i="43" s="1"/>
  <c r="M66" i="29"/>
  <c r="M68" i="29" s="1"/>
  <c r="J74" i="29"/>
  <c r="J73" i="29"/>
  <c r="K69" i="29"/>
  <c r="K70" i="29" s="1"/>
  <c r="K72" i="29"/>
  <c r="L71" i="29"/>
  <c r="K70" i="32"/>
  <c r="K83" i="32" s="1"/>
  <c r="K64" i="31"/>
  <c r="K65" i="31"/>
  <c r="L5" i="43"/>
  <c r="N54" i="30"/>
  <c r="N61" i="30" s="1"/>
  <c r="K110" i="41"/>
  <c r="K114" i="41" s="1"/>
  <c r="K52" i="29"/>
  <c r="K51" i="29"/>
  <c r="K49" i="21"/>
  <c r="K48" i="21"/>
  <c r="L43" i="21"/>
  <c r="K85" i="45"/>
  <c r="J83" i="45"/>
  <c r="J89" i="45" s="1"/>
  <c r="J74" i="45"/>
  <c r="L53" i="31"/>
  <c r="K8" i="43"/>
  <c r="K8" i="39"/>
  <c r="P21" i="19"/>
  <c r="O20" i="30" s="1"/>
  <c r="L11" i="39"/>
  <c r="L22" i="39" s="1"/>
  <c r="L7" i="39"/>
  <c r="P23" i="19"/>
  <c r="O22" i="30" s="1"/>
  <c r="L7" i="43"/>
  <c r="K11" i="43"/>
  <c r="K22" i="43" s="1"/>
  <c r="L6" i="39"/>
  <c r="P22" i="19"/>
  <c r="O21" i="30" s="1"/>
  <c r="L6" i="43"/>
  <c r="L10" i="39"/>
  <c r="M10" i="43"/>
  <c r="M39" i="21"/>
  <c r="M59" i="21" s="1"/>
  <c r="M62" i="21" s="1"/>
  <c r="M69" i="21" s="1"/>
  <c r="M71" i="21" s="1"/>
  <c r="M11" i="47" s="1"/>
  <c r="P20" i="19"/>
  <c r="O19" i="30" s="1"/>
  <c r="M49" i="31"/>
  <c r="M53" i="31" s="1"/>
  <c r="L10" i="43"/>
  <c r="L29" i="29"/>
  <c r="L34" i="31"/>
  <c r="L37" i="31" s="1"/>
  <c r="L25" i="43"/>
  <c r="L14" i="43"/>
  <c r="N27" i="29"/>
  <c r="N35" i="31" s="1"/>
  <c r="N40" i="29"/>
  <c r="N48" i="31" s="1"/>
  <c r="O13" i="24"/>
  <c r="O10" i="24"/>
  <c r="O59" i="24" s="1"/>
  <c r="O67" i="24" s="1"/>
  <c r="O15" i="24"/>
  <c r="O16" i="24"/>
  <c r="O16" i="30" s="1"/>
  <c r="P7" i="24"/>
  <c r="P7" i="30" s="1"/>
  <c r="O10" i="30"/>
  <c r="O14" i="24"/>
  <c r="N41" i="29"/>
  <c r="N45" i="29" s="1"/>
  <c r="E20" i="27"/>
  <c r="E22" i="18"/>
  <c r="F22" i="18" s="1"/>
  <c r="P24" i="24"/>
  <c r="P24" i="30" s="1"/>
  <c r="P19" i="24"/>
  <c r="H19" i="26"/>
  <c r="Z23" i="43"/>
  <c r="F19" i="26"/>
  <c r="H20" i="25"/>
  <c r="I20" i="25" s="1"/>
  <c r="C21" i="25" s="1"/>
  <c r="Q46" i="20"/>
  <c r="P15" i="20" s="1"/>
  <c r="H24" i="17"/>
  <c r="I24" i="17" s="1"/>
  <c r="C25" i="17" s="1"/>
  <c r="O40" i="20"/>
  <c r="N9" i="20" s="1"/>
  <c r="K89" i="32" l="1"/>
  <c r="O15" i="30"/>
  <c r="M12" i="43" s="1"/>
  <c r="X23" i="43" s="1"/>
  <c r="M23" i="43" s="1"/>
  <c r="N26" i="29"/>
  <c r="O13" i="30"/>
  <c r="O14" i="30"/>
  <c r="M13" i="43" s="1"/>
  <c r="M24" i="43" s="1"/>
  <c r="L72" i="32"/>
  <c r="L87" i="32" s="1"/>
  <c r="L106" i="31"/>
  <c r="M103" i="31"/>
  <c r="L109" i="31"/>
  <c r="L103" i="31"/>
  <c r="K70" i="45"/>
  <c r="M110" i="48"/>
  <c r="M114" i="48" s="1"/>
  <c r="N66" i="29"/>
  <c r="N68" i="29" s="1"/>
  <c r="J75" i="29"/>
  <c r="L69" i="29"/>
  <c r="L70" i="29" s="1"/>
  <c r="L72" i="29"/>
  <c r="M71" i="29"/>
  <c r="K74" i="29"/>
  <c r="K73" i="29"/>
  <c r="K74" i="32"/>
  <c r="M70" i="32"/>
  <c r="L70" i="32"/>
  <c r="L83" i="32" s="1"/>
  <c r="L89" i="32" s="1"/>
  <c r="L65" i="31"/>
  <c r="L64" i="31"/>
  <c r="L110" i="41"/>
  <c r="L114" i="41" s="1"/>
  <c r="M5" i="43"/>
  <c r="O54" i="30"/>
  <c r="O61" i="30" s="1"/>
  <c r="L51" i="29"/>
  <c r="L52" i="29"/>
  <c r="L48" i="21"/>
  <c r="L49" i="21"/>
  <c r="M43" i="21"/>
  <c r="L85" i="45"/>
  <c r="K83" i="45"/>
  <c r="K89" i="45" s="1"/>
  <c r="K74" i="45"/>
  <c r="L8" i="39"/>
  <c r="L8" i="43"/>
  <c r="L11" i="43"/>
  <c r="L22" i="43" s="1"/>
  <c r="M6" i="39"/>
  <c r="Q22" i="19"/>
  <c r="P21" i="30" s="1"/>
  <c r="M6" i="43"/>
  <c r="M7" i="39"/>
  <c r="Q23" i="19"/>
  <c r="P22" i="30" s="1"/>
  <c r="M7" i="43"/>
  <c r="M11" i="39"/>
  <c r="M22" i="39" s="1"/>
  <c r="Q21" i="19"/>
  <c r="P20" i="30" s="1"/>
  <c r="M85" i="32"/>
  <c r="M10" i="39"/>
  <c r="N39" i="21"/>
  <c r="N59" i="21" s="1"/>
  <c r="N62" i="21" s="1"/>
  <c r="N69" i="21" s="1"/>
  <c r="N71" i="21" s="1"/>
  <c r="N11" i="47" s="1"/>
  <c r="Q20" i="19"/>
  <c r="P19" i="30" s="1"/>
  <c r="N49" i="31"/>
  <c r="N53" i="31" s="1"/>
  <c r="O27" i="29"/>
  <c r="O35" i="31" s="1"/>
  <c r="O40" i="29"/>
  <c r="O48" i="31" s="1"/>
  <c r="P14" i="24"/>
  <c r="P16" i="24"/>
  <c r="P16" i="30" s="1"/>
  <c r="P15" i="24"/>
  <c r="P10" i="24"/>
  <c r="P59" i="24" s="1"/>
  <c r="P67" i="24" s="1"/>
  <c r="P13" i="24"/>
  <c r="P10" i="30"/>
  <c r="M25" i="43"/>
  <c r="M14" i="43"/>
  <c r="M34" i="31"/>
  <c r="M37" i="31" s="1"/>
  <c r="M29" i="29"/>
  <c r="O41" i="29"/>
  <c r="E21" i="25"/>
  <c r="F21" i="25" s="1"/>
  <c r="I19" i="26"/>
  <c r="C20" i="26" s="1"/>
  <c r="H20" i="27"/>
  <c r="H22" i="18"/>
  <c r="I22" i="18" s="1"/>
  <c r="C23" i="18" s="1"/>
  <c r="M83" i="32"/>
  <c r="F20" i="27"/>
  <c r="E25" i="17"/>
  <c r="P40" i="20"/>
  <c r="O9" i="20" s="1"/>
  <c r="O26" i="29" l="1"/>
  <c r="P13" i="30"/>
  <c r="P15" i="30"/>
  <c r="N12" i="43" s="1"/>
  <c r="Y23" i="43" s="1"/>
  <c r="N23" i="43" s="1"/>
  <c r="L70" i="45"/>
  <c r="N110" i="48"/>
  <c r="N114" i="48" s="1"/>
  <c r="M72" i="32"/>
  <c r="M87" i="32" s="1"/>
  <c r="M89" i="32" s="1"/>
  <c r="M106" i="31"/>
  <c r="P14" i="30"/>
  <c r="N13" i="43" s="1"/>
  <c r="N24" i="43" s="1"/>
  <c r="N103" i="31"/>
  <c r="K75" i="29"/>
  <c r="M109" i="31"/>
  <c r="L73" i="29"/>
  <c r="L74" i="29"/>
  <c r="M69" i="29"/>
  <c r="M70" i="29" s="1"/>
  <c r="M72" i="29"/>
  <c r="L74" i="32"/>
  <c r="N71" i="29"/>
  <c r="M65" i="31"/>
  <c r="M64" i="31"/>
  <c r="N70" i="32"/>
  <c r="N83" i="32" s="1"/>
  <c r="N5" i="43"/>
  <c r="P54" i="30"/>
  <c r="P61" i="30" s="1"/>
  <c r="M110" i="41"/>
  <c r="M114" i="41" s="1"/>
  <c r="M48" i="21"/>
  <c r="M51" i="29"/>
  <c r="M52" i="29"/>
  <c r="M49" i="21"/>
  <c r="N43" i="21"/>
  <c r="M85" i="45"/>
  <c r="L83" i="45"/>
  <c r="L89" i="45" s="1"/>
  <c r="L74" i="45"/>
  <c r="M8" i="43"/>
  <c r="N6" i="39"/>
  <c r="N6" i="43"/>
  <c r="M11" i="43"/>
  <c r="M22" i="43" s="1"/>
  <c r="N11" i="39"/>
  <c r="N22" i="39" s="1"/>
  <c r="O49" i="31"/>
  <c r="O85" i="32" s="1"/>
  <c r="N7" i="39"/>
  <c r="N7" i="43"/>
  <c r="M8" i="39"/>
  <c r="N10" i="43"/>
  <c r="N85" i="32"/>
  <c r="N10" i="39"/>
  <c r="O39" i="21"/>
  <c r="O59" i="21" s="1"/>
  <c r="O62" i="21" s="1"/>
  <c r="O69" i="21" s="1"/>
  <c r="O45" i="29"/>
  <c r="N29" i="29"/>
  <c r="N34" i="31"/>
  <c r="N37" i="31" s="1"/>
  <c r="N109" i="31" s="1"/>
  <c r="N25" i="43"/>
  <c r="N14" i="43"/>
  <c r="I20" i="27"/>
  <c r="C21" i="27" s="1"/>
  <c r="E21" i="27" s="1"/>
  <c r="H21" i="27" s="1"/>
  <c r="E23" i="18"/>
  <c r="H23" i="18" s="1"/>
  <c r="H21" i="25"/>
  <c r="I21" i="25" s="1"/>
  <c r="C22" i="25" s="1"/>
  <c r="E20" i="26"/>
  <c r="F20" i="26" s="1"/>
  <c r="H25" i="17"/>
  <c r="F25" i="17"/>
  <c r="Q40" i="20"/>
  <c r="P9" i="20" s="1"/>
  <c r="H52" i="35"/>
  <c r="M74" i="32" l="1"/>
  <c r="M70" i="45"/>
  <c r="M83" i="45" s="1"/>
  <c r="M89" i="45" s="1"/>
  <c r="O110" i="48"/>
  <c r="O114" i="48" s="1"/>
  <c r="L75" i="29"/>
  <c r="N72" i="32"/>
  <c r="N87" i="32" s="1"/>
  <c r="N89" i="32" s="1"/>
  <c r="N106" i="31"/>
  <c r="O66" i="29"/>
  <c r="O68" i="29" s="1"/>
  <c r="M74" i="29"/>
  <c r="M73" i="29"/>
  <c r="N69" i="29"/>
  <c r="N70" i="29" s="1"/>
  <c r="N72" i="29"/>
  <c r="N65" i="31"/>
  <c r="N64" i="31"/>
  <c r="N110" i="41"/>
  <c r="N114" i="41" s="1"/>
  <c r="O71" i="21"/>
  <c r="O11" i="47" s="1"/>
  <c r="P71" i="21"/>
  <c r="N52" i="29"/>
  <c r="N51" i="29"/>
  <c r="N49" i="21"/>
  <c r="N48" i="21"/>
  <c r="O43" i="21"/>
  <c r="N85" i="45"/>
  <c r="M74" i="45"/>
  <c r="N8" i="43"/>
  <c r="O53" i="31"/>
  <c r="N8" i="39"/>
  <c r="O34" i="31"/>
  <c r="O37" i="31" s="1"/>
  <c r="O29" i="29"/>
  <c r="E22" i="25"/>
  <c r="H22" i="25" s="1"/>
  <c r="H20" i="26"/>
  <c r="I20" i="26" s="1"/>
  <c r="C21" i="26" s="1"/>
  <c r="F23" i="18"/>
  <c r="I23" i="18" s="1"/>
  <c r="C24" i="18" s="1"/>
  <c r="I25" i="17"/>
  <c r="C26" i="17" s="1"/>
  <c r="E26" i="17" s="1"/>
  <c r="F21" i="27"/>
  <c r="I21" i="27" s="1"/>
  <c r="C22" i="27" s="1"/>
  <c r="H53" i="35"/>
  <c r="H54" i="35"/>
  <c r="N74" i="32" l="1"/>
  <c r="N70" i="45"/>
  <c r="P110" i="48"/>
  <c r="P114" i="48" s="1"/>
  <c r="F116" i="48" s="1"/>
  <c r="O72" i="32"/>
  <c r="O87" i="32" s="1"/>
  <c r="O106" i="31"/>
  <c r="O70" i="32"/>
  <c r="O83" i="32" s="1"/>
  <c r="O64" i="31"/>
  <c r="O65" i="31"/>
  <c r="O109" i="31"/>
  <c r="O103" i="31"/>
  <c r="M75" i="29"/>
  <c r="N74" i="29"/>
  <c r="N73" i="29"/>
  <c r="O52" i="29"/>
  <c r="O69" i="29"/>
  <c r="O70" i="29" s="1"/>
  <c r="O72" i="29"/>
  <c r="O71" i="29"/>
  <c r="O51" i="29"/>
  <c r="O49" i="21"/>
  <c r="O48" i="21"/>
  <c r="O110" i="41"/>
  <c r="O114" i="41" s="1"/>
  <c r="E116" i="41" s="1"/>
  <c r="N83" i="45"/>
  <c r="N89" i="45" s="1"/>
  <c r="B91" i="45" s="1"/>
  <c r="N74" i="45"/>
  <c r="B76" i="45" s="1"/>
  <c r="F22" i="25"/>
  <c r="I22" i="25" s="1"/>
  <c r="C23" i="25" s="1"/>
  <c r="E21" i="26"/>
  <c r="H21" i="26" s="1"/>
  <c r="E24" i="18"/>
  <c r="H24" i="18" s="1"/>
  <c r="E23" i="25"/>
  <c r="H23" i="25" s="1"/>
  <c r="F26" i="17"/>
  <c r="E22" i="27"/>
  <c r="H22" i="27" s="1"/>
  <c r="H26" i="17"/>
  <c r="H27" i="17" s="1"/>
  <c r="E27" i="17"/>
  <c r="H55" i="35"/>
  <c r="O89" i="32" l="1"/>
  <c r="O74" i="32"/>
  <c r="B76" i="32" s="1"/>
  <c r="N75" i="29"/>
  <c r="O73" i="29"/>
  <c r="O74" i="29"/>
  <c r="B91" i="32"/>
  <c r="F22" i="27"/>
  <c r="I22" i="27" s="1"/>
  <c r="C23" i="27" s="1"/>
  <c r="E23" i="27" s="1"/>
  <c r="H23" i="27" s="1"/>
  <c r="F23" i="25"/>
  <c r="I23" i="25" s="1"/>
  <c r="C24" i="25" s="1"/>
  <c r="E24" i="25" s="1"/>
  <c r="H24" i="25" s="1"/>
  <c r="F21" i="26"/>
  <c r="I21" i="26" s="1"/>
  <c r="C22" i="26" s="1"/>
  <c r="F24" i="18"/>
  <c r="I24" i="18" s="1"/>
  <c r="C25" i="18" s="1"/>
  <c r="C26" i="20"/>
  <c r="C11" i="20" s="1"/>
  <c r="I26" i="17"/>
  <c r="C16" i="21" s="1"/>
  <c r="O75" i="29" l="1"/>
  <c r="F24" i="25"/>
  <c r="I24" i="25" s="1"/>
  <c r="C25" i="25" s="1"/>
  <c r="E25" i="18"/>
  <c r="H25" i="18" s="1"/>
  <c r="E25" i="25"/>
  <c r="H25" i="25" s="1"/>
  <c r="E22" i="26"/>
  <c r="H22" i="26" s="1"/>
  <c r="F23" i="27"/>
  <c r="I23" i="27" s="1"/>
  <c r="C24" i="27" s="1"/>
  <c r="C28" i="17"/>
  <c r="E28" i="17" s="1"/>
  <c r="C24" i="31"/>
  <c r="F25" i="25" l="1"/>
  <c r="I25" i="25" s="1"/>
  <c r="C26" i="25" s="1"/>
  <c r="F22" i="26"/>
  <c r="I22" i="26" s="1"/>
  <c r="C23" i="26" s="1"/>
  <c r="F25" i="18"/>
  <c r="I25" i="18" s="1"/>
  <c r="C26" i="18" s="1"/>
  <c r="E26" i="18" s="1"/>
  <c r="E26" i="25"/>
  <c r="F26" i="25" s="1"/>
  <c r="E24" i="27"/>
  <c r="H24" i="27" s="1"/>
  <c r="F24" i="27"/>
  <c r="I24" i="27" s="1"/>
  <c r="C25" i="27" s="1"/>
  <c r="F28" i="17"/>
  <c r="H28" i="17"/>
  <c r="I28" i="17" l="1"/>
  <c r="C29" i="17" s="1"/>
  <c r="H26" i="25"/>
  <c r="H27" i="25" s="1"/>
  <c r="E27" i="25"/>
  <c r="E25" i="27"/>
  <c r="F25" i="27" s="1"/>
  <c r="F26" i="18"/>
  <c r="H26" i="18"/>
  <c r="H27" i="18" s="1"/>
  <c r="E27" i="18"/>
  <c r="E23" i="26"/>
  <c r="H23" i="26" s="1"/>
  <c r="E29" i="17"/>
  <c r="C28" i="20" l="1"/>
  <c r="E11" i="16"/>
  <c r="I26" i="18"/>
  <c r="F23" i="26"/>
  <c r="I23" i="26" s="1"/>
  <c r="C24" i="26" s="1"/>
  <c r="H25" i="27"/>
  <c r="H26" i="27" s="1"/>
  <c r="E26" i="27"/>
  <c r="I26" i="25"/>
  <c r="H29" i="17"/>
  <c r="F29" i="17"/>
  <c r="I25" i="27" l="1"/>
  <c r="E24" i="26"/>
  <c r="H24" i="26" s="1"/>
  <c r="E12" i="16"/>
  <c r="E20" i="16"/>
  <c r="C17" i="29"/>
  <c r="C18" i="31" s="1"/>
  <c r="C28" i="25"/>
  <c r="C28" i="18"/>
  <c r="C17" i="21"/>
  <c r="C13" i="20"/>
  <c r="C17" i="20" s="1"/>
  <c r="C32" i="20"/>
  <c r="C12" i="47" s="1"/>
  <c r="C14" i="47" s="1"/>
  <c r="C24" i="47" s="1"/>
  <c r="C31" i="47" s="1"/>
  <c r="I29" i="17"/>
  <c r="C30" i="17" s="1"/>
  <c r="E30" i="17" s="1"/>
  <c r="F24" i="26" l="1"/>
  <c r="I24" i="26" s="1"/>
  <c r="C25" i="26" s="1"/>
  <c r="C31" i="21"/>
  <c r="E28" i="25"/>
  <c r="F28" i="25"/>
  <c r="E25" i="26"/>
  <c r="C25" i="31"/>
  <c r="C26" i="31" s="1"/>
  <c r="C18" i="21"/>
  <c r="C19" i="29"/>
  <c r="C20" i="31" s="1"/>
  <c r="C27" i="27"/>
  <c r="E28" i="18"/>
  <c r="F30" i="17"/>
  <c r="H30" i="17"/>
  <c r="C52" i="21" l="1"/>
  <c r="C45" i="21"/>
  <c r="B44" i="45"/>
  <c r="C29" i="21"/>
  <c r="B98" i="45" s="1"/>
  <c r="B42" i="45"/>
  <c r="B57" i="45" s="1"/>
  <c r="C50" i="21"/>
  <c r="C51" i="21"/>
  <c r="H28" i="18"/>
  <c r="F28" i="18"/>
  <c r="E27" i="27"/>
  <c r="F27" i="27"/>
  <c r="H25" i="26"/>
  <c r="H26" i="26" s="1"/>
  <c r="E26" i="26"/>
  <c r="D36" i="24" s="1"/>
  <c r="D36" i="30" s="1"/>
  <c r="H28" i="25"/>
  <c r="I28" i="25" s="1"/>
  <c r="C29" i="25" s="1"/>
  <c r="F25" i="26"/>
  <c r="I30" i="17"/>
  <c r="C31" i="17" s="1"/>
  <c r="D9" i="48" l="1"/>
  <c r="D39" i="30"/>
  <c r="C46" i="21"/>
  <c r="I28" i="18"/>
  <c r="C29" i="18" s="1"/>
  <c r="E29" i="18" s="1"/>
  <c r="H29" i="18" s="1"/>
  <c r="I25" i="26"/>
  <c r="E29" i="25"/>
  <c r="F29" i="25" s="1"/>
  <c r="H27" i="27"/>
  <c r="D39" i="24"/>
  <c r="C18" i="29"/>
  <c r="C19" i="31" s="1"/>
  <c r="C27" i="26"/>
  <c r="E31" i="17"/>
  <c r="F31" i="17" s="1"/>
  <c r="D13" i="48" l="1"/>
  <c r="D14" i="48" s="1"/>
  <c r="D28" i="48"/>
  <c r="D32" i="48" s="1"/>
  <c r="D67" i="48"/>
  <c r="F29" i="18"/>
  <c r="I29" i="18" s="1"/>
  <c r="C30" i="18" s="1"/>
  <c r="E30" i="18" s="1"/>
  <c r="H30" i="18" s="1"/>
  <c r="H29" i="25"/>
  <c r="I29" i="25" s="1"/>
  <c r="C30" i="25" s="1"/>
  <c r="E27" i="26"/>
  <c r="F27" i="26" s="1"/>
  <c r="C21" i="31"/>
  <c r="C20" i="29"/>
  <c r="C68" i="29" s="1"/>
  <c r="C71" i="29" s="1"/>
  <c r="C11" i="32"/>
  <c r="C27" i="32" s="1"/>
  <c r="C31" i="32" s="1"/>
  <c r="C14" i="32"/>
  <c r="C15" i="32" s="1"/>
  <c r="I27" i="27"/>
  <c r="C28" i="27" s="1"/>
  <c r="H31" i="17"/>
  <c r="I31" i="17" s="1"/>
  <c r="C32" i="17" s="1"/>
  <c r="D47" i="48" l="1"/>
  <c r="D51" i="48" s="1"/>
  <c r="D52" i="48" s="1"/>
  <c r="D33" i="48"/>
  <c r="F30" i="18"/>
  <c r="I30" i="18" s="1"/>
  <c r="C31" i="18" s="1"/>
  <c r="E31" i="18" s="1"/>
  <c r="H31" i="18" s="1"/>
  <c r="C70" i="29"/>
  <c r="E30" i="25"/>
  <c r="F30" i="25" s="1"/>
  <c r="E28" i="27"/>
  <c r="F28" i="27" s="1"/>
  <c r="H27" i="26"/>
  <c r="C42" i="32"/>
  <c r="C57" i="32"/>
  <c r="E32" i="17"/>
  <c r="F32" i="17" s="1"/>
  <c r="F31" i="18" l="1"/>
  <c r="I31" i="18" s="1"/>
  <c r="C32" i="18" s="1"/>
  <c r="E32" i="18" s="1"/>
  <c r="H32" i="18" s="1"/>
  <c r="C74" i="29"/>
  <c r="C73" i="29"/>
  <c r="F32" i="18"/>
  <c r="I32" i="18" s="1"/>
  <c r="C33" i="18" s="1"/>
  <c r="H28" i="27"/>
  <c r="I28" i="27" s="1"/>
  <c r="C29" i="27" s="1"/>
  <c r="H30" i="25"/>
  <c r="I30" i="25" s="1"/>
  <c r="C31" i="25" s="1"/>
  <c r="I27" i="26"/>
  <c r="C28" i="26" s="1"/>
  <c r="H32" i="17"/>
  <c r="I32" i="17" s="1"/>
  <c r="C33" i="17" s="1"/>
  <c r="C75" i="29" l="1"/>
  <c r="E31" i="25"/>
  <c r="F31" i="25" s="1"/>
  <c r="E33" i="18"/>
  <c r="E28" i="26"/>
  <c r="E29" i="27"/>
  <c r="E33" i="17"/>
  <c r="H33" i="17" s="1"/>
  <c r="H29" i="27" l="1"/>
  <c r="H33" i="18"/>
  <c r="H28" i="26"/>
  <c r="F28" i="26"/>
  <c r="I28" i="26" s="1"/>
  <c r="C29" i="26" s="1"/>
  <c r="F29" i="27"/>
  <c r="F33" i="18"/>
  <c r="H31" i="25"/>
  <c r="I31" i="25" s="1"/>
  <c r="C32" i="25" s="1"/>
  <c r="F33" i="17"/>
  <c r="I33" i="17" s="1"/>
  <c r="C34" i="17" s="1"/>
  <c r="E32" i="25" l="1"/>
  <c r="F32" i="25"/>
  <c r="E29" i="26"/>
  <c r="F29" i="26" s="1"/>
  <c r="I33" i="18"/>
  <c r="C34" i="18" s="1"/>
  <c r="I29" i="27"/>
  <c r="C30" i="27" s="1"/>
  <c r="E34" i="17"/>
  <c r="H34" i="17" s="1"/>
  <c r="H29" i="26" l="1"/>
  <c r="E30" i="27"/>
  <c r="F30" i="27" s="1"/>
  <c r="I29" i="26"/>
  <c r="C30" i="26" s="1"/>
  <c r="E34" i="18"/>
  <c r="F34" i="18" s="1"/>
  <c r="H32" i="25"/>
  <c r="I32" i="25" s="1"/>
  <c r="C33" i="25" s="1"/>
  <c r="F34" i="17"/>
  <c r="I34" i="17" s="1"/>
  <c r="C35" i="17" s="1"/>
  <c r="E35" i="17" s="1"/>
  <c r="H35" i="17" s="1"/>
  <c r="E33" i="25" l="1"/>
  <c r="H33" i="25" s="1"/>
  <c r="H34" i="18"/>
  <c r="I34" i="18" s="1"/>
  <c r="C35" i="18" s="1"/>
  <c r="E30" i="26"/>
  <c r="F30" i="26" s="1"/>
  <c r="H30" i="27"/>
  <c r="I30" i="27" s="1"/>
  <c r="C31" i="27" s="1"/>
  <c r="F35" i="17"/>
  <c r="I35" i="17" s="1"/>
  <c r="C36" i="17" s="1"/>
  <c r="E36" i="17" s="1"/>
  <c r="H36" i="17" s="1"/>
  <c r="F33" i="25" l="1"/>
  <c r="I33" i="25" s="1"/>
  <c r="C34" i="25" s="1"/>
  <c r="E34" i="25" s="1"/>
  <c r="H34" i="25" s="1"/>
  <c r="E35" i="18"/>
  <c r="F35" i="18" s="1"/>
  <c r="H30" i="26"/>
  <c r="I30" i="26" s="1"/>
  <c r="C31" i="26" s="1"/>
  <c r="E31" i="27"/>
  <c r="F31" i="27" s="1"/>
  <c r="F36" i="17"/>
  <c r="I36" i="17" s="1"/>
  <c r="C37" i="17" s="1"/>
  <c r="E37" i="17" s="1"/>
  <c r="H37" i="17" s="1"/>
  <c r="E31" i="26" l="1"/>
  <c r="F31" i="26"/>
  <c r="H31" i="27"/>
  <c r="I31" i="27" s="1"/>
  <c r="C32" i="27" s="1"/>
  <c r="F34" i="25"/>
  <c r="I34" i="25" s="1"/>
  <c r="C35" i="25" s="1"/>
  <c r="H35" i="18"/>
  <c r="I35" i="18" s="1"/>
  <c r="C36" i="18" s="1"/>
  <c r="F37" i="17"/>
  <c r="I37" i="17" s="1"/>
  <c r="C38" i="17" s="1"/>
  <c r="E32" i="27" l="1"/>
  <c r="H32" i="27" s="1"/>
  <c r="E36" i="18"/>
  <c r="F36" i="18" s="1"/>
  <c r="E35" i="25"/>
  <c r="H35" i="25" s="1"/>
  <c r="H31" i="26"/>
  <c r="I31" i="26" s="1"/>
  <c r="C32" i="26" s="1"/>
  <c r="E38" i="17"/>
  <c r="H38" i="17" s="1"/>
  <c r="F35" i="25" l="1"/>
  <c r="I35" i="25" s="1"/>
  <c r="C36" i="25" s="1"/>
  <c r="E36" i="25" s="1"/>
  <c r="H36" i="25" s="1"/>
  <c r="E32" i="26"/>
  <c r="H32" i="26" s="1"/>
  <c r="H36" i="18"/>
  <c r="I36" i="18" s="1"/>
  <c r="C37" i="18" s="1"/>
  <c r="F32" i="27"/>
  <c r="I32" i="27" s="1"/>
  <c r="C33" i="27" s="1"/>
  <c r="F38" i="17"/>
  <c r="I38" i="17" s="1"/>
  <c r="C39" i="17" s="1"/>
  <c r="E39" i="17" s="1"/>
  <c r="F39" i="17" s="1"/>
  <c r="F36" i="25" l="1"/>
  <c r="I36" i="25" s="1"/>
  <c r="C37" i="25" s="1"/>
  <c r="E37" i="18"/>
  <c r="H37" i="18" s="1"/>
  <c r="E33" i="27"/>
  <c r="H33" i="27" s="1"/>
  <c r="E37" i="25"/>
  <c r="H37" i="25" s="1"/>
  <c r="F32" i="26"/>
  <c r="I32" i="26" s="1"/>
  <c r="C33" i="26" s="1"/>
  <c r="H39" i="17"/>
  <c r="H40" i="17" s="1"/>
  <c r="E40" i="17"/>
  <c r="F37" i="18" l="1"/>
  <c r="I37" i="18" s="1"/>
  <c r="C38" i="18" s="1"/>
  <c r="E38" i="18" s="1"/>
  <c r="H38" i="18" s="1"/>
  <c r="F37" i="25"/>
  <c r="I37" i="25" s="1"/>
  <c r="C38" i="25" s="1"/>
  <c r="E38" i="25" s="1"/>
  <c r="H38" i="25" s="1"/>
  <c r="E33" i="26"/>
  <c r="H33" i="26" s="1"/>
  <c r="F33" i="27"/>
  <c r="I33" i="27" s="1"/>
  <c r="C34" i="27" s="1"/>
  <c r="D26" i="20"/>
  <c r="D11" i="20" s="1"/>
  <c r="I39" i="17"/>
  <c r="C41" i="17" s="1"/>
  <c r="F33" i="26" l="1"/>
  <c r="I33" i="26" s="1"/>
  <c r="C34" i="26" s="1"/>
  <c r="E34" i="26" s="1"/>
  <c r="H34" i="26" s="1"/>
  <c r="F38" i="18"/>
  <c r="I38" i="18" s="1"/>
  <c r="C39" i="18" s="1"/>
  <c r="E34" i="27"/>
  <c r="H34" i="27" s="1"/>
  <c r="F38" i="25"/>
  <c r="I38" i="25" s="1"/>
  <c r="C39" i="25" s="1"/>
  <c r="D16" i="21"/>
  <c r="D24" i="31" s="1"/>
  <c r="E41" i="17"/>
  <c r="F41" i="17" l="1"/>
  <c r="E39" i="25"/>
  <c r="F39" i="25"/>
  <c r="F34" i="27"/>
  <c r="I34" i="27" s="1"/>
  <c r="C35" i="27" s="1"/>
  <c r="F34" i="26"/>
  <c r="I34" i="26" s="1"/>
  <c r="C35" i="26" s="1"/>
  <c r="E39" i="18"/>
  <c r="F39" i="18" s="1"/>
  <c r="H41" i="17"/>
  <c r="H39" i="18" l="1"/>
  <c r="H40" i="18" s="1"/>
  <c r="E40" i="18"/>
  <c r="H39" i="25"/>
  <c r="H40" i="25" s="1"/>
  <c r="E40" i="25"/>
  <c r="I39" i="18"/>
  <c r="E35" i="26"/>
  <c r="H35" i="26" s="1"/>
  <c r="E35" i="27"/>
  <c r="H35" i="27" s="1"/>
  <c r="I41" i="17"/>
  <c r="C42" i="17" s="1"/>
  <c r="F35" i="26" l="1"/>
  <c r="I35" i="26" s="1"/>
  <c r="C36" i="26" s="1"/>
  <c r="F35" i="27"/>
  <c r="I35" i="27" s="1"/>
  <c r="C36" i="27" s="1"/>
  <c r="E36" i="27" s="1"/>
  <c r="H36" i="27" s="1"/>
  <c r="E36" i="26"/>
  <c r="H36" i="26" s="1"/>
  <c r="D28" i="20"/>
  <c r="F11" i="16"/>
  <c r="D17" i="21"/>
  <c r="C41" i="18"/>
  <c r="I39" i="25"/>
  <c r="E42" i="17"/>
  <c r="F36" i="27" l="1"/>
  <c r="I36" i="27" s="1"/>
  <c r="C37" i="27" s="1"/>
  <c r="E37" i="27" s="1"/>
  <c r="F36" i="26"/>
  <c r="I36" i="26" s="1"/>
  <c r="C37" i="26" s="1"/>
  <c r="D17" i="29"/>
  <c r="D18" i="31" s="1"/>
  <c r="C41" i="25"/>
  <c r="D13" i="20"/>
  <c r="D32" i="20"/>
  <c r="D12" i="47" s="1"/>
  <c r="D14" i="47" s="1"/>
  <c r="D24" i="47" s="1"/>
  <c r="D31" i="47" s="1"/>
  <c r="E41" i="18"/>
  <c r="F12" i="16"/>
  <c r="F20" i="16"/>
  <c r="D11" i="21" s="1"/>
  <c r="D25" i="31"/>
  <c r="D26" i="31" s="1"/>
  <c r="D18" i="21"/>
  <c r="H42" i="17"/>
  <c r="F42" i="17"/>
  <c r="D11" i="31" l="1"/>
  <c r="D12" i="31" s="1"/>
  <c r="D12" i="21"/>
  <c r="D14" i="21" s="1"/>
  <c r="D50" i="21" s="1"/>
  <c r="D17" i="20"/>
  <c r="D31" i="21" s="1"/>
  <c r="D52" i="21" s="1"/>
  <c r="C42" i="45"/>
  <c r="C57" i="45" s="1"/>
  <c r="F41" i="18"/>
  <c r="H37" i="27"/>
  <c r="F37" i="27"/>
  <c r="H41" i="18"/>
  <c r="E37" i="26"/>
  <c r="H37" i="26" s="1"/>
  <c r="E41" i="25"/>
  <c r="F41" i="25" s="1"/>
  <c r="I42" i="17"/>
  <c r="C43" i="17" s="1"/>
  <c r="E43" i="17" s="1"/>
  <c r="D51" i="21" l="1"/>
  <c r="D45" i="21"/>
  <c r="C44" i="45"/>
  <c r="E9" i="21"/>
  <c r="C59" i="45"/>
  <c r="C100" i="45"/>
  <c r="I41" i="18"/>
  <c r="C42" i="18" s="1"/>
  <c r="E42" i="18" s="1"/>
  <c r="I37" i="27"/>
  <c r="C38" i="27" s="1"/>
  <c r="E38" i="27" s="1"/>
  <c r="H38" i="27" s="1"/>
  <c r="H39" i="27" s="1"/>
  <c r="F37" i="26"/>
  <c r="I37" i="26" s="1"/>
  <c r="C38" i="26" s="1"/>
  <c r="E38" i="26" s="1"/>
  <c r="F43" i="17"/>
  <c r="E39" i="27"/>
  <c r="H41" i="25"/>
  <c r="I41" i="25" s="1"/>
  <c r="C42" i="25" s="1"/>
  <c r="H43" i="17"/>
  <c r="F38" i="27" l="1"/>
  <c r="F42" i="18"/>
  <c r="I38" i="27"/>
  <c r="C40" i="27" s="1"/>
  <c r="H38" i="26"/>
  <c r="H39" i="26" s="1"/>
  <c r="E39" i="26"/>
  <c r="E36" i="24" s="1"/>
  <c r="E36" i="30" s="1"/>
  <c r="H42" i="18"/>
  <c r="I42" i="18" s="1"/>
  <c r="C43" i="18" s="1"/>
  <c r="E42" i="25"/>
  <c r="F38" i="26"/>
  <c r="I38" i="26" s="1"/>
  <c r="I43" i="17"/>
  <c r="C44" i="17" s="1"/>
  <c r="E9" i="48" l="1"/>
  <c r="E39" i="30"/>
  <c r="D19" i="29"/>
  <c r="D20" i="31" s="1"/>
  <c r="H42" i="25"/>
  <c r="E40" i="27"/>
  <c r="F40" i="27" s="1"/>
  <c r="D18" i="29"/>
  <c r="D19" i="31" s="1"/>
  <c r="C40" i="26"/>
  <c r="E39" i="24"/>
  <c r="F42" i="25"/>
  <c r="E43" i="18"/>
  <c r="F43" i="18"/>
  <c r="E44" i="17"/>
  <c r="I42" i="25" l="1"/>
  <c r="C43" i="25" s="1"/>
  <c r="E13" i="48"/>
  <c r="E14" i="48" s="1"/>
  <c r="E28" i="48"/>
  <c r="E32" i="48" s="1"/>
  <c r="E67" i="48"/>
  <c r="D11" i="32"/>
  <c r="D27" i="32" s="1"/>
  <c r="D31" i="32" s="1"/>
  <c r="D14" i="32"/>
  <c r="D15" i="32" s="1"/>
  <c r="H40" i="27"/>
  <c r="F44" i="17"/>
  <c r="H43" i="18"/>
  <c r="I43" i="18" s="1"/>
  <c r="C44" i="18" s="1"/>
  <c r="E40" i="26"/>
  <c r="F40" i="26" s="1"/>
  <c r="E43" i="25"/>
  <c r="D21" i="31"/>
  <c r="D20" i="29"/>
  <c r="D68" i="29" s="1"/>
  <c r="D71" i="29" s="1"/>
  <c r="H44" i="17"/>
  <c r="E47" i="48" l="1"/>
  <c r="E51" i="48" s="1"/>
  <c r="E52" i="48" s="1"/>
  <c r="E33" i="48"/>
  <c r="D70" i="29"/>
  <c r="H43" i="25"/>
  <c r="I44" i="17"/>
  <c r="C45" i="17" s="1"/>
  <c r="E45" i="17" s="1"/>
  <c r="D42" i="32"/>
  <c r="H40" i="26"/>
  <c r="E44" i="18"/>
  <c r="F44" i="18" s="1"/>
  <c r="I40" i="27"/>
  <c r="C41" i="27" s="1"/>
  <c r="F43" i="25"/>
  <c r="I43" i="25" s="1"/>
  <c r="C44" i="25" s="1"/>
  <c r="D74" i="29" l="1"/>
  <c r="D73" i="29"/>
  <c r="F45" i="17"/>
  <c r="K45" i="17"/>
  <c r="I40" i="26"/>
  <c r="C41" i="26" s="1"/>
  <c r="E44" i="25"/>
  <c r="H44" i="18"/>
  <c r="I44" i="18" s="1"/>
  <c r="C45" i="18" s="1"/>
  <c r="E41" i="27"/>
  <c r="H45" i="17"/>
  <c r="D75" i="29" l="1"/>
  <c r="I45" i="17"/>
  <c r="C46" i="17" s="1"/>
  <c r="H41" i="27"/>
  <c r="H44" i="25"/>
  <c r="F41" i="27"/>
  <c r="E45" i="18"/>
  <c r="F45" i="18" s="1"/>
  <c r="E41" i="26"/>
  <c r="F44" i="25"/>
  <c r="E46" i="17"/>
  <c r="H46" i="17" s="1"/>
  <c r="I41" i="27" l="1"/>
  <c r="C42" i="27" s="1"/>
  <c r="I44" i="25"/>
  <c r="C45" i="25" s="1"/>
  <c r="H45" i="18"/>
  <c r="I45" i="18" s="1"/>
  <c r="C46" i="18" s="1"/>
  <c r="K45" i="18"/>
  <c r="H41" i="26"/>
  <c r="E42" i="27"/>
  <c r="F42" i="27" s="1"/>
  <c r="F41" i="26"/>
  <c r="F46" i="17"/>
  <c r="I46" i="17" s="1"/>
  <c r="C47" i="17" s="1"/>
  <c r="I41" i="26" l="1"/>
  <c r="C42" i="26" s="1"/>
  <c r="E46" i="18"/>
  <c r="F46" i="18" s="1"/>
  <c r="H42" i="27"/>
  <c r="I42" i="27" s="1"/>
  <c r="C43" i="27" s="1"/>
  <c r="E45" i="25"/>
  <c r="F45" i="25" s="1"/>
  <c r="E42" i="26"/>
  <c r="F42" i="26" s="1"/>
  <c r="E47" i="17"/>
  <c r="H47" i="17" s="1"/>
  <c r="H42" i="26" l="1"/>
  <c r="H46" i="18"/>
  <c r="I46" i="18" s="1"/>
  <c r="C47" i="18" s="1"/>
  <c r="E43" i="27"/>
  <c r="F43" i="27" s="1"/>
  <c r="H45" i="25"/>
  <c r="I45" i="25" s="1"/>
  <c r="C46" i="25" s="1"/>
  <c r="F47" i="17"/>
  <c r="I47" i="17" s="1"/>
  <c r="C48" i="17" s="1"/>
  <c r="E48" i="17" s="1"/>
  <c r="H48" i="17" s="1"/>
  <c r="H43" i="27" l="1"/>
  <c r="I43" i="27" s="1"/>
  <c r="C44" i="27" s="1"/>
  <c r="E46" i="25"/>
  <c r="H46" i="25" s="1"/>
  <c r="E47" i="18"/>
  <c r="F47" i="18" s="1"/>
  <c r="I42" i="26"/>
  <c r="C43" i="26" s="1"/>
  <c r="F48" i="17"/>
  <c r="I48" i="17" s="1"/>
  <c r="C49" i="17" s="1"/>
  <c r="E49" i="17" s="1"/>
  <c r="H49" i="17" s="1"/>
  <c r="E43" i="26" l="1"/>
  <c r="F43" i="26" s="1"/>
  <c r="H47" i="18"/>
  <c r="I47" i="18" s="1"/>
  <c r="C48" i="18" s="1"/>
  <c r="E44" i="27"/>
  <c r="F44" i="27" s="1"/>
  <c r="F46" i="25"/>
  <c r="I46" i="25" s="1"/>
  <c r="C47" i="25" s="1"/>
  <c r="F49" i="17"/>
  <c r="I49" i="17" s="1"/>
  <c r="C50" i="17" s="1"/>
  <c r="E50" i="17" s="1"/>
  <c r="H50" i="17" s="1"/>
  <c r="E48" i="18" l="1"/>
  <c r="H48" i="18" s="1"/>
  <c r="H44" i="27"/>
  <c r="I44" i="27" s="1"/>
  <c r="C45" i="27" s="1"/>
  <c r="H43" i="26"/>
  <c r="I43" i="26" s="1"/>
  <c r="C44" i="26" s="1"/>
  <c r="E47" i="25"/>
  <c r="H47" i="25" s="1"/>
  <c r="F50" i="17"/>
  <c r="I50" i="17" s="1"/>
  <c r="C51" i="17" s="1"/>
  <c r="E51" i="17" s="1"/>
  <c r="H51" i="17" l="1"/>
  <c r="E26" i="20"/>
  <c r="E44" i="26"/>
  <c r="F44" i="26" s="1"/>
  <c r="E45" i="27"/>
  <c r="H45" i="27" s="1"/>
  <c r="F48" i="18"/>
  <c r="I48" i="18" s="1"/>
  <c r="C49" i="18" s="1"/>
  <c r="F47" i="25"/>
  <c r="I47" i="25" s="1"/>
  <c r="C48" i="25" s="1"/>
  <c r="F51" i="17"/>
  <c r="I51" i="17" s="1"/>
  <c r="C52" i="17" s="1"/>
  <c r="E52" i="17" s="1"/>
  <c r="F42" i="20" l="1"/>
  <c r="E11" i="20"/>
  <c r="E49" i="18"/>
  <c r="H49" i="18" s="1"/>
  <c r="F45" i="27"/>
  <c r="I45" i="27" s="1"/>
  <c r="C46" i="27" s="1"/>
  <c r="E48" i="25"/>
  <c r="H48" i="25" s="1"/>
  <c r="H44" i="26"/>
  <c r="I44" i="26" s="1"/>
  <c r="C45" i="26" s="1"/>
  <c r="H52" i="17"/>
  <c r="H53" i="17" s="1"/>
  <c r="E53" i="17"/>
  <c r="F52" i="17"/>
  <c r="G42" i="20" l="1"/>
  <c r="F11" i="20"/>
  <c r="F49" i="18"/>
  <c r="I49" i="18" s="1"/>
  <c r="C50" i="18" s="1"/>
  <c r="E50" i="18" s="1"/>
  <c r="H50" i="18" s="1"/>
  <c r="I52" i="17"/>
  <c r="E16" i="21" s="1"/>
  <c r="E24" i="31" s="1"/>
  <c r="F48" i="25"/>
  <c r="I48" i="25" s="1"/>
  <c r="C49" i="25" s="1"/>
  <c r="E49" i="25" s="1"/>
  <c r="H49" i="25" s="1"/>
  <c r="E45" i="26"/>
  <c r="H45" i="26" s="1"/>
  <c r="E46" i="27"/>
  <c r="H46" i="27" s="1"/>
  <c r="F46" i="27"/>
  <c r="I46" i="27" s="1"/>
  <c r="C47" i="27" s="1"/>
  <c r="H42" i="20" l="1"/>
  <c r="G11" i="20"/>
  <c r="F50" i="18"/>
  <c r="I50" i="18" s="1"/>
  <c r="C51" i="18" s="1"/>
  <c r="E51" i="18" s="1"/>
  <c r="C54" i="17"/>
  <c r="E54" i="17" s="1"/>
  <c r="F54" i="17" s="1"/>
  <c r="E47" i="27"/>
  <c r="H47" i="27" s="1"/>
  <c r="F49" i="25"/>
  <c r="I49" i="25" s="1"/>
  <c r="C50" i="25" s="1"/>
  <c r="F45" i="26"/>
  <c r="I45" i="26" s="1"/>
  <c r="C46" i="26" s="1"/>
  <c r="H51" i="18" l="1"/>
  <c r="E28" i="20"/>
  <c r="I42" i="20"/>
  <c r="H11" i="20"/>
  <c r="F47" i="27"/>
  <c r="I47" i="27" s="1"/>
  <c r="C48" i="27" s="1"/>
  <c r="F51" i="18"/>
  <c r="I51" i="18" s="1"/>
  <c r="C52" i="18" s="1"/>
  <c r="E52" i="18" s="1"/>
  <c r="G36" i="19" s="1"/>
  <c r="E48" i="27"/>
  <c r="H48" i="27" s="1"/>
  <c r="E46" i="26"/>
  <c r="H46" i="26" s="1"/>
  <c r="E50" i="25"/>
  <c r="H50" i="25" s="1"/>
  <c r="H54" i="17"/>
  <c r="I54" i="17" s="1"/>
  <c r="C55" i="17" s="1"/>
  <c r="E28" i="41" l="1"/>
  <c r="J42" i="20"/>
  <c r="I11" i="20"/>
  <c r="F44" i="20"/>
  <c r="F48" i="20" s="1"/>
  <c r="G18" i="19" s="1"/>
  <c r="E9" i="47" s="1"/>
  <c r="E13" i="20"/>
  <c r="E32" i="20"/>
  <c r="E12" i="47" s="1"/>
  <c r="D14" i="45"/>
  <c r="D15" i="45" s="1"/>
  <c r="D11" i="45"/>
  <c r="D27" i="45" s="1"/>
  <c r="F46" i="26"/>
  <c r="I46" i="26" s="1"/>
  <c r="C47" i="26" s="1"/>
  <c r="E47" i="26" s="1"/>
  <c r="H47" i="26" s="1"/>
  <c r="F48" i="27"/>
  <c r="I48" i="27" s="1"/>
  <c r="C49" i="27" s="1"/>
  <c r="H52" i="18"/>
  <c r="H53" i="18" s="1"/>
  <c r="E53" i="18"/>
  <c r="F50" i="25"/>
  <c r="I50" i="25" s="1"/>
  <c r="C51" i="25" s="1"/>
  <c r="F52" i="18"/>
  <c r="E55" i="17"/>
  <c r="E32" i="41" l="1"/>
  <c r="E29" i="41"/>
  <c r="G44" i="20"/>
  <c r="G48" i="20" s="1"/>
  <c r="H18" i="19" s="1"/>
  <c r="F9" i="47" s="1"/>
  <c r="F13" i="20"/>
  <c r="E17" i="20"/>
  <c r="E31" i="21" s="1"/>
  <c r="K42" i="20"/>
  <c r="J11" i="20" s="1"/>
  <c r="E9" i="41"/>
  <c r="E13" i="41" s="1"/>
  <c r="E14" i="41" s="1"/>
  <c r="D11" i="16"/>
  <c r="D26" i="39"/>
  <c r="G19" i="19"/>
  <c r="G24" i="19" s="1"/>
  <c r="G29" i="19" s="1"/>
  <c r="G47" i="19"/>
  <c r="D10" i="45" s="1"/>
  <c r="D26" i="45" s="1"/>
  <c r="I52" i="18"/>
  <c r="C54" i="18" s="1"/>
  <c r="E54" i="18" s="1"/>
  <c r="E51" i="25"/>
  <c r="H51" i="25" s="1"/>
  <c r="E49" i="27"/>
  <c r="H49" i="27" s="1"/>
  <c r="D27" i="39"/>
  <c r="G39" i="19"/>
  <c r="D31" i="45" s="1"/>
  <c r="F47" i="26"/>
  <c r="I47" i="26" s="1"/>
  <c r="C48" i="26" s="1"/>
  <c r="H55" i="17"/>
  <c r="F55" i="17"/>
  <c r="F86" i="48" l="1"/>
  <c r="E45" i="21"/>
  <c r="E47" i="41"/>
  <c r="E33" i="41"/>
  <c r="E35" i="41" s="1"/>
  <c r="E67" i="41"/>
  <c r="E71" i="41" s="1"/>
  <c r="L42" i="20"/>
  <c r="K11" i="20" s="1"/>
  <c r="D18" i="16"/>
  <c r="G11" i="16"/>
  <c r="I17" i="16"/>
  <c r="D44" i="45"/>
  <c r="E86" i="41"/>
  <c r="E17" i="21"/>
  <c r="E25" i="31" s="1"/>
  <c r="E26" i="31" s="1"/>
  <c r="H44" i="20"/>
  <c r="H48" i="20" s="1"/>
  <c r="I18" i="19" s="1"/>
  <c r="G9" i="47" s="1"/>
  <c r="F17" i="20"/>
  <c r="F31" i="21" s="1"/>
  <c r="G31" i="19"/>
  <c r="D11" i="40"/>
  <c r="D17" i="39"/>
  <c r="D28" i="39" s="1"/>
  <c r="D29" i="39" s="1"/>
  <c r="D30" i="39" s="1"/>
  <c r="D32" i="39" s="1"/>
  <c r="H47" i="19"/>
  <c r="E10" i="45" s="1"/>
  <c r="E26" i="45" s="1"/>
  <c r="H19" i="19"/>
  <c r="H24" i="19" s="1"/>
  <c r="H29" i="19" s="1"/>
  <c r="E26" i="39"/>
  <c r="F49" i="27"/>
  <c r="I49" i="27" s="1"/>
  <c r="C50" i="27" s="1"/>
  <c r="E50" i="27" s="1"/>
  <c r="H50" i="27" s="1"/>
  <c r="F51" i="25"/>
  <c r="I51" i="25" s="1"/>
  <c r="C52" i="25" s="1"/>
  <c r="E52" i="25" s="1"/>
  <c r="F52" i="25" s="1"/>
  <c r="E48" i="26"/>
  <c r="H48" i="26" s="1"/>
  <c r="F54" i="18"/>
  <c r="H54" i="18"/>
  <c r="G51" i="19"/>
  <c r="E18" i="21"/>
  <c r="I55" i="17"/>
  <c r="C56" i="17" s="1"/>
  <c r="F97" i="48" l="1"/>
  <c r="F84" i="48"/>
  <c r="F88" i="48" s="1"/>
  <c r="E52" i="21"/>
  <c r="G86" i="48"/>
  <c r="E51" i="41"/>
  <c r="E52" i="41" s="1"/>
  <c r="E48" i="41"/>
  <c r="H31" i="19"/>
  <c r="E17" i="39"/>
  <c r="E28" i="39" s="1"/>
  <c r="D12" i="40"/>
  <c r="G58" i="19"/>
  <c r="G64" i="19" s="1"/>
  <c r="G34" i="19"/>
  <c r="G59" i="19"/>
  <c r="G65" i="19" s="1"/>
  <c r="E11" i="40"/>
  <c r="F11" i="40" s="1"/>
  <c r="I19" i="19"/>
  <c r="I24" i="19" s="1"/>
  <c r="I29" i="19" s="1"/>
  <c r="F26" i="39"/>
  <c r="I47" i="19"/>
  <c r="F10" i="45" s="1"/>
  <c r="F26" i="45" s="1"/>
  <c r="E44" i="45"/>
  <c r="F45" i="21"/>
  <c r="F86" i="41"/>
  <c r="M42" i="20"/>
  <c r="L11" i="20"/>
  <c r="N42" i="20" s="1"/>
  <c r="D42" i="45"/>
  <c r="D57" i="45" s="1"/>
  <c r="G13" i="20"/>
  <c r="E84" i="41"/>
  <c r="E88" i="41" s="1"/>
  <c r="E97" i="41"/>
  <c r="I54" i="18"/>
  <c r="C55" i="18" s="1"/>
  <c r="H52" i="25"/>
  <c r="H53" i="25" s="1"/>
  <c r="E53" i="25"/>
  <c r="F50" i="27"/>
  <c r="I50" i="27" s="1"/>
  <c r="C51" i="27" s="1"/>
  <c r="F48" i="26"/>
  <c r="I48" i="26" s="1"/>
  <c r="C49" i="26" s="1"/>
  <c r="E56" i="17"/>
  <c r="E54" i="41" l="1"/>
  <c r="G60" i="19"/>
  <c r="G41" i="19"/>
  <c r="G45" i="19" s="1"/>
  <c r="I44" i="20"/>
  <c r="I48" i="20" s="1"/>
  <c r="J18" i="19" s="1"/>
  <c r="H9" i="47" s="1"/>
  <c r="G17" i="20"/>
  <c r="G31" i="21" s="1"/>
  <c r="M11" i="20"/>
  <c r="D13" i="40"/>
  <c r="F17" i="39"/>
  <c r="F28" i="39" s="1"/>
  <c r="I31" i="19"/>
  <c r="H58" i="19"/>
  <c r="H64" i="19" s="1"/>
  <c r="H34" i="19"/>
  <c r="H60" i="19" s="1"/>
  <c r="H59" i="19"/>
  <c r="H65" i="19" s="1"/>
  <c r="D18" i="39"/>
  <c r="D19" i="39" s="1"/>
  <c r="I52" i="25"/>
  <c r="C54" i="25" s="1"/>
  <c r="E49" i="26"/>
  <c r="H49" i="26" s="1"/>
  <c r="E51" i="27"/>
  <c r="F51" i="27" s="1"/>
  <c r="E55" i="18"/>
  <c r="H55" i="18" s="1"/>
  <c r="H56" i="17"/>
  <c r="O42" i="20"/>
  <c r="F56" i="17"/>
  <c r="H86" i="48" l="1"/>
  <c r="H13" i="20"/>
  <c r="I13" i="20" s="1"/>
  <c r="G66" i="19"/>
  <c r="E4" i="47"/>
  <c r="E7" i="47" s="1"/>
  <c r="E14" i="47" s="1"/>
  <c r="H66" i="19"/>
  <c r="F4" i="47"/>
  <c r="F7" i="47" s="1"/>
  <c r="F14" i="47" s="1"/>
  <c r="F24" i="47" s="1"/>
  <c r="F31" i="47" s="1"/>
  <c r="J44" i="20"/>
  <c r="J48" i="20" s="1"/>
  <c r="K18" i="19" s="1"/>
  <c r="I9" i="47" s="1"/>
  <c r="J19" i="19"/>
  <c r="J24" i="19" s="1"/>
  <c r="J29" i="19" s="1"/>
  <c r="G26" i="39"/>
  <c r="J47" i="19"/>
  <c r="G10" i="45" s="1"/>
  <c r="G26" i="45" s="1"/>
  <c r="E17" i="29"/>
  <c r="E18" i="31" s="1"/>
  <c r="I58" i="19"/>
  <c r="I64" i="19" s="1"/>
  <c r="I34" i="19"/>
  <c r="I60" i="19" s="1"/>
  <c r="I59" i="19"/>
  <c r="I65" i="19" s="1"/>
  <c r="F44" i="45"/>
  <c r="G45" i="21"/>
  <c r="G86" i="41"/>
  <c r="D9" i="45"/>
  <c r="D25" i="45" s="1"/>
  <c r="E53" i="21"/>
  <c r="D20" i="39"/>
  <c r="D31" i="39"/>
  <c r="G61" i="19"/>
  <c r="G67" i="19" s="1"/>
  <c r="E13" i="21"/>
  <c r="G49" i="19"/>
  <c r="E8" i="41" s="1"/>
  <c r="H51" i="27"/>
  <c r="H52" i="27" s="1"/>
  <c r="H54" i="27" s="1"/>
  <c r="E52" i="27"/>
  <c r="E54" i="27" s="1"/>
  <c r="F49" i="26"/>
  <c r="I49" i="26" s="1"/>
  <c r="C50" i="26" s="1"/>
  <c r="F55" i="18"/>
  <c r="I55" i="18" s="1"/>
  <c r="C56" i="18" s="1"/>
  <c r="E54" i="25"/>
  <c r="F54" i="25" s="1"/>
  <c r="I56" i="17"/>
  <c r="C57" i="17" s="1"/>
  <c r="E57" i="17" s="1"/>
  <c r="N11" i="20"/>
  <c r="P42" i="20" s="1"/>
  <c r="H17" i="20" l="1"/>
  <c r="H31" i="21" s="1"/>
  <c r="E24" i="47"/>
  <c r="I66" i="19"/>
  <c r="G4" i="47"/>
  <c r="G7" i="47" s="1"/>
  <c r="G14" i="47" s="1"/>
  <c r="G24" i="47" s="1"/>
  <c r="G31" i="47" s="1"/>
  <c r="G44" i="45"/>
  <c r="H45" i="21"/>
  <c r="H86" i="41"/>
  <c r="K44" i="20"/>
  <c r="K48" i="20" s="1"/>
  <c r="L18" i="19" s="1"/>
  <c r="J9" i="47" s="1"/>
  <c r="I17" i="20"/>
  <c r="I31" i="21" s="1"/>
  <c r="J31" i="19"/>
  <c r="D14" i="40"/>
  <c r="G17" i="39"/>
  <c r="G28" i="39" s="1"/>
  <c r="K47" i="19"/>
  <c r="H10" i="45" s="1"/>
  <c r="H26" i="45" s="1"/>
  <c r="H26" i="39"/>
  <c r="K19" i="19"/>
  <c r="K24" i="19" s="1"/>
  <c r="K29" i="19" s="1"/>
  <c r="E66" i="41"/>
  <c r="E69" i="41" s="1"/>
  <c r="E73" i="41" s="1"/>
  <c r="E10" i="41"/>
  <c r="E16" i="41" s="1"/>
  <c r="I51" i="27"/>
  <c r="E56" i="18"/>
  <c r="H56" i="18" s="1"/>
  <c r="E50" i="26"/>
  <c r="H50" i="26" s="1"/>
  <c r="H54" i="25"/>
  <c r="F57" i="17"/>
  <c r="H57" i="17"/>
  <c r="O11" i="20"/>
  <c r="J13" i="20" l="1"/>
  <c r="J86" i="48"/>
  <c r="I86" i="48"/>
  <c r="E31" i="47"/>
  <c r="J58" i="19"/>
  <c r="J64" i="19" s="1"/>
  <c r="J34" i="19"/>
  <c r="J60" i="19" s="1"/>
  <c r="J59" i="19"/>
  <c r="J65" i="19" s="1"/>
  <c r="J17" i="20"/>
  <c r="J31" i="21" s="1"/>
  <c r="L44" i="20"/>
  <c r="L48" i="20" s="1"/>
  <c r="M18" i="19" s="1"/>
  <c r="K9" i="47" s="1"/>
  <c r="K13" i="20"/>
  <c r="H17" i="39"/>
  <c r="H28" i="39" s="1"/>
  <c r="K31" i="19"/>
  <c r="D15" i="40"/>
  <c r="H44" i="45"/>
  <c r="I45" i="21"/>
  <c r="I86" i="41"/>
  <c r="L47" i="19"/>
  <c r="I10" i="45" s="1"/>
  <c r="I26" i="45" s="1"/>
  <c r="L19" i="19"/>
  <c r="L24" i="19" s="1"/>
  <c r="L29" i="19" s="1"/>
  <c r="I26" i="39"/>
  <c r="F56" i="18"/>
  <c r="I56" i="18" s="1"/>
  <c r="C57" i="18" s="1"/>
  <c r="E57" i="18" s="1"/>
  <c r="H57" i="18" s="1"/>
  <c r="F50" i="26"/>
  <c r="I50" i="26" s="1"/>
  <c r="C51" i="26" s="1"/>
  <c r="E51" i="26" s="1"/>
  <c r="I57" i="17"/>
  <c r="C58" i="17" s="1"/>
  <c r="E58" i="17" s="1"/>
  <c r="I54" i="25"/>
  <c r="C55" i="25" s="1"/>
  <c r="Q42" i="20"/>
  <c r="K86" i="48" l="1"/>
  <c r="J66" i="19"/>
  <c r="H4" i="47"/>
  <c r="H7" i="47" s="1"/>
  <c r="H14" i="47" s="1"/>
  <c r="I44" i="45"/>
  <c r="J86" i="41"/>
  <c r="J45" i="21"/>
  <c r="I17" i="39"/>
  <c r="I28" i="39" s="1"/>
  <c r="L31" i="19"/>
  <c r="D16" i="40"/>
  <c r="M44" i="20"/>
  <c r="M48" i="20" s="1"/>
  <c r="N18" i="19" s="1"/>
  <c r="L9" i="47" s="1"/>
  <c r="K17" i="20"/>
  <c r="K31" i="21" s="1"/>
  <c r="K58" i="19"/>
  <c r="K64" i="19" s="1"/>
  <c r="K59" i="19"/>
  <c r="K65" i="19" s="1"/>
  <c r="K34" i="19"/>
  <c r="K60" i="19" s="1"/>
  <c r="M19" i="19"/>
  <c r="M24" i="19" s="1"/>
  <c r="M29" i="19" s="1"/>
  <c r="J26" i="39"/>
  <c r="M47" i="19"/>
  <c r="J10" i="45" s="1"/>
  <c r="J26" i="45" s="1"/>
  <c r="H51" i="26"/>
  <c r="H52" i="26" s="1"/>
  <c r="E52" i="26"/>
  <c r="F36" i="24" s="1"/>
  <c r="F36" i="30" s="1"/>
  <c r="E55" i="25"/>
  <c r="F55" i="25" s="1"/>
  <c r="F51" i="26"/>
  <c r="F57" i="18"/>
  <c r="I57" i="18" s="1"/>
  <c r="C58" i="18" s="1"/>
  <c r="E58" i="18" s="1"/>
  <c r="D12" i="16"/>
  <c r="D20" i="16" s="1"/>
  <c r="D17" i="16" s="1"/>
  <c r="F58" i="17"/>
  <c r="P11" i="20"/>
  <c r="H58" i="17"/>
  <c r="F39" i="30" l="1"/>
  <c r="F9" i="48"/>
  <c r="L86" i="48"/>
  <c r="I51" i="26"/>
  <c r="H24" i="47"/>
  <c r="K66" i="19"/>
  <c r="I4" i="47"/>
  <c r="I7" i="47" s="1"/>
  <c r="I14" i="47" s="1"/>
  <c r="I24" i="47" s="1"/>
  <c r="I31" i="47" s="1"/>
  <c r="M31" i="19"/>
  <c r="D17" i="40"/>
  <c r="J17" i="39"/>
  <c r="J28" i="39" s="1"/>
  <c r="L13" i="20"/>
  <c r="K26" i="39"/>
  <c r="N47" i="19"/>
  <c r="K10" i="45" s="1"/>
  <c r="K26" i="45" s="1"/>
  <c r="N19" i="19"/>
  <c r="N24" i="19" s="1"/>
  <c r="N29" i="19" s="1"/>
  <c r="J44" i="45"/>
  <c r="K45" i="21"/>
  <c r="K86" i="41"/>
  <c r="L58" i="19"/>
  <c r="L64" i="19" s="1"/>
  <c r="L59" i="19"/>
  <c r="L65" i="19" s="1"/>
  <c r="L34" i="19"/>
  <c r="L60" i="19" s="1"/>
  <c r="F58" i="18"/>
  <c r="H58" i="18"/>
  <c r="F39" i="24"/>
  <c r="D27" i="43"/>
  <c r="E18" i="29"/>
  <c r="E19" i="31" s="1"/>
  <c r="C53" i="26"/>
  <c r="H55" i="25"/>
  <c r="I58" i="17"/>
  <c r="C59" i="17" s="1"/>
  <c r="E59" i="17" s="1"/>
  <c r="H59" i="17" s="1"/>
  <c r="G20" i="16"/>
  <c r="G12" i="16"/>
  <c r="H12" i="16" s="1"/>
  <c r="F13" i="48" l="1"/>
  <c r="F28" i="48"/>
  <c r="F32" i="48" s="1"/>
  <c r="F67" i="48"/>
  <c r="F71" i="48" s="1"/>
  <c r="H31" i="47"/>
  <c r="L66" i="19"/>
  <c r="J4" i="47"/>
  <c r="J7" i="47" s="1"/>
  <c r="J14" i="47" s="1"/>
  <c r="J24" i="47" s="1"/>
  <c r="J31" i="47" s="1"/>
  <c r="D18" i="40"/>
  <c r="K17" i="39"/>
  <c r="K28" i="39" s="1"/>
  <c r="N31" i="19"/>
  <c r="N44" i="20"/>
  <c r="N48" i="20" s="1"/>
  <c r="O18" i="19" s="1"/>
  <c r="M9" i="47" s="1"/>
  <c r="L17" i="20"/>
  <c r="L31" i="21" s="1"/>
  <c r="M58" i="19"/>
  <c r="M64" i="19" s="1"/>
  <c r="M59" i="19"/>
  <c r="M65" i="19" s="1"/>
  <c r="M34" i="19"/>
  <c r="M60" i="19" s="1"/>
  <c r="I58" i="18"/>
  <c r="C59" i="18" s="1"/>
  <c r="E59" i="18" s="1"/>
  <c r="E11" i="32"/>
  <c r="E27" i="32" s="1"/>
  <c r="E31" i="32" s="1"/>
  <c r="E14" i="32"/>
  <c r="E15" i="32" s="1"/>
  <c r="E53" i="26"/>
  <c r="F53" i="26" s="1"/>
  <c r="E21" i="31"/>
  <c r="E42" i="32" s="1"/>
  <c r="E20" i="29"/>
  <c r="E68" i="29" s="1"/>
  <c r="E71" i="29" s="1"/>
  <c r="I55" i="25"/>
  <c r="C56" i="25" s="1"/>
  <c r="H20" i="16"/>
  <c r="F59" i="17"/>
  <c r="I59" i="17" s="1"/>
  <c r="C60" i="17" s="1"/>
  <c r="M86" i="48" l="1"/>
  <c r="F47" i="48"/>
  <c r="F51" i="48" s="1"/>
  <c r="F52" i="48" s="1"/>
  <c r="F33" i="48"/>
  <c r="F14" i="48"/>
  <c r="E70" i="29"/>
  <c r="M66" i="19"/>
  <c r="K4" i="47"/>
  <c r="K7" i="47" s="1"/>
  <c r="K14" i="47" s="1"/>
  <c r="K24" i="47" s="1"/>
  <c r="B22" i="16"/>
  <c r="E11" i="21"/>
  <c r="L26" i="39"/>
  <c r="O19" i="19"/>
  <c r="O24" i="19" s="1"/>
  <c r="O29" i="19" s="1"/>
  <c r="O47" i="19"/>
  <c r="L10" i="45" s="1"/>
  <c r="L26" i="45" s="1"/>
  <c r="N58" i="19"/>
  <c r="N64" i="19" s="1"/>
  <c r="N59" i="19"/>
  <c r="N65" i="19" s="1"/>
  <c r="N34" i="19"/>
  <c r="N60" i="19" s="1"/>
  <c r="M13" i="20"/>
  <c r="K44" i="45"/>
  <c r="L45" i="21"/>
  <c r="L86" i="41"/>
  <c r="E56" i="25"/>
  <c r="F56" i="25" s="1"/>
  <c r="H59" i="18"/>
  <c r="H53" i="26"/>
  <c r="F59" i="18"/>
  <c r="E60" i="17"/>
  <c r="H60" i="17" s="1"/>
  <c r="E74" i="29" l="1"/>
  <c r="E73" i="29"/>
  <c r="N66" i="19"/>
  <c r="L4" i="47"/>
  <c r="L7" i="47" s="1"/>
  <c r="L14" i="47" s="1"/>
  <c r="L24" i="47" s="1"/>
  <c r="L31" i="47" s="1"/>
  <c r="K31" i="47"/>
  <c r="F11" i="21"/>
  <c r="E11" i="31"/>
  <c r="E12" i="31" s="1"/>
  <c r="E12" i="21"/>
  <c r="O31" i="19"/>
  <c r="D19" i="40"/>
  <c r="L17" i="39"/>
  <c r="L28" i="39" s="1"/>
  <c r="M17" i="20"/>
  <c r="M31" i="21" s="1"/>
  <c r="O44" i="20"/>
  <c r="O48" i="20" s="1"/>
  <c r="P18" i="19" s="1"/>
  <c r="N9" i="47" s="1"/>
  <c r="N13" i="20"/>
  <c r="I59" i="18"/>
  <c r="C60" i="18" s="1"/>
  <c r="E60" i="18" s="1"/>
  <c r="I53" i="26"/>
  <c r="C54" i="26" s="1"/>
  <c r="H56" i="25"/>
  <c r="F60" i="17"/>
  <c r="I60" i="17" s="1"/>
  <c r="C61" i="17" s="1"/>
  <c r="E61" i="17" s="1"/>
  <c r="H61" i="17" s="1"/>
  <c r="N86" i="48" l="1"/>
  <c r="E75" i="29"/>
  <c r="F9" i="21"/>
  <c r="F12" i="21" s="1"/>
  <c r="E14" i="21"/>
  <c r="F99" i="48" s="1"/>
  <c r="F101" i="48" s="1"/>
  <c r="N17" i="20"/>
  <c r="N31" i="21" s="1"/>
  <c r="P44" i="20"/>
  <c r="P48" i="20" s="1"/>
  <c r="Q18" i="19" s="1"/>
  <c r="O9" i="47" s="1"/>
  <c r="L44" i="45"/>
  <c r="M45" i="21"/>
  <c r="M86" i="41"/>
  <c r="M26" i="39"/>
  <c r="P19" i="19"/>
  <c r="P24" i="19" s="1"/>
  <c r="P29" i="19" s="1"/>
  <c r="P47" i="19"/>
  <c r="M10" i="45" s="1"/>
  <c r="M26" i="45" s="1"/>
  <c r="O58" i="19"/>
  <c r="O64" i="19" s="1"/>
  <c r="O34" i="19"/>
  <c r="O60" i="19" s="1"/>
  <c r="O59" i="19"/>
  <c r="O65" i="19" s="1"/>
  <c r="H11" i="21"/>
  <c r="H11" i="31" s="1"/>
  <c r="H12" i="31" s="1"/>
  <c r="F11" i="31"/>
  <c r="F12" i="31" s="1"/>
  <c r="F60" i="18"/>
  <c r="E54" i="26"/>
  <c r="H60" i="18"/>
  <c r="I60" i="18" s="1"/>
  <c r="C61" i="18" s="1"/>
  <c r="I56" i="25"/>
  <c r="C57" i="25" s="1"/>
  <c r="F61" i="17"/>
  <c r="I61" i="17" s="1"/>
  <c r="C62" i="17" s="1"/>
  <c r="E62" i="17" s="1"/>
  <c r="H62" i="17" s="1"/>
  <c r="O86" i="48" l="1"/>
  <c r="O66" i="19"/>
  <c r="M4" i="47"/>
  <c r="M7" i="47" s="1"/>
  <c r="M14" i="47" s="1"/>
  <c r="M24" i="47" s="1"/>
  <c r="Q19" i="19"/>
  <c r="Q24" i="19" s="1"/>
  <c r="Q29" i="19" s="1"/>
  <c r="Q47" i="19"/>
  <c r="N10" i="45" s="1"/>
  <c r="N26" i="45" s="1"/>
  <c r="N26" i="39"/>
  <c r="M44" i="45"/>
  <c r="N45" i="21"/>
  <c r="N86" i="41"/>
  <c r="P31" i="19"/>
  <c r="D20" i="40"/>
  <c r="M17" i="39"/>
  <c r="M28" i="39" s="1"/>
  <c r="D59" i="45"/>
  <c r="E51" i="21"/>
  <c r="D100" i="45"/>
  <c r="E99" i="41"/>
  <c r="E101" i="41" s="1"/>
  <c r="E50" i="21"/>
  <c r="O13" i="20"/>
  <c r="G9" i="21"/>
  <c r="H9" i="21" s="1"/>
  <c r="I9" i="21" s="1"/>
  <c r="J9" i="21" s="1"/>
  <c r="K9" i="21" s="1"/>
  <c r="L9" i="21" s="1"/>
  <c r="M9" i="21" s="1"/>
  <c r="N9" i="21" s="1"/>
  <c r="O9" i="21" s="1"/>
  <c r="E61" i="18"/>
  <c r="F61" i="18" s="1"/>
  <c r="O26" i="39"/>
  <c r="E57" i="25"/>
  <c r="F57" i="25" s="1"/>
  <c r="H54" i="26"/>
  <c r="F54" i="26"/>
  <c r="F62" i="17"/>
  <c r="I62" i="17" s="1"/>
  <c r="C63" i="17" s="1"/>
  <c r="E63" i="17" s="1"/>
  <c r="H63" i="17" s="1"/>
  <c r="M31" i="47" l="1"/>
  <c r="Q44" i="20"/>
  <c r="Q48" i="20" s="1"/>
  <c r="O17" i="20"/>
  <c r="O31" i="21" s="1"/>
  <c r="P13" i="20"/>
  <c r="P17" i="20" s="1"/>
  <c r="P58" i="19"/>
  <c r="P64" i="19" s="1"/>
  <c r="P59" i="19"/>
  <c r="P65" i="19" s="1"/>
  <c r="P34" i="19"/>
  <c r="P60" i="19" s="1"/>
  <c r="D21" i="40"/>
  <c r="N17" i="39"/>
  <c r="N28" i="39" s="1"/>
  <c r="Q31" i="19"/>
  <c r="I54" i="26"/>
  <c r="C55" i="26" s="1"/>
  <c r="E55" i="26" s="1"/>
  <c r="H57" i="25"/>
  <c r="I57" i="25" s="1"/>
  <c r="C58" i="25" s="1"/>
  <c r="O17" i="39"/>
  <c r="H61" i="18"/>
  <c r="I61" i="18" s="1"/>
  <c r="C62" i="18" s="1"/>
  <c r="F63" i="17"/>
  <c r="I63" i="17" s="1"/>
  <c r="C64" i="17" s="1"/>
  <c r="P86" i="48" l="1"/>
  <c r="P66" i="19"/>
  <c r="N4" i="47"/>
  <c r="N7" i="47" s="1"/>
  <c r="N14" i="47" s="1"/>
  <c r="N24" i="47" s="1"/>
  <c r="N31" i="47" s="1"/>
  <c r="N44" i="45"/>
  <c r="O45" i="21"/>
  <c r="O86" i="41"/>
  <c r="Q58" i="19"/>
  <c r="Q64" i="19" s="1"/>
  <c r="E69" i="19" s="1"/>
  <c r="Q59" i="19"/>
  <c r="Q65" i="19" s="1"/>
  <c r="E70" i="19" s="1"/>
  <c r="Q34" i="19"/>
  <c r="Q60" i="19" s="1"/>
  <c r="E58" i="25"/>
  <c r="F58" i="25"/>
  <c r="H55" i="26"/>
  <c r="E62" i="18"/>
  <c r="H62" i="18" s="1"/>
  <c r="O28" i="39"/>
  <c r="F55" i="26"/>
  <c r="I55" i="26" s="1"/>
  <c r="C56" i="26" s="1"/>
  <c r="E64" i="17"/>
  <c r="H64" i="17" s="1"/>
  <c r="C108" i="41" l="1"/>
  <c r="D108" i="48"/>
  <c r="Q66" i="19"/>
  <c r="E71" i="19" s="1"/>
  <c r="O4" i="47"/>
  <c r="O7" i="47" s="1"/>
  <c r="O14" i="47" s="1"/>
  <c r="F62" i="18"/>
  <c r="I62" i="18" s="1"/>
  <c r="C63" i="18" s="1"/>
  <c r="E63" i="18" s="1"/>
  <c r="H63" i="18" s="1"/>
  <c r="E56" i="26"/>
  <c r="F56" i="26" s="1"/>
  <c r="H58" i="25"/>
  <c r="I58" i="25" s="1"/>
  <c r="C59" i="25" s="1"/>
  <c r="F64" i="17"/>
  <c r="I64" i="17" s="1"/>
  <c r="C65" i="17" s="1"/>
  <c r="E65" i="17" s="1"/>
  <c r="O24" i="47" l="1"/>
  <c r="C36" i="47"/>
  <c r="H56" i="26"/>
  <c r="I56" i="26" s="1"/>
  <c r="C57" i="26" s="1"/>
  <c r="E59" i="25"/>
  <c r="H59" i="25" s="1"/>
  <c r="F63" i="18"/>
  <c r="I63" i="18" s="1"/>
  <c r="C64" i="18" s="1"/>
  <c r="F65" i="17"/>
  <c r="H65" i="17"/>
  <c r="H66" i="17" s="1"/>
  <c r="E66" i="17"/>
  <c r="F59" i="25" l="1"/>
  <c r="I59" i="25" s="1"/>
  <c r="C60" i="25" s="1"/>
  <c r="O26" i="47"/>
  <c r="O29" i="47" s="1"/>
  <c r="O31" i="47" s="1"/>
  <c r="C33" i="47" s="1"/>
  <c r="C40" i="47"/>
  <c r="C38" i="47"/>
  <c r="E57" i="26"/>
  <c r="F57" i="26" s="1"/>
  <c r="E64" i="18"/>
  <c r="H64" i="18" s="1"/>
  <c r="E60" i="25"/>
  <c r="H60" i="25" s="1"/>
  <c r="I65" i="17"/>
  <c r="F16" i="21" s="1"/>
  <c r="F24" i="31" s="1"/>
  <c r="F60" i="25" l="1"/>
  <c r="I60" i="25" s="1"/>
  <c r="C61" i="25" s="1"/>
  <c r="E61" i="25" s="1"/>
  <c r="H61" i="25" s="1"/>
  <c r="F64" i="18"/>
  <c r="I64" i="18" s="1"/>
  <c r="C65" i="18" s="1"/>
  <c r="E65" i="18" s="1"/>
  <c r="H57" i="26"/>
  <c r="I57" i="26" s="1"/>
  <c r="C58" i="26" s="1"/>
  <c r="C67" i="17"/>
  <c r="F61" i="25" l="1"/>
  <c r="I61" i="25" s="1"/>
  <c r="C62" i="25" s="1"/>
  <c r="F65" i="18"/>
  <c r="H65" i="18"/>
  <c r="H66" i="18" s="1"/>
  <c r="E66" i="18"/>
  <c r="H36" i="19" s="1"/>
  <c r="E58" i="26"/>
  <c r="H58" i="26" s="1"/>
  <c r="E62" i="25"/>
  <c r="H62" i="25" s="1"/>
  <c r="E67" i="17"/>
  <c r="F67" i="17" s="1"/>
  <c r="F28" i="41" l="1"/>
  <c r="F9" i="41"/>
  <c r="F67" i="41" s="1"/>
  <c r="F71" i="41" s="1"/>
  <c r="E11" i="45"/>
  <c r="E27" i="45" s="1"/>
  <c r="E14" i="45"/>
  <c r="E15" i="45" s="1"/>
  <c r="F62" i="25"/>
  <c r="I62" i="25" s="1"/>
  <c r="C63" i="25" s="1"/>
  <c r="E63" i="25" s="1"/>
  <c r="H63" i="25" s="1"/>
  <c r="F13" i="41"/>
  <c r="F14" i="41" s="1"/>
  <c r="E27" i="39"/>
  <c r="E29" i="39" s="1"/>
  <c r="E12" i="40"/>
  <c r="F12" i="40" s="1"/>
  <c r="H39" i="19"/>
  <c r="E31" i="45" s="1"/>
  <c r="F58" i="26"/>
  <c r="I58" i="26" s="1"/>
  <c r="C59" i="26" s="1"/>
  <c r="I65" i="18"/>
  <c r="H67" i="17"/>
  <c r="I67" i="17" s="1"/>
  <c r="C68" i="17" s="1"/>
  <c r="F32" i="41" l="1"/>
  <c r="F29" i="41"/>
  <c r="F63" i="25"/>
  <c r="I63" i="25" s="1"/>
  <c r="C64" i="25" s="1"/>
  <c r="F17" i="21"/>
  <c r="C67" i="18"/>
  <c r="E67" i="18" s="1"/>
  <c r="E59" i="26"/>
  <c r="H59" i="26" s="1"/>
  <c r="E64" i="25"/>
  <c r="H64" i="25" s="1"/>
  <c r="E30" i="39"/>
  <c r="E32" i="39" s="1"/>
  <c r="H41" i="19"/>
  <c r="H43" i="19" s="1"/>
  <c r="H51" i="19"/>
  <c r="E68" i="17"/>
  <c r="F47" i="41" l="1"/>
  <c r="F33" i="41"/>
  <c r="F35" i="41" s="1"/>
  <c r="E18" i="39"/>
  <c r="E19" i="39" s="1"/>
  <c r="F25" i="31"/>
  <c r="F26" i="31" s="1"/>
  <c r="F18" i="21"/>
  <c r="F59" i="26"/>
  <c r="I59" i="26" s="1"/>
  <c r="C60" i="26" s="1"/>
  <c r="F64" i="25"/>
  <c r="I64" i="25" s="1"/>
  <c r="C65" i="25" s="1"/>
  <c r="F67" i="18"/>
  <c r="H67" i="18"/>
  <c r="H68" i="17"/>
  <c r="F68" i="17"/>
  <c r="G97" i="48" l="1"/>
  <c r="G84" i="48"/>
  <c r="G88" i="48" s="1"/>
  <c r="F52" i="21"/>
  <c r="F51" i="41"/>
  <c r="F52" i="41" s="1"/>
  <c r="F48" i="41"/>
  <c r="E42" i="45"/>
  <c r="E57" i="45" s="1"/>
  <c r="H45" i="19"/>
  <c r="E20" i="39"/>
  <c r="E31" i="39"/>
  <c r="G12" i="21"/>
  <c r="F84" i="41"/>
  <c r="F88" i="41" s="1"/>
  <c r="F97" i="41"/>
  <c r="E60" i="26"/>
  <c r="H60" i="26" s="1"/>
  <c r="I67" i="18"/>
  <c r="C68" i="18" s="1"/>
  <c r="E65" i="25"/>
  <c r="I68" i="17"/>
  <c r="C69" i="17" s="1"/>
  <c r="E69" i="17" s="1"/>
  <c r="F69" i="17" s="1"/>
  <c r="F54" i="41" l="1"/>
  <c r="E9" i="45"/>
  <c r="E25" i="45" s="1"/>
  <c r="F53" i="21"/>
  <c r="H61" i="19"/>
  <c r="H67" i="19" s="1"/>
  <c r="F13" i="21"/>
  <c r="F14" i="21" s="1"/>
  <c r="G99" i="48" s="1"/>
  <c r="G101" i="48" s="1"/>
  <c r="H49" i="19"/>
  <c r="F8" i="41" s="1"/>
  <c r="F60" i="26"/>
  <c r="I60" i="26" s="1"/>
  <c r="C61" i="26" s="1"/>
  <c r="E61" i="26" s="1"/>
  <c r="H65" i="25"/>
  <c r="H66" i="25" s="1"/>
  <c r="E66" i="25"/>
  <c r="E68" i="18"/>
  <c r="H68" i="18" s="1"/>
  <c r="F65" i="25"/>
  <c r="H69" i="17"/>
  <c r="E59" i="45" l="1"/>
  <c r="E100" i="45"/>
  <c r="F50" i="21"/>
  <c r="F51" i="21"/>
  <c r="F66" i="41"/>
  <c r="F69" i="41" s="1"/>
  <c r="F73" i="41" s="1"/>
  <c r="F10" i="41"/>
  <c r="F16" i="41" s="1"/>
  <c r="F29" i="21"/>
  <c r="F99" i="41"/>
  <c r="F101" i="41" s="1"/>
  <c r="I65" i="25"/>
  <c r="F68" i="18"/>
  <c r="I68" i="18" s="1"/>
  <c r="C69" i="18" s="1"/>
  <c r="E69" i="18" s="1"/>
  <c r="H69" i="18" s="1"/>
  <c r="H61" i="26"/>
  <c r="F61" i="26"/>
  <c r="F17" i="29"/>
  <c r="F18" i="31" s="1"/>
  <c r="C67" i="25"/>
  <c r="I69" i="17"/>
  <c r="C70" i="17" s="1"/>
  <c r="I61" i="26" l="1"/>
  <c r="C62" i="26" s="1"/>
  <c r="F46" i="21"/>
  <c r="E98" i="45"/>
  <c r="F69" i="18"/>
  <c r="I69" i="18" s="1"/>
  <c r="C70" i="18" s="1"/>
  <c r="E70" i="18" s="1"/>
  <c r="H70" i="18" s="1"/>
  <c r="E62" i="26"/>
  <c r="H62" i="26" s="1"/>
  <c r="E67" i="25"/>
  <c r="F67" i="25" s="1"/>
  <c r="E70" i="17"/>
  <c r="F70" i="17" s="1"/>
  <c r="F70" i="18" l="1"/>
  <c r="I70" i="18" s="1"/>
  <c r="C71" i="18" s="1"/>
  <c r="E71" i="18" s="1"/>
  <c r="F62" i="26"/>
  <c r="I62" i="26" s="1"/>
  <c r="C63" i="26" s="1"/>
  <c r="E63" i="26" s="1"/>
  <c r="H63" i="26" s="1"/>
  <c r="H67" i="25"/>
  <c r="H70" i="17"/>
  <c r="I70" i="17" s="1"/>
  <c r="C71" i="17" s="1"/>
  <c r="F63" i="26" l="1"/>
  <c r="I63" i="26" s="1"/>
  <c r="C64" i="26" s="1"/>
  <c r="E64" i="26" s="1"/>
  <c r="H64" i="26" s="1"/>
  <c r="H65" i="26" s="1"/>
  <c r="F71" i="18"/>
  <c r="H71" i="18"/>
  <c r="I67" i="25"/>
  <c r="C68" i="25" s="1"/>
  <c r="E71" i="17"/>
  <c r="F71" i="17" s="1"/>
  <c r="E65" i="26" l="1"/>
  <c r="G36" i="24" s="1"/>
  <c r="G36" i="30" s="1"/>
  <c r="E27" i="43" s="1"/>
  <c r="F64" i="26"/>
  <c r="I71" i="18"/>
  <c r="C72" i="18" s="1"/>
  <c r="E72" i="18" s="1"/>
  <c r="H72" i="18" s="1"/>
  <c r="E68" i="25"/>
  <c r="F68" i="25" s="1"/>
  <c r="G39" i="24"/>
  <c r="I64" i="26"/>
  <c r="H71" i="17"/>
  <c r="I71" i="17" s="1"/>
  <c r="C72" i="17" s="1"/>
  <c r="G39" i="30" l="1"/>
  <c r="G9" i="48"/>
  <c r="F11" i="32"/>
  <c r="F27" i="32" s="1"/>
  <c r="F31" i="32" s="1"/>
  <c r="F14" i="32"/>
  <c r="F15" i="32" s="1"/>
  <c r="F18" i="29"/>
  <c r="F19" i="31" s="1"/>
  <c r="C66" i="26"/>
  <c r="F72" i="18"/>
  <c r="I72" i="18" s="1"/>
  <c r="C73" i="18" s="1"/>
  <c r="H68" i="25"/>
  <c r="E72" i="17"/>
  <c r="H72" i="17" s="1"/>
  <c r="G28" i="48" l="1"/>
  <c r="G32" i="48" s="1"/>
  <c r="G13" i="48"/>
  <c r="G67" i="48"/>
  <c r="G71" i="48" s="1"/>
  <c r="F21" i="31"/>
  <c r="F20" i="29"/>
  <c r="F68" i="29" s="1"/>
  <c r="F71" i="29" s="1"/>
  <c r="I68" i="25"/>
  <c r="C69" i="25" s="1"/>
  <c r="E73" i="18"/>
  <c r="H73" i="18" s="1"/>
  <c r="E66" i="26"/>
  <c r="F66" i="26" s="1"/>
  <c r="F72" i="17"/>
  <c r="I72" i="17" s="1"/>
  <c r="C73" i="17" s="1"/>
  <c r="G14" i="48" l="1"/>
  <c r="G47" i="48"/>
  <c r="G51" i="48" s="1"/>
  <c r="G52" i="48" s="1"/>
  <c r="G33" i="48"/>
  <c r="F70" i="29"/>
  <c r="F73" i="18"/>
  <c r="I73" i="18" s="1"/>
  <c r="C74" i="18" s="1"/>
  <c r="E74" i="18" s="1"/>
  <c r="H74" i="18" s="1"/>
  <c r="E69" i="25"/>
  <c r="F69" i="25" s="1"/>
  <c r="H66" i="26"/>
  <c r="F57" i="32"/>
  <c r="F42" i="32"/>
  <c r="E73" i="17"/>
  <c r="H73" i="17" s="1"/>
  <c r="F74" i="29" l="1"/>
  <c r="F73" i="29"/>
  <c r="F74" i="18"/>
  <c r="I74" i="18" s="1"/>
  <c r="C75" i="18" s="1"/>
  <c r="E75" i="18" s="1"/>
  <c r="H75" i="18" s="1"/>
  <c r="I66" i="26"/>
  <c r="C67" i="26" s="1"/>
  <c r="H69" i="25"/>
  <c r="I69" i="25" s="1"/>
  <c r="C70" i="25" s="1"/>
  <c r="F73" i="17"/>
  <c r="I73" i="17" s="1"/>
  <c r="C74" i="17" s="1"/>
  <c r="E74" i="17" s="1"/>
  <c r="H74" i="17" s="1"/>
  <c r="F75" i="29" l="1"/>
  <c r="F75" i="18"/>
  <c r="I75" i="18" s="1"/>
  <c r="C76" i="18" s="1"/>
  <c r="E76" i="18" s="1"/>
  <c r="F76" i="18" s="1"/>
  <c r="E70" i="25"/>
  <c r="F70" i="25" s="1"/>
  <c r="E67" i="26"/>
  <c r="F74" i="17"/>
  <c r="I74" i="17" s="1"/>
  <c r="C75" i="17" s="1"/>
  <c r="H67" i="26" l="1"/>
  <c r="H70" i="25"/>
  <c r="I70" i="25" s="1"/>
  <c r="C71" i="25" s="1"/>
  <c r="F67" i="26"/>
  <c r="H76" i="18"/>
  <c r="I76" i="18" s="1"/>
  <c r="C77" i="18" s="1"/>
  <c r="E75" i="17"/>
  <c r="H75" i="17" s="1"/>
  <c r="I67" i="26" l="1"/>
  <c r="C68" i="26" s="1"/>
  <c r="E68" i="26" s="1"/>
  <c r="F68" i="26" s="1"/>
  <c r="E77" i="18"/>
  <c r="F77" i="18" s="1"/>
  <c r="E71" i="25"/>
  <c r="F71" i="25" s="1"/>
  <c r="F75" i="17"/>
  <c r="I75" i="17" s="1"/>
  <c r="C76" i="17" s="1"/>
  <c r="E76" i="17" s="1"/>
  <c r="H76" i="17" s="1"/>
  <c r="H71" i="25" l="1"/>
  <c r="I71" i="25" s="1"/>
  <c r="C72" i="25" s="1"/>
  <c r="H68" i="26"/>
  <c r="I68" i="26" s="1"/>
  <c r="C69" i="26" s="1"/>
  <c r="H77" i="18"/>
  <c r="I77" i="18" s="1"/>
  <c r="C78" i="18" s="1"/>
  <c r="F76" i="17"/>
  <c r="I76" i="17" s="1"/>
  <c r="C77" i="17" s="1"/>
  <c r="E78" i="18" l="1"/>
  <c r="F78" i="18" s="1"/>
  <c r="E72" i="25"/>
  <c r="H72" i="25" s="1"/>
  <c r="E69" i="26"/>
  <c r="F69" i="26" s="1"/>
  <c r="E77" i="17"/>
  <c r="H77" i="17" s="1"/>
  <c r="F72" i="25" l="1"/>
  <c r="I72" i="25" s="1"/>
  <c r="C73" i="25" s="1"/>
  <c r="E73" i="25" s="1"/>
  <c r="H69" i="26"/>
  <c r="I69" i="26" s="1"/>
  <c r="C70" i="26" s="1"/>
  <c r="H78" i="18"/>
  <c r="H79" i="18" s="1"/>
  <c r="E79" i="18"/>
  <c r="F77" i="17"/>
  <c r="I77" i="17" s="1"/>
  <c r="C78" i="17" s="1"/>
  <c r="E78" i="17" s="1"/>
  <c r="F78" i="17" s="1"/>
  <c r="H73" i="25" l="1"/>
  <c r="F73" i="25"/>
  <c r="I73" i="25" s="1"/>
  <c r="C74" i="25" s="1"/>
  <c r="E74" i="25" s="1"/>
  <c r="H74" i="25" s="1"/>
  <c r="E70" i="26"/>
  <c r="F70" i="26" s="1"/>
  <c r="I78" i="18"/>
  <c r="H78" i="17"/>
  <c r="H79" i="17" s="1"/>
  <c r="E79" i="17"/>
  <c r="I36" i="19" l="1"/>
  <c r="G28" i="41" s="1"/>
  <c r="G17" i="21"/>
  <c r="G25" i="31" s="1"/>
  <c r="C80" i="18"/>
  <c r="E80" i="18" s="1"/>
  <c r="F74" i="25"/>
  <c r="I74" i="25" s="1"/>
  <c r="C75" i="25" s="1"/>
  <c r="H70" i="26"/>
  <c r="I70" i="26" s="1"/>
  <c r="C71" i="26" s="1"/>
  <c r="I78" i="17"/>
  <c r="G16" i="21" s="1"/>
  <c r="G24" i="31" s="1"/>
  <c r="G32" i="41" l="1"/>
  <c r="G29" i="41"/>
  <c r="F27" i="39"/>
  <c r="F29" i="39" s="1"/>
  <c r="F30" i="39" s="1"/>
  <c r="F32" i="39" s="1"/>
  <c r="I39" i="19"/>
  <c r="F31" i="45" s="1"/>
  <c r="E13" i="40"/>
  <c r="F13" i="40" s="1"/>
  <c r="G9" i="41"/>
  <c r="F11" i="45"/>
  <c r="F27" i="45" s="1"/>
  <c r="F14" i="45"/>
  <c r="F15" i="45" s="1"/>
  <c r="E71" i="26"/>
  <c r="H71" i="26" s="1"/>
  <c r="E75" i="25"/>
  <c r="H75" i="25" s="1"/>
  <c r="F80" i="18"/>
  <c r="H80" i="18"/>
  <c r="C80" i="17"/>
  <c r="E80" i="17" s="1"/>
  <c r="F80" i="17" s="1"/>
  <c r="G47" i="41" l="1"/>
  <c r="G33" i="41"/>
  <c r="G35" i="41" s="1"/>
  <c r="I51" i="19"/>
  <c r="I41" i="19"/>
  <c r="G67" i="41"/>
  <c r="G71" i="41" s="1"/>
  <c r="G13" i="41"/>
  <c r="G14" i="41" s="1"/>
  <c r="I43" i="19"/>
  <c r="F18" i="39" s="1"/>
  <c r="F19" i="39" s="1"/>
  <c r="F75" i="25"/>
  <c r="I75" i="25" s="1"/>
  <c r="C76" i="25" s="1"/>
  <c r="E76" i="25" s="1"/>
  <c r="H76" i="25" s="1"/>
  <c r="I80" i="18"/>
  <c r="C81" i="18" s="1"/>
  <c r="F71" i="26"/>
  <c r="I71" i="26" s="1"/>
  <c r="C72" i="26" s="1"/>
  <c r="G18" i="21"/>
  <c r="H80" i="17"/>
  <c r="H97" i="48" l="1"/>
  <c r="H84" i="48"/>
  <c r="H88" i="48" s="1"/>
  <c r="G52" i="21"/>
  <c r="G51" i="41"/>
  <c r="G52" i="41" s="1"/>
  <c r="G48" i="41"/>
  <c r="F42" i="45"/>
  <c r="F57" i="45" s="1"/>
  <c r="F20" i="39"/>
  <c r="F31" i="39"/>
  <c r="I45" i="19"/>
  <c r="H12" i="21"/>
  <c r="G97" i="41"/>
  <c r="G84" i="41"/>
  <c r="G88" i="41" s="1"/>
  <c r="F76" i="25"/>
  <c r="I76" i="25" s="1"/>
  <c r="C77" i="25" s="1"/>
  <c r="E77" i="25" s="1"/>
  <c r="H77" i="25" s="1"/>
  <c r="E81" i="18"/>
  <c r="H81" i="18" s="1"/>
  <c r="E72" i="26"/>
  <c r="H72" i="26" s="1"/>
  <c r="F72" i="26"/>
  <c r="I72" i="26" s="1"/>
  <c r="C73" i="26" s="1"/>
  <c r="G26" i="31"/>
  <c r="G42" i="32" s="1"/>
  <c r="I80" i="17"/>
  <c r="C81" i="17" s="1"/>
  <c r="G54" i="41" l="1"/>
  <c r="G53" i="21"/>
  <c r="F9" i="45"/>
  <c r="F25" i="45" s="1"/>
  <c r="I61" i="19"/>
  <c r="I67" i="19" s="1"/>
  <c r="I49" i="19"/>
  <c r="G8" i="41" s="1"/>
  <c r="G13" i="21"/>
  <c r="G14" i="21" s="1"/>
  <c r="H99" i="48" s="1"/>
  <c r="H101" i="48" s="1"/>
  <c r="F81" i="18"/>
  <c r="I81" i="18" s="1"/>
  <c r="C82" i="18" s="1"/>
  <c r="E82" i="18" s="1"/>
  <c r="H82" i="18" s="1"/>
  <c r="E73" i="26"/>
  <c r="H73" i="26" s="1"/>
  <c r="F77" i="25"/>
  <c r="I77" i="25" s="1"/>
  <c r="C78" i="25" s="1"/>
  <c r="G57" i="32"/>
  <c r="E81" i="17"/>
  <c r="F100" i="45" l="1"/>
  <c r="F59" i="45"/>
  <c r="G50" i="21"/>
  <c r="G51" i="21"/>
  <c r="G29" i="21"/>
  <c r="G99" i="41"/>
  <c r="G101" i="41" s="1"/>
  <c r="G66" i="41"/>
  <c r="G69" i="41" s="1"/>
  <c r="G73" i="41" s="1"/>
  <c r="G10" i="41"/>
  <c r="G16" i="41" s="1"/>
  <c r="F82" i="18"/>
  <c r="I82" i="18" s="1"/>
  <c r="C83" i="18" s="1"/>
  <c r="E83" i="18" s="1"/>
  <c r="F73" i="26"/>
  <c r="I73" i="26" s="1"/>
  <c r="C74" i="26" s="1"/>
  <c r="E74" i="26" s="1"/>
  <c r="H74" i="26" s="1"/>
  <c r="E78" i="25"/>
  <c r="F78" i="25" s="1"/>
  <c r="H81" i="17"/>
  <c r="F81" i="17"/>
  <c r="G46" i="21" l="1"/>
  <c r="F98" i="45"/>
  <c r="F83" i="18"/>
  <c r="H83" i="18"/>
  <c r="F74" i="26"/>
  <c r="I74" i="26" s="1"/>
  <c r="C75" i="26" s="1"/>
  <c r="H78" i="25"/>
  <c r="H79" i="25" s="1"/>
  <c r="E79" i="25"/>
  <c r="I81" i="17"/>
  <c r="C82" i="17" s="1"/>
  <c r="E82" i="17" s="1"/>
  <c r="F82" i="17" s="1"/>
  <c r="I83" i="18" l="1"/>
  <c r="C84" i="18" s="1"/>
  <c r="E84" i="18" s="1"/>
  <c r="I78" i="25"/>
  <c r="C80" i="25" s="1"/>
  <c r="E75" i="26"/>
  <c r="H75" i="26" s="1"/>
  <c r="H82" i="17"/>
  <c r="F84" i="18" l="1"/>
  <c r="H84" i="18"/>
  <c r="F75" i="26"/>
  <c r="I75" i="26" s="1"/>
  <c r="C76" i="26" s="1"/>
  <c r="E80" i="25"/>
  <c r="F80" i="25" s="1"/>
  <c r="I82" i="17"/>
  <c r="C83" i="17" s="1"/>
  <c r="I84" i="18" l="1"/>
  <c r="C85" i="18" s="1"/>
  <c r="E85" i="18" s="1"/>
  <c r="H85" i="18" s="1"/>
  <c r="H80" i="25"/>
  <c r="E76" i="26"/>
  <c r="H76" i="26" s="1"/>
  <c r="E83" i="17"/>
  <c r="F85" i="18" l="1"/>
  <c r="I85" i="18" s="1"/>
  <c r="C86" i="18" s="1"/>
  <c r="E86" i="18" s="1"/>
  <c r="H86" i="18" s="1"/>
  <c r="F76" i="26"/>
  <c r="I76" i="26" s="1"/>
  <c r="C77" i="26" s="1"/>
  <c r="I80" i="25"/>
  <c r="C81" i="25" s="1"/>
  <c r="H83" i="17"/>
  <c r="F83" i="17"/>
  <c r="F86" i="18" l="1"/>
  <c r="I86" i="18" s="1"/>
  <c r="C87" i="18" s="1"/>
  <c r="E87" i="18" s="1"/>
  <c r="H87" i="18" s="1"/>
  <c r="E81" i="25"/>
  <c r="E77" i="26"/>
  <c r="F77" i="26"/>
  <c r="I83" i="17"/>
  <c r="C84" i="17" s="1"/>
  <c r="E84" i="17" s="1"/>
  <c r="F84" i="17" s="1"/>
  <c r="F87" i="18" l="1"/>
  <c r="I87" i="18" s="1"/>
  <c r="C88" i="18" s="1"/>
  <c r="E88" i="18" s="1"/>
  <c r="H88" i="18" s="1"/>
  <c r="H77" i="26"/>
  <c r="H78" i="26" s="1"/>
  <c r="H80" i="26" s="1"/>
  <c r="E78" i="26"/>
  <c r="H81" i="25"/>
  <c r="F81" i="25"/>
  <c r="H84" i="17"/>
  <c r="I84" i="17" s="1"/>
  <c r="C85" i="17" s="1"/>
  <c r="F88" i="18" l="1"/>
  <c r="I88" i="18" s="1"/>
  <c r="C89" i="18" s="1"/>
  <c r="E89" i="18" s="1"/>
  <c r="H89" i="18" s="1"/>
  <c r="E80" i="26"/>
  <c r="H36" i="24"/>
  <c r="H36" i="30" s="1"/>
  <c r="I81" i="25"/>
  <c r="C82" i="25" s="1"/>
  <c r="I77" i="26"/>
  <c r="E85" i="17"/>
  <c r="H85" i="17" s="1"/>
  <c r="H39" i="30" l="1"/>
  <c r="H9" i="48"/>
  <c r="F89" i="18"/>
  <c r="I89" i="18" s="1"/>
  <c r="C90" i="18" s="1"/>
  <c r="E82" i="25"/>
  <c r="F82" i="25" s="1"/>
  <c r="H39" i="24"/>
  <c r="F27" i="43"/>
  <c r="E90" i="18"/>
  <c r="H90" i="18" s="1"/>
  <c r="F85" i="17"/>
  <c r="I85" i="17" s="1"/>
  <c r="C86" i="17" s="1"/>
  <c r="H13" i="48" l="1"/>
  <c r="H28" i="48"/>
  <c r="H32" i="48" s="1"/>
  <c r="H67" i="48"/>
  <c r="H71" i="48" s="1"/>
  <c r="G11" i="32"/>
  <c r="G27" i="32" s="1"/>
  <c r="G31" i="32" s="1"/>
  <c r="G14" i="32"/>
  <c r="G15" i="32" s="1"/>
  <c r="H82" i="25"/>
  <c r="I82" i="25" s="1"/>
  <c r="C83" i="25" s="1"/>
  <c r="F90" i="18"/>
  <c r="I90" i="18" s="1"/>
  <c r="C91" i="18" s="1"/>
  <c r="E91" i="18" s="1"/>
  <c r="F91" i="18" s="1"/>
  <c r="E86" i="17"/>
  <c r="H86" i="17" s="1"/>
  <c r="H47" i="48" l="1"/>
  <c r="H51" i="48" s="1"/>
  <c r="H52" i="48" s="1"/>
  <c r="H33" i="48"/>
  <c r="H14" i="48"/>
  <c r="E83" i="25"/>
  <c r="F83" i="25" s="1"/>
  <c r="H91" i="18"/>
  <c r="H92" i="18" s="1"/>
  <c r="E92" i="18"/>
  <c r="F86" i="17"/>
  <c r="I86" i="17" s="1"/>
  <c r="C87" i="17" s="1"/>
  <c r="E87" i="17" s="1"/>
  <c r="H87" i="17" s="1"/>
  <c r="H83" i="25" l="1"/>
  <c r="I83" i="25" s="1"/>
  <c r="C84" i="25" s="1"/>
  <c r="I91" i="18"/>
  <c r="H17" i="21" s="1"/>
  <c r="H25" i="31" s="1"/>
  <c r="F87" i="17"/>
  <c r="I87" i="17" s="1"/>
  <c r="C88" i="17" s="1"/>
  <c r="E84" i="25" l="1"/>
  <c r="C93" i="18"/>
  <c r="E88" i="17"/>
  <c r="H88" i="17" s="1"/>
  <c r="H84" i="25" l="1"/>
  <c r="F84" i="25"/>
  <c r="E93" i="18"/>
  <c r="F88" i="17"/>
  <c r="I88" i="17" s="1"/>
  <c r="C89" i="17" s="1"/>
  <c r="E89" i="17" s="1"/>
  <c r="H89" i="17" s="1"/>
  <c r="I84" i="25" l="1"/>
  <c r="C85" i="25" s="1"/>
  <c r="F93" i="18"/>
  <c r="E85" i="25"/>
  <c r="H85" i="25" s="1"/>
  <c r="H93" i="18"/>
  <c r="F89" i="17"/>
  <c r="I89" i="17" s="1"/>
  <c r="C90" i="17" s="1"/>
  <c r="F85" i="25" l="1"/>
  <c r="I85" i="25" s="1"/>
  <c r="C86" i="25" s="1"/>
  <c r="I93" i="18"/>
  <c r="C94" i="18" s="1"/>
  <c r="E90" i="17"/>
  <c r="H90" i="17" s="1"/>
  <c r="E86" i="25" l="1"/>
  <c r="H86" i="25" s="1"/>
  <c r="E94" i="18"/>
  <c r="F90" i="17"/>
  <c r="I90" i="17" s="1"/>
  <c r="C91" i="17" s="1"/>
  <c r="E91" i="17" s="1"/>
  <c r="F86" i="25" l="1"/>
  <c r="I86" i="25" s="1"/>
  <c r="C87" i="25" s="1"/>
  <c r="E87" i="25" s="1"/>
  <c r="H94" i="18"/>
  <c r="F94" i="18"/>
  <c r="F91" i="17"/>
  <c r="H91" i="17"/>
  <c r="H92" i="17" s="1"/>
  <c r="E92" i="17"/>
  <c r="J36" i="19" l="1"/>
  <c r="H28" i="41" s="1"/>
  <c r="H87" i="25"/>
  <c r="F87" i="25"/>
  <c r="I87" i="25" s="1"/>
  <c r="C88" i="25" s="1"/>
  <c r="E88" i="25" s="1"/>
  <c r="H88" i="25" s="1"/>
  <c r="I94" i="18"/>
  <c r="C95" i="18" s="1"/>
  <c r="E95" i="18" s="1"/>
  <c r="F95" i="18" s="1"/>
  <c r="I91" i="17"/>
  <c r="H16" i="21" s="1"/>
  <c r="H24" i="31" s="1"/>
  <c r="H32" i="41" l="1"/>
  <c r="H29" i="41"/>
  <c r="G27" i="39"/>
  <c r="G29" i="39" s="1"/>
  <c r="G30" i="39" s="1"/>
  <c r="G32" i="39" s="1"/>
  <c r="E14" i="40"/>
  <c r="F14" i="40" s="1"/>
  <c r="J39" i="19"/>
  <c r="G31" i="45" s="1"/>
  <c r="H9" i="41"/>
  <c r="G14" i="45"/>
  <c r="G15" i="45" s="1"/>
  <c r="G11" i="45"/>
  <c r="G27" i="45" s="1"/>
  <c r="F88" i="25"/>
  <c r="I88" i="25" s="1"/>
  <c r="C89" i="25" s="1"/>
  <c r="E89" i="25"/>
  <c r="H89" i="25" s="1"/>
  <c r="H95" i="18"/>
  <c r="C93" i="17"/>
  <c r="H47" i="41" l="1"/>
  <c r="H33" i="41"/>
  <c r="H35" i="41" s="1"/>
  <c r="J51" i="19"/>
  <c r="J41" i="19"/>
  <c r="J43" i="19" s="1"/>
  <c r="G18" i="39" s="1"/>
  <c r="G19" i="39" s="1"/>
  <c r="H67" i="41"/>
  <c r="H71" i="41" s="1"/>
  <c r="H13" i="41"/>
  <c r="H14" i="41" s="1"/>
  <c r="F89" i="25"/>
  <c r="I89" i="25" s="1"/>
  <c r="C90" i="25" s="1"/>
  <c r="H18" i="21"/>
  <c r="H26" i="31"/>
  <c r="I95" i="18"/>
  <c r="C96" i="18" s="1"/>
  <c r="E93" i="17"/>
  <c r="H48" i="41" l="1"/>
  <c r="H51" i="41"/>
  <c r="H52" i="41" s="1"/>
  <c r="I97" i="48"/>
  <c r="I84" i="48"/>
  <c r="I88" i="48" s="1"/>
  <c r="H52" i="21"/>
  <c r="G42" i="45"/>
  <c r="G57" i="45" s="1"/>
  <c r="G20" i="39"/>
  <c r="G31" i="39"/>
  <c r="J45" i="19"/>
  <c r="I12" i="21"/>
  <c r="H84" i="41"/>
  <c r="H88" i="41" s="1"/>
  <c r="H97" i="41"/>
  <c r="E90" i="25"/>
  <c r="H90" i="25" s="1"/>
  <c r="E96" i="18"/>
  <c r="H93" i="17"/>
  <c r="H57" i="32"/>
  <c r="H42" i="32"/>
  <c r="F93" i="17"/>
  <c r="H54" i="41" l="1"/>
  <c r="G9" i="45"/>
  <c r="G25" i="45" s="1"/>
  <c r="H53" i="21"/>
  <c r="J49" i="19"/>
  <c r="H8" i="41" s="1"/>
  <c r="H13" i="21"/>
  <c r="H14" i="21" s="1"/>
  <c r="I99" i="48" s="1"/>
  <c r="I101" i="48" s="1"/>
  <c r="J61" i="19"/>
  <c r="J67" i="19" s="1"/>
  <c r="F90" i="25"/>
  <c r="I90" i="25" s="1"/>
  <c r="C91" i="25" s="1"/>
  <c r="E91" i="25" s="1"/>
  <c r="H96" i="18"/>
  <c r="F96" i="18"/>
  <c r="I93" i="17"/>
  <c r="C94" i="17" s="1"/>
  <c r="E94" i="17" s="1"/>
  <c r="F94" i="17" s="1"/>
  <c r="G100" i="45" l="1"/>
  <c r="G59" i="45"/>
  <c r="H51" i="21"/>
  <c r="H50" i="21"/>
  <c r="H29" i="21"/>
  <c r="H99" i="41"/>
  <c r="H101" i="41" s="1"/>
  <c r="H66" i="41"/>
  <c r="H69" i="41" s="1"/>
  <c r="H73" i="41" s="1"/>
  <c r="H10" i="41"/>
  <c r="H16" i="41" s="1"/>
  <c r="F91" i="25"/>
  <c r="H91" i="25"/>
  <c r="H92" i="25" s="1"/>
  <c r="H94" i="25" s="1"/>
  <c r="E92" i="25"/>
  <c r="I96" i="18"/>
  <c r="C97" i="18" s="1"/>
  <c r="E97" i="18" s="1"/>
  <c r="F97" i="18" s="1"/>
  <c r="H94" i="17"/>
  <c r="H46" i="21" l="1"/>
  <c r="G98" i="45"/>
  <c r="E94" i="25"/>
  <c r="I36" i="24"/>
  <c r="I36" i="30" s="1"/>
  <c r="I91" i="25"/>
  <c r="H97" i="18"/>
  <c r="I97" i="18" s="1"/>
  <c r="C98" i="18" s="1"/>
  <c r="I94" i="17"/>
  <c r="C95" i="17" s="1"/>
  <c r="I39" i="30" l="1"/>
  <c r="I9" i="48"/>
  <c r="I39" i="24"/>
  <c r="G27" i="43"/>
  <c r="E98" i="18"/>
  <c r="H98" i="18" s="1"/>
  <c r="E95" i="17"/>
  <c r="F95" i="17" s="1"/>
  <c r="I13" i="48" l="1"/>
  <c r="I28" i="48"/>
  <c r="I32" i="48" s="1"/>
  <c r="I67" i="48"/>
  <c r="I71" i="48" s="1"/>
  <c r="H11" i="32"/>
  <c r="H27" i="32" s="1"/>
  <c r="H31" i="32" s="1"/>
  <c r="H14" i="32"/>
  <c r="H15" i="32" s="1"/>
  <c r="F98" i="18"/>
  <c r="I98" i="18" s="1"/>
  <c r="C99" i="18" s="1"/>
  <c r="H95" i="17"/>
  <c r="I47" i="48" l="1"/>
  <c r="I51" i="48" s="1"/>
  <c r="I52" i="48" s="1"/>
  <c r="I33" i="48"/>
  <c r="I14" i="48"/>
  <c r="E99" i="18"/>
  <c r="H99" i="18" s="1"/>
  <c r="I95" i="17"/>
  <c r="C96" i="17" s="1"/>
  <c r="F99" i="18" l="1"/>
  <c r="I99" i="18" s="1"/>
  <c r="C100" i="18" s="1"/>
  <c r="E100" i="18" s="1"/>
  <c r="H100" i="18" s="1"/>
  <c r="E96" i="17"/>
  <c r="F100" i="18" l="1"/>
  <c r="I100" i="18" s="1"/>
  <c r="C101" i="18" s="1"/>
  <c r="E101" i="18" s="1"/>
  <c r="H101" i="18" s="1"/>
  <c r="H96" i="17"/>
  <c r="F96" i="17"/>
  <c r="F101" i="18" l="1"/>
  <c r="I101" i="18" s="1"/>
  <c r="C102" i="18" s="1"/>
  <c r="I96" i="17"/>
  <c r="C97" i="17" s="1"/>
  <c r="E97" i="17" s="1"/>
  <c r="E102" i="18" l="1"/>
  <c r="H102" i="18" s="1"/>
  <c r="F97" i="17"/>
  <c r="H97" i="17"/>
  <c r="F102" i="18" l="1"/>
  <c r="I102" i="18" s="1"/>
  <c r="C103" i="18" s="1"/>
  <c r="E103" i="18" s="1"/>
  <c r="H103" i="18" s="1"/>
  <c r="I97" i="17"/>
  <c r="C98" i="17" s="1"/>
  <c r="E98" i="17" s="1"/>
  <c r="H98" i="17" s="1"/>
  <c r="F103" i="18" l="1"/>
  <c r="I103" i="18" s="1"/>
  <c r="C104" i="18" s="1"/>
  <c r="E104" i="18" s="1"/>
  <c r="F104" i="18" s="1"/>
  <c r="F98" i="17"/>
  <c r="I98" i="17" s="1"/>
  <c r="C99" i="17" s="1"/>
  <c r="E99" i="17" s="1"/>
  <c r="H99" i="17" s="1"/>
  <c r="H104" i="18" l="1"/>
  <c r="H105" i="18" s="1"/>
  <c r="E105" i="18"/>
  <c r="F99" i="17"/>
  <c r="I99" i="17" s="1"/>
  <c r="C100" i="17" s="1"/>
  <c r="E100" i="17" s="1"/>
  <c r="H100" i="17" s="1"/>
  <c r="I104" i="18" l="1"/>
  <c r="I17" i="21" s="1"/>
  <c r="I25" i="31" s="1"/>
  <c r="F100" i="17"/>
  <c r="I100" i="17" s="1"/>
  <c r="C101" i="17" s="1"/>
  <c r="C106" i="18" l="1"/>
  <c r="E101" i="17"/>
  <c r="H101" i="17" s="1"/>
  <c r="E106" i="18" l="1"/>
  <c r="F101" i="17"/>
  <c r="I101" i="17" s="1"/>
  <c r="C102" i="17" s="1"/>
  <c r="H106" i="18" l="1"/>
  <c r="F106" i="18"/>
  <c r="E102" i="17"/>
  <c r="H102" i="17" s="1"/>
  <c r="I106" i="18" l="1"/>
  <c r="C107" i="18" s="1"/>
  <c r="E107" i="18" s="1"/>
  <c r="F107" i="18" s="1"/>
  <c r="F102" i="17"/>
  <c r="I102" i="17" s="1"/>
  <c r="C103" i="17" s="1"/>
  <c r="E103" i="17" s="1"/>
  <c r="H103" i="17" s="1"/>
  <c r="F103" i="17" l="1"/>
  <c r="I103" i="17" s="1"/>
  <c r="C104" i="17" s="1"/>
  <c r="E104" i="17" s="1"/>
  <c r="H104" i="17" s="1"/>
  <c r="H105" i="17" s="1"/>
  <c r="H107" i="18"/>
  <c r="F104" i="17" l="1"/>
  <c r="I104" i="17" s="1"/>
  <c r="I16" i="21" s="1"/>
  <c r="I24" i="31" s="1"/>
  <c r="E105" i="17"/>
  <c r="I107" i="18"/>
  <c r="C108" i="18" s="1"/>
  <c r="K36" i="19" l="1"/>
  <c r="I28" i="41" s="1"/>
  <c r="E108" i="18"/>
  <c r="F108" i="18" s="1"/>
  <c r="C106" i="17"/>
  <c r="I32" i="41" l="1"/>
  <c r="I29" i="41"/>
  <c r="K39" i="19"/>
  <c r="H31" i="45" s="1"/>
  <c r="J36" i="30"/>
  <c r="I14" i="32" s="1"/>
  <c r="E15" i="40"/>
  <c r="F15" i="40" s="1"/>
  <c r="H27" i="39"/>
  <c r="H29" i="39" s="1"/>
  <c r="H30" i="39" s="1"/>
  <c r="H32" i="39" s="1"/>
  <c r="I9" i="41"/>
  <c r="H14" i="45"/>
  <c r="H15" i="45" s="1"/>
  <c r="H11" i="45"/>
  <c r="H27" i="45" s="1"/>
  <c r="K41" i="19"/>
  <c r="K43" i="19" s="1"/>
  <c r="I26" i="31"/>
  <c r="I18" i="21"/>
  <c r="H108" i="18"/>
  <c r="E106" i="17"/>
  <c r="F106" i="17" s="1"/>
  <c r="H27" i="43" l="1"/>
  <c r="I11" i="32"/>
  <c r="I27" i="32" s="1"/>
  <c r="I31" i="32" s="1"/>
  <c r="J97" i="48"/>
  <c r="J84" i="48"/>
  <c r="J88" i="48" s="1"/>
  <c r="I52" i="21"/>
  <c r="J39" i="30"/>
  <c r="J9" i="48"/>
  <c r="K51" i="19"/>
  <c r="I33" i="41"/>
  <c r="I35" i="41" s="1"/>
  <c r="I47" i="41"/>
  <c r="H42" i="45"/>
  <c r="H57" i="45" s="1"/>
  <c r="I67" i="41"/>
  <c r="I71" i="41" s="1"/>
  <c r="I13" i="41"/>
  <c r="I14" i="41" s="1"/>
  <c r="I84" i="41"/>
  <c r="I88" i="41" s="1"/>
  <c r="I97" i="41"/>
  <c r="K45" i="19"/>
  <c r="H18" i="39"/>
  <c r="H19" i="39" s="1"/>
  <c r="I108" i="18"/>
  <c r="C109" i="18" s="1"/>
  <c r="I57" i="32"/>
  <c r="I42" i="32"/>
  <c r="I15" i="32"/>
  <c r="H106" i="17"/>
  <c r="I106" i="17" s="1"/>
  <c r="C107" i="17" s="1"/>
  <c r="I51" i="41" l="1"/>
  <c r="I52" i="41" s="1"/>
  <c r="I48" i="41"/>
  <c r="I54" i="41" s="1"/>
  <c r="J13" i="48"/>
  <c r="J67" i="48"/>
  <c r="J71" i="48" s="1"/>
  <c r="J28" i="48"/>
  <c r="J32" i="48" s="1"/>
  <c r="K61" i="19"/>
  <c r="K67" i="19" s="1"/>
  <c r="H9" i="45"/>
  <c r="H25" i="45" s="1"/>
  <c r="I53" i="21"/>
  <c r="H31" i="39"/>
  <c r="H20" i="39"/>
  <c r="K49" i="19"/>
  <c r="I8" i="41" s="1"/>
  <c r="I66" i="41" s="1"/>
  <c r="I69" i="41" s="1"/>
  <c r="I73" i="41" s="1"/>
  <c r="I13" i="21"/>
  <c r="I14" i="21" s="1"/>
  <c r="J99" i="48" s="1"/>
  <c r="J101" i="48" s="1"/>
  <c r="E109" i="18"/>
  <c r="F109" i="18" s="1"/>
  <c r="E107" i="17"/>
  <c r="F107" i="17" s="1"/>
  <c r="J14" i="48" l="1"/>
  <c r="J47" i="48"/>
  <c r="J51" i="48" s="1"/>
  <c r="J52" i="48" s="1"/>
  <c r="J33" i="48"/>
  <c r="H59" i="45"/>
  <c r="H100" i="45"/>
  <c r="I51" i="21"/>
  <c r="I50" i="21"/>
  <c r="J12" i="21"/>
  <c r="I29" i="21"/>
  <c r="I99" i="41"/>
  <c r="I101" i="41" s="1"/>
  <c r="I10" i="41"/>
  <c r="I16" i="41" s="1"/>
  <c r="H109" i="18"/>
  <c r="I109" i="18" s="1"/>
  <c r="C110" i="18" s="1"/>
  <c r="H107" i="17"/>
  <c r="I46" i="21" l="1"/>
  <c r="H98" i="45"/>
  <c r="E110" i="18"/>
  <c r="I107" i="17"/>
  <c r="C108" i="17" s="1"/>
  <c r="H110" i="18" l="1"/>
  <c r="F110" i="18"/>
  <c r="E108" i="17"/>
  <c r="F108" i="17" s="1"/>
  <c r="I110" i="18" l="1"/>
  <c r="C111" i="18" s="1"/>
  <c r="E111" i="18" s="1"/>
  <c r="H111" i="18" s="1"/>
  <c r="H108" i="17"/>
  <c r="F111" i="18" l="1"/>
  <c r="I111" i="18" s="1"/>
  <c r="C112" i="18" s="1"/>
  <c r="E112" i="18" s="1"/>
  <c r="H112" i="18" s="1"/>
  <c r="I108" i="17"/>
  <c r="C109" i="17" s="1"/>
  <c r="F112" i="18" l="1"/>
  <c r="I112" i="18" s="1"/>
  <c r="C113" i="18" s="1"/>
  <c r="E113" i="18" s="1"/>
  <c r="H113" i="18" s="1"/>
  <c r="E109" i="17"/>
  <c r="F113" i="18" l="1"/>
  <c r="I113" i="18" s="1"/>
  <c r="C114" i="18" s="1"/>
  <c r="E114" i="18" s="1"/>
  <c r="H114" i="18" s="1"/>
  <c r="H109" i="17"/>
  <c r="F109" i="17"/>
  <c r="F114" i="18" l="1"/>
  <c r="I114" i="18" s="1"/>
  <c r="C115" i="18" s="1"/>
  <c r="I109" i="17"/>
  <c r="C110" i="17" s="1"/>
  <c r="E110" i="17" s="1"/>
  <c r="F110" i="17" s="1"/>
  <c r="E115" i="18" l="1"/>
  <c r="H115" i="18" s="1"/>
  <c r="H110" i="17"/>
  <c r="I110" i="17" s="1"/>
  <c r="C111" i="17" s="1"/>
  <c r="F115" i="18" l="1"/>
  <c r="I115" i="18" s="1"/>
  <c r="C116" i="18" s="1"/>
  <c r="E111" i="17"/>
  <c r="H111" i="17" s="1"/>
  <c r="E116" i="18" l="1"/>
  <c r="H116" i="18" s="1"/>
  <c r="F111" i="17"/>
  <c r="I111" i="17" s="1"/>
  <c r="C112" i="17" s="1"/>
  <c r="E112" i="17" s="1"/>
  <c r="H112" i="17" s="1"/>
  <c r="F116" i="18" l="1"/>
  <c r="I116" i="18" s="1"/>
  <c r="C117" i="18" s="1"/>
  <c r="E117" i="18" s="1"/>
  <c r="F117" i="18" s="1"/>
  <c r="F112" i="17"/>
  <c r="I112" i="17" s="1"/>
  <c r="C113" i="17" s="1"/>
  <c r="E113" i="17" s="1"/>
  <c r="H113" i="17" s="1"/>
  <c r="E118" i="18" l="1"/>
  <c r="H117" i="18"/>
  <c r="H118" i="18" s="1"/>
  <c r="F113" i="17"/>
  <c r="I113" i="17" s="1"/>
  <c r="C114" i="17" s="1"/>
  <c r="I117" i="18" l="1"/>
  <c r="J17" i="21" s="1"/>
  <c r="J25" i="31" s="1"/>
  <c r="E114" i="17"/>
  <c r="H114" i="17" s="1"/>
  <c r="C119" i="18" l="1"/>
  <c r="E119" i="18" s="1"/>
  <c r="F114" i="17"/>
  <c r="I114" i="17" s="1"/>
  <c r="C115" i="17" s="1"/>
  <c r="E115" i="17" s="1"/>
  <c r="H115" i="17" s="1"/>
  <c r="H119" i="18" l="1"/>
  <c r="F119" i="18"/>
  <c r="F115" i="17"/>
  <c r="I115" i="17" s="1"/>
  <c r="C116" i="17" s="1"/>
  <c r="E116" i="17" s="1"/>
  <c r="I119" i="18" l="1"/>
  <c r="C120" i="18" s="1"/>
  <c r="E120" i="18" s="1"/>
  <c r="F120" i="18" s="1"/>
  <c r="H116" i="17"/>
  <c r="F116" i="17"/>
  <c r="I116" i="17" l="1"/>
  <c r="C117" i="17" s="1"/>
  <c r="E117" i="17" s="1"/>
  <c r="H117" i="17" s="1"/>
  <c r="H118" i="17" s="1"/>
  <c r="H120" i="18"/>
  <c r="F117" i="17" l="1"/>
  <c r="I117" i="17" s="1"/>
  <c r="E118" i="17"/>
  <c r="I120" i="18"/>
  <c r="C121" i="18" s="1"/>
  <c r="L36" i="19" l="1"/>
  <c r="J28" i="41" s="1"/>
  <c r="C119" i="17"/>
  <c r="E119" i="17" s="1"/>
  <c r="F119" i="17" s="1"/>
  <c r="J16" i="21"/>
  <c r="J24" i="31" s="1"/>
  <c r="E121" i="18"/>
  <c r="F121" i="18" s="1"/>
  <c r="J32" i="41" l="1"/>
  <c r="J29" i="41"/>
  <c r="I27" i="39"/>
  <c r="I29" i="39" s="1"/>
  <c r="I30" i="39" s="1"/>
  <c r="I32" i="39" s="1"/>
  <c r="K36" i="30"/>
  <c r="L39" i="19"/>
  <c r="I31" i="45" s="1"/>
  <c r="J9" i="41"/>
  <c r="I14" i="45"/>
  <c r="I15" i="45" s="1"/>
  <c r="I11" i="45"/>
  <c r="I27" i="45" s="1"/>
  <c r="E16" i="40"/>
  <c r="F16" i="40" s="1"/>
  <c r="J18" i="21"/>
  <c r="H121" i="18"/>
  <c r="H119" i="17"/>
  <c r="I119" i="17" s="1"/>
  <c r="C120" i="17" s="1"/>
  <c r="K97" i="48" l="1"/>
  <c r="K84" i="48"/>
  <c r="K88" i="48" s="1"/>
  <c r="J52" i="21"/>
  <c r="K39" i="30"/>
  <c r="K9" i="48"/>
  <c r="J14" i="32"/>
  <c r="J47" i="41"/>
  <c r="J33" i="41"/>
  <c r="J35" i="41" s="1"/>
  <c r="E38" i="41" s="1"/>
  <c r="L51" i="19"/>
  <c r="L41" i="19"/>
  <c r="L43" i="19" s="1"/>
  <c r="I18" i="39" s="1"/>
  <c r="I19" i="39" s="1"/>
  <c r="J11" i="32"/>
  <c r="J27" i="32" s="1"/>
  <c r="J31" i="32" s="1"/>
  <c r="I27" i="43"/>
  <c r="I42" i="45"/>
  <c r="I57" i="45" s="1"/>
  <c r="J67" i="41"/>
  <c r="J71" i="41" s="1"/>
  <c r="J13" i="41"/>
  <c r="J14" i="41" s="1"/>
  <c r="J84" i="41"/>
  <c r="J88" i="41" s="1"/>
  <c r="J97" i="41"/>
  <c r="J26" i="31"/>
  <c r="J42" i="32" s="1"/>
  <c r="I121" i="18"/>
  <c r="C122" i="18" s="1"/>
  <c r="E120" i="17"/>
  <c r="F120" i="17" s="1"/>
  <c r="J51" i="41" l="1"/>
  <c r="J52" i="41" s="1"/>
  <c r="J48" i="41"/>
  <c r="K28" i="48"/>
  <c r="K32" i="48" s="1"/>
  <c r="K13" i="48"/>
  <c r="K14" i="48" s="1"/>
  <c r="K67" i="48"/>
  <c r="K71" i="48" s="1"/>
  <c r="L45" i="19"/>
  <c r="L61" i="19" s="1"/>
  <c r="L67" i="19" s="1"/>
  <c r="I31" i="39"/>
  <c r="I20" i="39"/>
  <c r="J57" i="32"/>
  <c r="J15" i="32"/>
  <c r="E122" i="18"/>
  <c r="F122" i="18" s="1"/>
  <c r="H120" i="17"/>
  <c r="K47" i="48" l="1"/>
  <c r="K51" i="48" s="1"/>
  <c r="K52" i="48" s="1"/>
  <c r="K33" i="48"/>
  <c r="J54" i="41"/>
  <c r="E57" i="41" s="1"/>
  <c r="I9" i="45"/>
  <c r="I25" i="45" s="1"/>
  <c r="L49" i="19"/>
  <c r="J8" i="41" s="1"/>
  <c r="J66" i="41" s="1"/>
  <c r="J69" i="41" s="1"/>
  <c r="J73" i="41" s="1"/>
  <c r="J53" i="21"/>
  <c r="J13" i="21"/>
  <c r="J14" i="21" s="1"/>
  <c r="K12" i="21"/>
  <c r="H122" i="18"/>
  <c r="I122" i="18" s="1"/>
  <c r="C123" i="18" s="1"/>
  <c r="I120" i="17"/>
  <c r="C121" i="17" s="1"/>
  <c r="I59" i="45" l="1"/>
  <c r="K99" i="48"/>
  <c r="K101" i="48" s="1"/>
  <c r="J10" i="41"/>
  <c r="J16" i="41" s="1"/>
  <c r="E19" i="41" s="1"/>
  <c r="J99" i="41"/>
  <c r="J101" i="41" s="1"/>
  <c r="J50" i="21"/>
  <c r="J51" i="21"/>
  <c r="J29" i="21"/>
  <c r="J46" i="21" s="1"/>
  <c r="I100" i="45"/>
  <c r="E123" i="18"/>
  <c r="E121" i="17"/>
  <c r="F121" i="17" s="1"/>
  <c r="I98" i="45" l="1"/>
  <c r="H123" i="18"/>
  <c r="F123" i="18"/>
  <c r="H121" i="17"/>
  <c r="I123" i="18" l="1"/>
  <c r="C124" i="18" s="1"/>
  <c r="E124" i="18" s="1"/>
  <c r="H124" i="18" s="1"/>
  <c r="I121" i="17"/>
  <c r="C122" i="17" s="1"/>
  <c r="F124" i="18" l="1"/>
  <c r="I124" i="18" s="1"/>
  <c r="C125" i="18" s="1"/>
  <c r="E125" i="18" s="1"/>
  <c r="H125" i="18" s="1"/>
  <c r="E122" i="17"/>
  <c r="F125" i="18" l="1"/>
  <c r="I125" i="18" s="1"/>
  <c r="C126" i="18" s="1"/>
  <c r="E126" i="18" s="1"/>
  <c r="H126" i="18" s="1"/>
  <c r="H122" i="17"/>
  <c r="F122" i="17"/>
  <c r="F126" i="18" l="1"/>
  <c r="I126" i="18" s="1"/>
  <c r="C127" i="18" s="1"/>
  <c r="E127" i="18" s="1"/>
  <c r="H127" i="18" s="1"/>
  <c r="I122" i="17"/>
  <c r="C123" i="17" s="1"/>
  <c r="E123" i="17" s="1"/>
  <c r="F127" i="18" l="1"/>
  <c r="I127" i="18" s="1"/>
  <c r="C128" i="18" s="1"/>
  <c r="F123" i="17"/>
  <c r="H123" i="17"/>
  <c r="E128" i="18" l="1"/>
  <c r="H128" i="18" s="1"/>
  <c r="I123" i="17"/>
  <c r="C124" i="17" s="1"/>
  <c r="E124" i="17" s="1"/>
  <c r="H124" i="17" s="1"/>
  <c r="F128" i="18" l="1"/>
  <c r="I128" i="18" s="1"/>
  <c r="C129" i="18" s="1"/>
  <c r="E129" i="18" s="1"/>
  <c r="H129" i="18" s="1"/>
  <c r="F124" i="17"/>
  <c r="I124" i="17" s="1"/>
  <c r="C125" i="17" s="1"/>
  <c r="E125" i="17" s="1"/>
  <c r="H125" i="17" s="1"/>
  <c r="F129" i="18" l="1"/>
  <c r="I129" i="18" s="1"/>
  <c r="C130" i="18" s="1"/>
  <c r="E130" i="18" s="1"/>
  <c r="F130" i="18" s="1"/>
  <c r="F125" i="17"/>
  <c r="I125" i="17" s="1"/>
  <c r="C126" i="17" s="1"/>
  <c r="E126" i="17" s="1"/>
  <c r="H126" i="17" s="1"/>
  <c r="H130" i="18" l="1"/>
  <c r="H131" i="18" s="1"/>
  <c r="E131" i="18"/>
  <c r="F126" i="17"/>
  <c r="I126" i="17" s="1"/>
  <c r="C127" i="17" s="1"/>
  <c r="I130" i="18" l="1"/>
  <c r="K17" i="21" s="1"/>
  <c r="K25" i="31" s="1"/>
  <c r="E127" i="17"/>
  <c r="H127" i="17" s="1"/>
  <c r="C132" i="18" l="1"/>
  <c r="F127" i="17"/>
  <c r="I127" i="17" s="1"/>
  <c r="C128" i="17" s="1"/>
  <c r="E128" i="17" s="1"/>
  <c r="H128" i="17" s="1"/>
  <c r="E132" i="18" l="1"/>
  <c r="F128" i="17"/>
  <c r="I128" i="17" s="1"/>
  <c r="C129" i="17" s="1"/>
  <c r="E129" i="17" s="1"/>
  <c r="H129" i="17" s="1"/>
  <c r="H132" i="18" l="1"/>
  <c r="F132" i="18"/>
  <c r="F129" i="17"/>
  <c r="I129" i="17" s="1"/>
  <c r="C130" i="17" s="1"/>
  <c r="E130" i="17" s="1"/>
  <c r="I132" i="18" l="1"/>
  <c r="C133" i="18" s="1"/>
  <c r="E133" i="18" s="1"/>
  <c r="F133" i="18" s="1"/>
  <c r="H130" i="17"/>
  <c r="H131" i="17" s="1"/>
  <c r="E131" i="17"/>
  <c r="F130" i="17"/>
  <c r="M36" i="19" l="1"/>
  <c r="K28" i="41" s="1"/>
  <c r="H133" i="18"/>
  <c r="I130" i="17"/>
  <c r="K32" i="41" l="1"/>
  <c r="K29" i="41"/>
  <c r="J27" i="39"/>
  <c r="J29" i="39" s="1"/>
  <c r="J30" i="39" s="1"/>
  <c r="J32" i="39" s="1"/>
  <c r="L36" i="30"/>
  <c r="E17" i="40"/>
  <c r="F17" i="40" s="1"/>
  <c r="M39" i="19"/>
  <c r="J31" i="45" s="1"/>
  <c r="K9" i="41"/>
  <c r="J11" i="45"/>
  <c r="J27" i="45" s="1"/>
  <c r="J14" i="45"/>
  <c r="J15" i="45" s="1"/>
  <c r="C132" i="17"/>
  <c r="E132" i="17" s="1"/>
  <c r="K16" i="21"/>
  <c r="K24" i="31" s="1"/>
  <c r="I133" i="18"/>
  <c r="C134" i="18" s="1"/>
  <c r="L39" i="30" l="1"/>
  <c r="L9" i="48"/>
  <c r="J27" i="43"/>
  <c r="K47" i="41"/>
  <c r="K33" i="41"/>
  <c r="K35" i="41" s="1"/>
  <c r="K11" i="32"/>
  <c r="K27" i="32" s="1"/>
  <c r="K31" i="32" s="1"/>
  <c r="M51" i="19"/>
  <c r="M41" i="19"/>
  <c r="M43" i="19" s="1"/>
  <c r="J18" i="39" s="1"/>
  <c r="J19" i="39" s="1"/>
  <c r="K14" i="32"/>
  <c r="K67" i="41"/>
  <c r="K71" i="41" s="1"/>
  <c r="K13" i="41"/>
  <c r="K14" i="41" s="1"/>
  <c r="K18" i="21"/>
  <c r="E134" i="18"/>
  <c r="F134" i="18" s="1"/>
  <c r="H132" i="17"/>
  <c r="F132" i="17"/>
  <c r="L13" i="48" l="1"/>
  <c r="L14" i="48" s="1"/>
  <c r="L28" i="48"/>
  <c r="L32" i="48" s="1"/>
  <c r="L67" i="48"/>
  <c r="L71" i="48" s="1"/>
  <c r="L97" i="48"/>
  <c r="L84" i="48"/>
  <c r="L88" i="48" s="1"/>
  <c r="K52" i="21"/>
  <c r="K51" i="41"/>
  <c r="K52" i="41" s="1"/>
  <c r="K48" i="41"/>
  <c r="K54" i="41" s="1"/>
  <c r="M45" i="19"/>
  <c r="M49" i="19" s="1"/>
  <c r="K8" i="41" s="1"/>
  <c r="J42" i="45"/>
  <c r="J57" i="45" s="1"/>
  <c r="J9" i="45"/>
  <c r="J25" i="45" s="1"/>
  <c r="K97" i="41"/>
  <c r="K84" i="41"/>
  <c r="K88" i="41" s="1"/>
  <c r="M61" i="19"/>
  <c r="M67" i="19" s="1"/>
  <c r="J31" i="39"/>
  <c r="J20" i="39"/>
  <c r="K26" i="31"/>
  <c r="K42" i="32" s="1"/>
  <c r="H134" i="18"/>
  <c r="I132" i="17"/>
  <c r="C133" i="17" s="1"/>
  <c r="L47" i="48" l="1"/>
  <c r="L51" i="48" s="1"/>
  <c r="L52" i="48" s="1"/>
  <c r="L33" i="48"/>
  <c r="K13" i="21"/>
  <c r="K14" i="21" s="1"/>
  <c r="K53" i="21"/>
  <c r="L12" i="21"/>
  <c r="K10" i="41"/>
  <c r="K16" i="41" s="1"/>
  <c r="K66" i="41"/>
  <c r="K69" i="41" s="1"/>
  <c r="K73" i="41" s="1"/>
  <c r="K57" i="32"/>
  <c r="K15" i="32"/>
  <c r="I134" i="18"/>
  <c r="C135" i="18" s="1"/>
  <c r="E133" i="17"/>
  <c r="F133" i="17" s="1"/>
  <c r="K50" i="21" l="1"/>
  <c r="L99" i="48"/>
  <c r="L101" i="48" s="1"/>
  <c r="K29" i="21"/>
  <c r="K46" i="21" s="1"/>
  <c r="K99" i="41"/>
  <c r="K101" i="41" s="1"/>
  <c r="K51" i="21"/>
  <c r="J100" i="45"/>
  <c r="J59" i="45"/>
  <c r="E135" i="18"/>
  <c r="F135" i="18" s="1"/>
  <c r="H133" i="17"/>
  <c r="J98" i="45" l="1"/>
  <c r="H135" i="18"/>
  <c r="I135" i="18" s="1"/>
  <c r="C136" i="18" s="1"/>
  <c r="I133" i="17"/>
  <c r="C134" i="17" s="1"/>
  <c r="E136" i="18" l="1"/>
  <c r="E134" i="17"/>
  <c r="F134" i="17" s="1"/>
  <c r="H136" i="18" l="1"/>
  <c r="F136" i="18"/>
  <c r="H134" i="17"/>
  <c r="I136" i="18" l="1"/>
  <c r="C137" i="18" s="1"/>
  <c r="E137" i="18" s="1"/>
  <c r="H137" i="18" s="1"/>
  <c r="I134" i="17"/>
  <c r="C135" i="17" s="1"/>
  <c r="F137" i="18" l="1"/>
  <c r="I137" i="18" s="1"/>
  <c r="C138" i="18" s="1"/>
  <c r="E135" i="17"/>
  <c r="E138" i="18" l="1"/>
  <c r="H138" i="18" s="1"/>
  <c r="H135" i="17"/>
  <c r="F135" i="17"/>
  <c r="F138" i="18" l="1"/>
  <c r="I138" i="18" s="1"/>
  <c r="C139" i="18" s="1"/>
  <c r="I135" i="17"/>
  <c r="C136" i="17" s="1"/>
  <c r="E136" i="17" s="1"/>
  <c r="E139" i="18" l="1"/>
  <c r="H139" i="18" s="1"/>
  <c r="F136" i="17"/>
  <c r="H136" i="17"/>
  <c r="F139" i="18" l="1"/>
  <c r="I139" i="18" s="1"/>
  <c r="C140" i="18" s="1"/>
  <c r="E140" i="18" s="1"/>
  <c r="H140" i="18" s="1"/>
  <c r="I136" i="17"/>
  <c r="C137" i="17" s="1"/>
  <c r="E137" i="17" s="1"/>
  <c r="H137" i="17" s="1"/>
  <c r="F140" i="18" l="1"/>
  <c r="I140" i="18" s="1"/>
  <c r="C141" i="18" s="1"/>
  <c r="E141" i="18" s="1"/>
  <c r="H141" i="18" s="1"/>
  <c r="F137" i="17"/>
  <c r="I137" i="17" s="1"/>
  <c r="C138" i="17" s="1"/>
  <c r="E138" i="17" s="1"/>
  <c r="H138" i="17" s="1"/>
  <c r="F141" i="18" l="1"/>
  <c r="I141" i="18" s="1"/>
  <c r="C142" i="18" s="1"/>
  <c r="E142" i="18" s="1"/>
  <c r="H142" i="18" s="1"/>
  <c r="F138" i="17"/>
  <c r="I138" i="17" s="1"/>
  <c r="C139" i="17" s="1"/>
  <c r="E139" i="17" s="1"/>
  <c r="H139" i="17" s="1"/>
  <c r="F142" i="18" l="1"/>
  <c r="I142" i="18" s="1"/>
  <c r="C143" i="18" s="1"/>
  <c r="E143" i="18" s="1"/>
  <c r="F143" i="18" s="1"/>
  <c r="F139" i="17"/>
  <c r="I139" i="17" s="1"/>
  <c r="C140" i="17" s="1"/>
  <c r="H143" i="18" l="1"/>
  <c r="H144" i="18" s="1"/>
  <c r="E144" i="18"/>
  <c r="E140" i="17"/>
  <c r="H140" i="17" s="1"/>
  <c r="I143" i="18" l="1"/>
  <c r="F140" i="17"/>
  <c r="I140" i="17" s="1"/>
  <c r="C141" i="17" s="1"/>
  <c r="E141" i="17" s="1"/>
  <c r="H141" i="17" s="1"/>
  <c r="C145" i="18" l="1"/>
  <c r="E145" i="18" s="1"/>
  <c r="L17" i="21"/>
  <c r="L25" i="31" s="1"/>
  <c r="F141" i="17"/>
  <c r="I141" i="17" s="1"/>
  <c r="C142" i="17" s="1"/>
  <c r="E142" i="17" s="1"/>
  <c r="H142" i="17" s="1"/>
  <c r="H145" i="18" l="1"/>
  <c r="F145" i="18"/>
  <c r="F142" i="17"/>
  <c r="I142" i="17" s="1"/>
  <c r="C143" i="17" s="1"/>
  <c r="E143" i="17" s="1"/>
  <c r="I145" i="18" l="1"/>
  <c r="C146" i="18" s="1"/>
  <c r="E146" i="18" s="1"/>
  <c r="F146" i="18" s="1"/>
  <c r="H143" i="17"/>
  <c r="H144" i="17" s="1"/>
  <c r="E144" i="17"/>
  <c r="F143" i="17"/>
  <c r="N36" i="19" l="1"/>
  <c r="L28" i="41" s="1"/>
  <c r="H146" i="18"/>
  <c r="I143" i="17"/>
  <c r="L16" i="21" s="1"/>
  <c r="L24" i="31" s="1"/>
  <c r="L32" i="41" l="1"/>
  <c r="L29" i="41"/>
  <c r="K27" i="39"/>
  <c r="K29" i="39" s="1"/>
  <c r="K30" i="39" s="1"/>
  <c r="K32" i="39" s="1"/>
  <c r="M36" i="30"/>
  <c r="N39" i="19"/>
  <c r="K31" i="45" s="1"/>
  <c r="E18" i="40"/>
  <c r="F18" i="40" s="1"/>
  <c r="L9" i="41"/>
  <c r="K14" i="45"/>
  <c r="K15" i="45" s="1"/>
  <c r="K11" i="45"/>
  <c r="K27" i="45" s="1"/>
  <c r="L18" i="21"/>
  <c r="L26" i="31"/>
  <c r="I146" i="18"/>
  <c r="C147" i="18" s="1"/>
  <c r="C145" i="17"/>
  <c r="E145" i="17" s="1"/>
  <c r="F145" i="17" s="1"/>
  <c r="M39" i="30" l="1"/>
  <c r="M9" i="48"/>
  <c r="M97" i="48"/>
  <c r="M84" i="48"/>
  <c r="M88" i="48" s="1"/>
  <c r="L52" i="21"/>
  <c r="K27" i="43"/>
  <c r="L47" i="41"/>
  <c r="L33" i="41"/>
  <c r="L35" i="41" s="1"/>
  <c r="N51" i="19"/>
  <c r="N41" i="19"/>
  <c r="N43" i="19" s="1"/>
  <c r="L11" i="32"/>
  <c r="L27" i="32" s="1"/>
  <c r="L31" i="32" s="1"/>
  <c r="L14" i="32"/>
  <c r="L15" i="32" s="1"/>
  <c r="K42" i="45"/>
  <c r="K57" i="45" s="1"/>
  <c r="L67" i="41"/>
  <c r="L71" i="41" s="1"/>
  <c r="L13" i="41"/>
  <c r="L14" i="41" s="1"/>
  <c r="L84" i="41"/>
  <c r="L88" i="41" s="1"/>
  <c r="L97" i="41"/>
  <c r="N45" i="19"/>
  <c r="K18" i="39"/>
  <c r="K19" i="39" s="1"/>
  <c r="E147" i="18"/>
  <c r="F147" i="18" s="1"/>
  <c r="L42" i="32"/>
  <c r="L57" i="32"/>
  <c r="H145" i="17"/>
  <c r="L48" i="41" l="1"/>
  <c r="L51" i="41"/>
  <c r="L52" i="41" s="1"/>
  <c r="M13" i="48"/>
  <c r="M14" i="48" s="1"/>
  <c r="M28" i="48"/>
  <c r="M32" i="48" s="1"/>
  <c r="M67" i="48"/>
  <c r="M71" i="48" s="1"/>
  <c r="N61" i="19"/>
  <c r="N67" i="19" s="1"/>
  <c r="K9" i="45"/>
  <c r="K25" i="45" s="1"/>
  <c r="L53" i="21"/>
  <c r="N49" i="19"/>
  <c r="L8" i="41" s="1"/>
  <c r="L13" i="21"/>
  <c r="L14" i="21" s="1"/>
  <c r="M99" i="48" s="1"/>
  <c r="M101" i="48" s="1"/>
  <c r="K31" i="39"/>
  <c r="K20" i="39"/>
  <c r="H147" i="18"/>
  <c r="I145" i="17"/>
  <c r="C146" i="17" s="1"/>
  <c r="L54" i="41" l="1"/>
  <c r="M47" i="48"/>
  <c r="M51" i="48" s="1"/>
  <c r="M52" i="48" s="1"/>
  <c r="M33" i="48"/>
  <c r="K100" i="45"/>
  <c r="K59" i="45"/>
  <c r="L50" i="21"/>
  <c r="L51" i="21"/>
  <c r="M12" i="21"/>
  <c r="L29" i="21"/>
  <c r="L99" i="41"/>
  <c r="L101" i="41" s="1"/>
  <c r="L10" i="41"/>
  <c r="L16" i="41" s="1"/>
  <c r="L66" i="41"/>
  <c r="L69" i="41" s="1"/>
  <c r="L73" i="41" s="1"/>
  <c r="I147" i="18"/>
  <c r="C148" i="18" s="1"/>
  <c r="E146" i="17"/>
  <c r="F146" i="17" s="1"/>
  <c r="L46" i="21" l="1"/>
  <c r="K98" i="45"/>
  <c r="E148" i="18"/>
  <c r="F148" i="18" s="1"/>
  <c r="H146" i="17"/>
  <c r="H148" i="18" l="1"/>
  <c r="I148" i="18" s="1"/>
  <c r="C149" i="18" s="1"/>
  <c r="I146" i="17"/>
  <c r="C147" i="17" s="1"/>
  <c r="E149" i="18" l="1"/>
  <c r="E147" i="17"/>
  <c r="F147" i="17" s="1"/>
  <c r="H149" i="18" l="1"/>
  <c r="F149" i="18"/>
  <c r="H147" i="17"/>
  <c r="I149" i="18" l="1"/>
  <c r="C150" i="18" s="1"/>
  <c r="E150" i="18" s="1"/>
  <c r="H150" i="18" s="1"/>
  <c r="I147" i="17"/>
  <c r="C148" i="17" s="1"/>
  <c r="F150" i="18" l="1"/>
  <c r="I150" i="18" s="1"/>
  <c r="C151" i="18" s="1"/>
  <c r="E148" i="17"/>
  <c r="E151" i="18" l="1"/>
  <c r="H151" i="18" s="1"/>
  <c r="H148" i="17"/>
  <c r="F148" i="17"/>
  <c r="F151" i="18" l="1"/>
  <c r="I151" i="18" s="1"/>
  <c r="C152" i="18" s="1"/>
  <c r="E152" i="18" s="1"/>
  <c r="H152" i="18" s="1"/>
  <c r="I148" i="17"/>
  <c r="C149" i="17" s="1"/>
  <c r="E149" i="17" s="1"/>
  <c r="F149" i="17" s="1"/>
  <c r="F152" i="18" l="1"/>
  <c r="I152" i="18" s="1"/>
  <c r="C153" i="18" s="1"/>
  <c r="E153" i="18" s="1"/>
  <c r="H153" i="18" s="1"/>
  <c r="H149" i="17"/>
  <c r="I149" i="17" s="1"/>
  <c r="C150" i="17" s="1"/>
  <c r="F153" i="18" l="1"/>
  <c r="I153" i="18" s="1"/>
  <c r="C154" i="18" s="1"/>
  <c r="E154" i="18" s="1"/>
  <c r="H154" i="18" s="1"/>
  <c r="E150" i="17"/>
  <c r="H150" i="17" s="1"/>
  <c r="F154" i="18" l="1"/>
  <c r="I154" i="18" s="1"/>
  <c r="C155" i="18" s="1"/>
  <c r="E155" i="18" s="1"/>
  <c r="H155" i="18" s="1"/>
  <c r="F150" i="17"/>
  <c r="I150" i="17" s="1"/>
  <c r="C151" i="17" s="1"/>
  <c r="E151" i="17" s="1"/>
  <c r="H151" i="17" s="1"/>
  <c r="F155" i="18" l="1"/>
  <c r="I155" i="18" s="1"/>
  <c r="C156" i="18" s="1"/>
  <c r="E156" i="18" s="1"/>
  <c r="E157" i="18" s="1"/>
  <c r="F151" i="17"/>
  <c r="I151" i="17" s="1"/>
  <c r="C152" i="17" s="1"/>
  <c r="E152" i="17" s="1"/>
  <c r="H152" i="17" s="1"/>
  <c r="H156" i="18" l="1"/>
  <c r="H157" i="18" s="1"/>
  <c r="F156" i="18"/>
  <c r="F152" i="17"/>
  <c r="I152" i="17" s="1"/>
  <c r="C153" i="17" s="1"/>
  <c r="I156" i="18" l="1"/>
  <c r="M17" i="21" s="1"/>
  <c r="M25" i="31" s="1"/>
  <c r="E153" i="17"/>
  <c r="H153" i="17" s="1"/>
  <c r="C158" i="18" l="1"/>
  <c r="E158" i="18" s="1"/>
  <c r="F153" i="17"/>
  <c r="I153" i="17" s="1"/>
  <c r="C154" i="17" s="1"/>
  <c r="E154" i="17" s="1"/>
  <c r="H154" i="17" s="1"/>
  <c r="F158" i="18" l="1"/>
  <c r="H158" i="18"/>
  <c r="F154" i="17"/>
  <c r="I154" i="17" s="1"/>
  <c r="C155" i="17" s="1"/>
  <c r="E155" i="17" s="1"/>
  <c r="H155" i="17" s="1"/>
  <c r="I158" i="18" l="1"/>
  <c r="C159" i="18" s="1"/>
  <c r="E159" i="18" s="1"/>
  <c r="F159" i="18" s="1"/>
  <c r="F155" i="17"/>
  <c r="I155" i="17" s="1"/>
  <c r="C156" i="17" s="1"/>
  <c r="E156" i="17" s="1"/>
  <c r="H159" i="18" l="1"/>
  <c r="H156" i="17"/>
  <c r="H157" i="17" s="1"/>
  <c r="E157" i="17"/>
  <c r="F156" i="17"/>
  <c r="O36" i="19" l="1"/>
  <c r="M28" i="41" s="1"/>
  <c r="I159" i="18"/>
  <c r="C160" i="18" s="1"/>
  <c r="I156" i="17"/>
  <c r="M32" i="41" l="1"/>
  <c r="M29" i="41"/>
  <c r="L27" i="39"/>
  <c r="L29" i="39" s="1"/>
  <c r="L30" i="39" s="1"/>
  <c r="L32" i="39" s="1"/>
  <c r="N36" i="30"/>
  <c r="L27" i="43" s="1"/>
  <c r="O39" i="19"/>
  <c r="L31" i="45" s="1"/>
  <c r="E19" i="40"/>
  <c r="F19" i="40" s="1"/>
  <c r="M9" i="41"/>
  <c r="L14" i="45"/>
  <c r="L15" i="45" s="1"/>
  <c r="L11" i="45"/>
  <c r="L27" i="45" s="1"/>
  <c r="C158" i="17"/>
  <c r="E158" i="17" s="1"/>
  <c r="F158" i="17" s="1"/>
  <c r="M16" i="21"/>
  <c r="M24" i="31" s="1"/>
  <c r="E160" i="18"/>
  <c r="F160" i="18" s="1"/>
  <c r="N39" i="30" l="1"/>
  <c r="N9" i="48"/>
  <c r="M35" i="41"/>
  <c r="M47" i="41"/>
  <c r="M33" i="41"/>
  <c r="O51" i="19"/>
  <c r="M14" i="32"/>
  <c r="M11" i="32"/>
  <c r="M27" i="32" s="1"/>
  <c r="M31" i="32" s="1"/>
  <c r="O41" i="19"/>
  <c r="O43" i="19" s="1"/>
  <c r="L18" i="39" s="1"/>
  <c r="L19" i="39" s="1"/>
  <c r="M67" i="41"/>
  <c r="M71" i="41" s="1"/>
  <c r="M13" i="41"/>
  <c r="M14" i="41" s="1"/>
  <c r="M26" i="31"/>
  <c r="M18" i="21"/>
  <c r="H160" i="18"/>
  <c r="H158" i="17"/>
  <c r="M51" i="41" l="1"/>
  <c r="M52" i="41" s="1"/>
  <c r="M48" i="41"/>
  <c r="M54" i="41" s="1"/>
  <c r="N67" i="48"/>
  <c r="N71" i="48" s="1"/>
  <c r="N13" i="48"/>
  <c r="N14" i="48" s="1"/>
  <c r="N28" i="48"/>
  <c r="N32" i="48" s="1"/>
  <c r="N97" i="48"/>
  <c r="N84" i="48"/>
  <c r="N88" i="48" s="1"/>
  <c r="M52" i="21"/>
  <c r="O45" i="19"/>
  <c r="O49" i="19" s="1"/>
  <c r="M8" i="41" s="1"/>
  <c r="L42" i="45"/>
  <c r="L57" i="45" s="1"/>
  <c r="M84" i="41"/>
  <c r="M88" i="41" s="1"/>
  <c r="M97" i="41"/>
  <c r="L31" i="39"/>
  <c r="L20" i="39"/>
  <c r="M57" i="32"/>
  <c r="M42" i="32"/>
  <c r="M15" i="32"/>
  <c r="I160" i="18"/>
  <c r="C161" i="18" s="1"/>
  <c r="I158" i="17"/>
  <c r="C159" i="17" s="1"/>
  <c r="N47" i="48" l="1"/>
  <c r="N51" i="48" s="1"/>
  <c r="N52" i="48" s="1"/>
  <c r="N33" i="48"/>
  <c r="O61" i="19"/>
  <c r="O67" i="19" s="1"/>
  <c r="M53" i="21"/>
  <c r="M13" i="21"/>
  <c r="M14" i="21" s="1"/>
  <c r="L9" i="45"/>
  <c r="L25" i="45" s="1"/>
  <c r="N12" i="21"/>
  <c r="M10" i="41"/>
  <c r="M16" i="41" s="1"/>
  <c r="M66" i="41"/>
  <c r="M69" i="41" s="1"/>
  <c r="M73" i="41" s="1"/>
  <c r="E161" i="18"/>
  <c r="E159" i="17"/>
  <c r="F159" i="17" s="1"/>
  <c r="L59" i="45" l="1"/>
  <c r="N99" i="48"/>
  <c r="N101" i="48" s="1"/>
  <c r="M99" i="41"/>
  <c r="M101" i="41" s="1"/>
  <c r="M51" i="21"/>
  <c r="M29" i="21"/>
  <c r="M46" i="21" s="1"/>
  <c r="M50" i="21"/>
  <c r="L100" i="45"/>
  <c r="H161" i="18"/>
  <c r="F161" i="18"/>
  <c r="H159" i="17"/>
  <c r="L98" i="45" l="1"/>
  <c r="I161" i="18"/>
  <c r="C162" i="18" s="1"/>
  <c r="E162" i="18" s="1"/>
  <c r="F162" i="18" s="1"/>
  <c r="I159" i="17"/>
  <c r="C160" i="17" s="1"/>
  <c r="H162" i="18" l="1"/>
  <c r="I162" i="18" s="1"/>
  <c r="C163" i="18" s="1"/>
  <c r="E160" i="17"/>
  <c r="F160" i="17" s="1"/>
  <c r="E163" i="18" l="1"/>
  <c r="H163" i="18" s="1"/>
  <c r="H160" i="17"/>
  <c r="F163" i="18" l="1"/>
  <c r="I163" i="18" s="1"/>
  <c r="C164" i="18" s="1"/>
  <c r="E164" i="18" s="1"/>
  <c r="H164" i="18" s="1"/>
  <c r="I160" i="17"/>
  <c r="C161" i="17" s="1"/>
  <c r="F164" i="18" l="1"/>
  <c r="I164" i="18" s="1"/>
  <c r="C165" i="18" s="1"/>
  <c r="E165" i="18" s="1"/>
  <c r="H165" i="18" s="1"/>
  <c r="E161" i="17"/>
  <c r="F161" i="17" s="1"/>
  <c r="F165" i="18" l="1"/>
  <c r="I165" i="18" s="1"/>
  <c r="C166" i="18" s="1"/>
  <c r="H161" i="17"/>
  <c r="I161" i="17" s="1"/>
  <c r="C162" i="17" s="1"/>
  <c r="E166" i="18" l="1"/>
  <c r="H166" i="18" s="1"/>
  <c r="E162" i="17"/>
  <c r="F166" i="18" l="1"/>
  <c r="I166" i="18" s="1"/>
  <c r="C167" i="18" s="1"/>
  <c r="E167" i="18" s="1"/>
  <c r="H167" i="18" s="1"/>
  <c r="H162" i="17"/>
  <c r="F162" i="17"/>
  <c r="F167" i="18" l="1"/>
  <c r="I167" i="18" s="1"/>
  <c r="C168" i="18" s="1"/>
  <c r="E168" i="18" s="1"/>
  <c r="H168" i="18" s="1"/>
  <c r="I162" i="17"/>
  <c r="C163" i="17" s="1"/>
  <c r="E163" i="17" s="1"/>
  <c r="H163" i="17" s="1"/>
  <c r="F168" i="18" l="1"/>
  <c r="I168" i="18" s="1"/>
  <c r="C169" i="18" s="1"/>
  <c r="E169" i="18" s="1"/>
  <c r="F163" i="17"/>
  <c r="I163" i="17" s="1"/>
  <c r="C164" i="17" s="1"/>
  <c r="E164" i="17" s="1"/>
  <c r="H164" i="17" s="1"/>
  <c r="H169" i="18" l="1"/>
  <c r="H170" i="18" s="1"/>
  <c r="E170" i="18"/>
  <c r="F169" i="18"/>
  <c r="F164" i="17"/>
  <c r="I164" i="17" s="1"/>
  <c r="C165" i="17" s="1"/>
  <c r="E165" i="17" s="1"/>
  <c r="H165" i="17" s="1"/>
  <c r="I169" i="18" l="1"/>
  <c r="F165" i="17"/>
  <c r="I165" i="17" s="1"/>
  <c r="C166" i="17" s="1"/>
  <c r="E166" i="17" s="1"/>
  <c r="H166" i="17" s="1"/>
  <c r="C171" i="18" l="1"/>
  <c r="E171" i="18" s="1"/>
  <c r="N17" i="21"/>
  <c r="N25" i="31" s="1"/>
  <c r="F166" i="17"/>
  <c r="I166" i="17" s="1"/>
  <c r="C167" i="17" s="1"/>
  <c r="F171" i="18" l="1"/>
  <c r="H171" i="18"/>
  <c r="E167" i="17"/>
  <c r="H167" i="17" s="1"/>
  <c r="I171" i="18" l="1"/>
  <c r="C172" i="18" s="1"/>
  <c r="F167" i="17"/>
  <c r="I167" i="17" s="1"/>
  <c r="C168" i="17" s="1"/>
  <c r="E168" i="17" s="1"/>
  <c r="H168" i="17" s="1"/>
  <c r="E172" i="18" l="1"/>
  <c r="F172" i="18" s="1"/>
  <c r="F168" i="17"/>
  <c r="I168" i="17" s="1"/>
  <c r="C169" i="17" s="1"/>
  <c r="E169" i="17" s="1"/>
  <c r="F169" i="17" s="1"/>
  <c r="H172" i="18" l="1"/>
  <c r="H169" i="17"/>
  <c r="H170" i="17" s="1"/>
  <c r="E170" i="17"/>
  <c r="P36" i="19" l="1"/>
  <c r="N28" i="41" s="1"/>
  <c r="I172" i="18"/>
  <c r="C173" i="18" s="1"/>
  <c r="I169" i="17"/>
  <c r="N32" i="41" l="1"/>
  <c r="N29" i="41"/>
  <c r="M27" i="39"/>
  <c r="M29" i="39" s="1"/>
  <c r="M30" i="39" s="1"/>
  <c r="M32" i="39" s="1"/>
  <c r="O36" i="30"/>
  <c r="N11" i="32" s="1"/>
  <c r="N27" i="32" s="1"/>
  <c r="N31" i="32" s="1"/>
  <c r="E20" i="40"/>
  <c r="F20" i="40" s="1"/>
  <c r="P39" i="19"/>
  <c r="M31" i="45" s="1"/>
  <c r="N16" i="21"/>
  <c r="N24" i="31" s="1"/>
  <c r="N9" i="41"/>
  <c r="M11" i="45"/>
  <c r="M27" i="45" s="1"/>
  <c r="M14" i="45"/>
  <c r="M15" i="45" s="1"/>
  <c r="E173" i="18"/>
  <c r="F173" i="18" s="1"/>
  <c r="C171" i="17"/>
  <c r="O39" i="30" l="1"/>
  <c r="O9" i="48"/>
  <c r="M27" i="43"/>
  <c r="N47" i="41"/>
  <c r="N33" i="41"/>
  <c r="N35" i="41" s="1"/>
  <c r="P41" i="19"/>
  <c r="P43" i="19" s="1"/>
  <c r="M18" i="39" s="1"/>
  <c r="M19" i="39" s="1"/>
  <c r="P51" i="19"/>
  <c r="N14" i="32"/>
  <c r="N67" i="41"/>
  <c r="N71" i="41" s="1"/>
  <c r="N13" i="41"/>
  <c r="N14" i="41" s="1"/>
  <c r="N18" i="21"/>
  <c r="N26" i="31"/>
  <c r="H173" i="18"/>
  <c r="E171" i="17"/>
  <c r="E39" i="41" l="1"/>
  <c r="E37" i="41"/>
  <c r="O28" i="48"/>
  <c r="O32" i="48" s="1"/>
  <c r="O13" i="48"/>
  <c r="O14" i="48" s="1"/>
  <c r="O67" i="48"/>
  <c r="O71" i="48" s="1"/>
  <c r="O97" i="48"/>
  <c r="O84" i="48"/>
  <c r="O88" i="48" s="1"/>
  <c r="N52" i="21"/>
  <c r="N51" i="41"/>
  <c r="N52" i="41" s="1"/>
  <c r="N48" i="41"/>
  <c r="N54" i="41" s="1"/>
  <c r="P45" i="19"/>
  <c r="P49" i="19" s="1"/>
  <c r="N8" i="41" s="1"/>
  <c r="M42" i="45"/>
  <c r="M57" i="45" s="1"/>
  <c r="N97" i="41"/>
  <c r="N84" i="41"/>
  <c r="N88" i="41" s="1"/>
  <c r="P61" i="19"/>
  <c r="P67" i="19" s="1"/>
  <c r="M31" i="39"/>
  <c r="M20" i="39"/>
  <c r="I173" i="18"/>
  <c r="C174" i="18" s="1"/>
  <c r="H171" i="17"/>
  <c r="F171" i="17"/>
  <c r="N57" i="32"/>
  <c r="N42" i="32"/>
  <c r="N15" i="32"/>
  <c r="O47" i="48" l="1"/>
  <c r="O51" i="48" s="1"/>
  <c r="O52" i="48" s="1"/>
  <c r="O33" i="48"/>
  <c r="E58" i="41"/>
  <c r="E56" i="41"/>
  <c r="M9" i="45"/>
  <c r="M25" i="45" s="1"/>
  <c r="N13" i="21"/>
  <c r="N14" i="21" s="1"/>
  <c r="N53" i="21"/>
  <c r="O12" i="21"/>
  <c r="N10" i="41"/>
  <c r="N16" i="41" s="1"/>
  <c r="N66" i="41"/>
  <c r="N69" i="41" s="1"/>
  <c r="N73" i="41" s="1"/>
  <c r="E174" i="18"/>
  <c r="I171" i="17"/>
  <c r="C172" i="17" s="1"/>
  <c r="E172" i="17" s="1"/>
  <c r="M59" i="45" l="1"/>
  <c r="O99" i="48"/>
  <c r="O101" i="48" s="1"/>
  <c r="N99" i="41"/>
  <c r="N101" i="41" s="1"/>
  <c r="E20" i="41"/>
  <c r="E18" i="41"/>
  <c r="N51" i="21"/>
  <c r="N29" i="21"/>
  <c r="N50" i="21"/>
  <c r="M100" i="45"/>
  <c r="F172" i="17"/>
  <c r="N46" i="21"/>
  <c r="M98" i="45"/>
  <c r="H174" i="18"/>
  <c r="F174" i="18"/>
  <c r="H172" i="17"/>
  <c r="I174" i="18" l="1"/>
  <c r="C175" i="18" s="1"/>
  <c r="E175" i="18" s="1"/>
  <c r="F175" i="18" s="1"/>
  <c r="I172" i="17"/>
  <c r="C173" i="17" s="1"/>
  <c r="H175" i="18" l="1"/>
  <c r="I175" i="18" s="1"/>
  <c r="C176" i="18" s="1"/>
  <c r="E173" i="17"/>
  <c r="F173" i="17" l="1"/>
  <c r="E176" i="18"/>
  <c r="H176" i="18" s="1"/>
  <c r="H173" i="17"/>
  <c r="F176" i="18" l="1"/>
  <c r="I176" i="18" s="1"/>
  <c r="C177" i="18" s="1"/>
  <c r="E177" i="18" s="1"/>
  <c r="I173" i="17"/>
  <c r="C174" i="17" s="1"/>
  <c r="H177" i="18" l="1"/>
  <c r="F177" i="18"/>
  <c r="E174" i="17"/>
  <c r="F174" i="17" s="1"/>
  <c r="I177" i="18" l="1"/>
  <c r="C178" i="18" s="1"/>
  <c r="E178" i="18" s="1"/>
  <c r="H178" i="18" s="1"/>
  <c r="H174" i="17"/>
  <c r="I174" i="17" s="1"/>
  <c r="C175" i="17" s="1"/>
  <c r="F178" i="18" l="1"/>
  <c r="I178" i="18" s="1"/>
  <c r="C179" i="18" s="1"/>
  <c r="E179" i="18" s="1"/>
  <c r="H179" i="18" s="1"/>
  <c r="E175" i="17"/>
  <c r="F179" i="18" l="1"/>
  <c r="I179" i="18" s="1"/>
  <c r="C180" i="18" s="1"/>
  <c r="E180" i="18" s="1"/>
  <c r="H180" i="18" s="1"/>
  <c r="H175" i="17"/>
  <c r="F175" i="17"/>
  <c r="F180" i="18" l="1"/>
  <c r="I180" i="18" s="1"/>
  <c r="C181" i="18" s="1"/>
  <c r="E181" i="18" s="1"/>
  <c r="H181" i="18" s="1"/>
  <c r="I175" i="17"/>
  <c r="C176" i="17" s="1"/>
  <c r="E176" i="17" s="1"/>
  <c r="H176" i="17" s="1"/>
  <c r="F181" i="18" l="1"/>
  <c r="F176" i="17"/>
  <c r="I176" i="17" s="1"/>
  <c r="C177" i="17" s="1"/>
  <c r="E177" i="17" s="1"/>
  <c r="H177" i="17" s="1"/>
  <c r="I181" i="18" l="1"/>
  <c r="F182" i="18"/>
  <c r="F184" i="18" s="1"/>
  <c r="H182" i="18"/>
  <c r="H184" i="18" s="1"/>
  <c r="E182" i="18"/>
  <c r="F177" i="17"/>
  <c r="I177" i="17" s="1"/>
  <c r="C178" i="17" s="1"/>
  <c r="E178" i="17" s="1"/>
  <c r="H178" i="17" s="1"/>
  <c r="E184" i="18" l="1"/>
  <c r="F178" i="17"/>
  <c r="I178" i="17" s="1"/>
  <c r="C179" i="17" s="1"/>
  <c r="E179" i="17" s="1"/>
  <c r="H179" i="17" s="1"/>
  <c r="O25" i="31" l="1"/>
  <c r="F179" i="17"/>
  <c r="I179" i="17" s="1"/>
  <c r="C180" i="17" s="1"/>
  <c r="E180" i="17" l="1"/>
  <c r="H180" i="17" s="1"/>
  <c r="F180" i="17" l="1"/>
  <c r="I180" i="17" s="1"/>
  <c r="C181" i="17" s="1"/>
  <c r="E181" i="17" s="1"/>
  <c r="H181" i="17" l="1"/>
  <c r="H182" i="17" s="1"/>
  <c r="H184" i="17" s="1"/>
  <c r="E182" i="17"/>
  <c r="F181" i="17"/>
  <c r="I181" i="17" l="1"/>
  <c r="F182" i="17"/>
  <c r="F184" i="17" s="1"/>
  <c r="E184" i="17"/>
  <c r="Q36" i="19"/>
  <c r="P36" i="30" l="1"/>
  <c r="N27" i="43" s="1"/>
  <c r="O28" i="41"/>
  <c r="N11" i="45"/>
  <c r="N27" i="45" s="1"/>
  <c r="N14" i="45"/>
  <c r="N15" i="45" s="1"/>
  <c r="O9" i="41"/>
  <c r="O67" i="41" s="1"/>
  <c r="O71" i="41" s="1"/>
  <c r="N27" i="39"/>
  <c r="N29" i="39" s="1"/>
  <c r="N30" i="39" s="1"/>
  <c r="N32" i="39" s="1"/>
  <c r="E21" i="40"/>
  <c r="F21" i="40" s="1"/>
  <c r="Q39" i="19"/>
  <c r="N31" i="45" s="1"/>
  <c r="O24" i="31"/>
  <c r="O32" i="41" l="1"/>
  <c r="O29" i="41"/>
  <c r="P39" i="30"/>
  <c r="P9" i="48"/>
  <c r="O13" i="41"/>
  <c r="O14" i="41" s="1"/>
  <c r="Q41" i="19"/>
  <c r="Q43" i="19" s="1"/>
  <c r="Q51" i="19"/>
  <c r="O14" i="32"/>
  <c r="O11" i="32"/>
  <c r="O27" i="32" s="1"/>
  <c r="O31" i="32" s="1"/>
  <c r="P13" i="48" l="1"/>
  <c r="P28" i="48"/>
  <c r="P32" i="48" s="1"/>
  <c r="P67" i="48"/>
  <c r="P71" i="48" s="1"/>
  <c r="Q9" i="48"/>
  <c r="O47" i="41"/>
  <c r="O33" i="41"/>
  <c r="O35" i="41" s="1"/>
  <c r="Q45" i="19"/>
  <c r="N18" i="39"/>
  <c r="N19" i="39" s="1"/>
  <c r="O18" i="21"/>
  <c r="O26" i="31"/>
  <c r="P97" i="48" l="1"/>
  <c r="P84" i="48"/>
  <c r="P88" i="48" s="1"/>
  <c r="F90" i="48" s="1"/>
  <c r="O52" i="21"/>
  <c r="O51" i="41"/>
  <c r="O52" i="41" s="1"/>
  <c r="O48" i="41"/>
  <c r="P47" i="48"/>
  <c r="P51" i="48" s="1"/>
  <c r="P52" i="48" s="1"/>
  <c r="P33" i="48"/>
  <c r="P14" i="48"/>
  <c r="Q13" i="48"/>
  <c r="Q14" i="48" s="1"/>
  <c r="N42" i="45"/>
  <c r="N57" i="45" s="1"/>
  <c r="O13" i="21"/>
  <c r="O14" i="21" s="1"/>
  <c r="P99" i="48" s="1"/>
  <c r="O53" i="21"/>
  <c r="N9" i="45"/>
  <c r="N25" i="45" s="1"/>
  <c r="O97" i="41"/>
  <c r="O84" i="41"/>
  <c r="O88" i="41" s="1"/>
  <c r="Q61" i="19"/>
  <c r="Q67" i="19" s="1"/>
  <c r="E72" i="19" s="1"/>
  <c r="Q49" i="19"/>
  <c r="O8" i="41" s="1"/>
  <c r="N31" i="39"/>
  <c r="N20" i="39"/>
  <c r="O57" i="32"/>
  <c r="O42" i="32"/>
  <c r="O15" i="32"/>
  <c r="O54" i="41" l="1"/>
  <c r="P101" i="48"/>
  <c r="F103" i="48" s="1"/>
  <c r="N100" i="45"/>
  <c r="N59" i="45"/>
  <c r="O50" i="21"/>
  <c r="O51" i="21"/>
  <c r="O99" i="41"/>
  <c r="O101" i="41" s="1"/>
  <c r="O29" i="21"/>
  <c r="O10" i="41"/>
  <c r="O16" i="41" s="1"/>
  <c r="O66" i="41"/>
  <c r="O69" i="41" s="1"/>
  <c r="O73" i="41" s="1"/>
  <c r="O46" i="21" l="1"/>
  <c r="N98" i="45"/>
  <c r="P9" i="41" l="1"/>
  <c r="O27" i="39"/>
  <c r="O29" i="39" s="1"/>
  <c r="O30" i="39" s="1"/>
  <c r="O32" i="39" s="1"/>
  <c r="F22" i="40"/>
  <c r="E90" i="41" l="1"/>
  <c r="P13" i="41"/>
  <c r="P14" i="41" s="1"/>
  <c r="O18" i="39" l="1"/>
  <c r="O19" i="39" s="1"/>
  <c r="O31" i="39" l="1"/>
  <c r="O20" i="39"/>
  <c r="E75" i="41" l="1"/>
  <c r="E77" i="41"/>
  <c r="E76" i="41"/>
  <c r="P8" i="41"/>
  <c r="P10" i="41" s="1"/>
  <c r="E103" i="41" l="1"/>
  <c r="P16" i="41"/>
  <c r="D19" i="43"/>
  <c r="D20" i="43" s="1"/>
  <c r="K19" i="43"/>
  <c r="K20" i="43" s="1"/>
  <c r="G19" i="43"/>
  <c r="G20" i="43" s="1"/>
  <c r="H19" i="43"/>
  <c r="H20" i="43" s="1"/>
  <c r="J19" i="43"/>
  <c r="J20" i="43" s="1"/>
  <c r="N19" i="43"/>
  <c r="N20" i="43" s="1"/>
  <c r="I29" i="43"/>
  <c r="N29" i="43"/>
  <c r="M29" i="43"/>
  <c r="G29" i="43"/>
  <c r="F19" i="43"/>
  <c r="F20" i="43" s="1"/>
  <c r="I19" i="43"/>
  <c r="I20" i="43" s="1"/>
  <c r="J29" i="43"/>
  <c r="L19" i="43"/>
  <c r="L20" i="43" s="1"/>
  <c r="E19" i="43"/>
  <c r="E20" i="43" s="1"/>
  <c r="E29" i="43"/>
  <c r="H29" i="43"/>
  <c r="K29" i="43"/>
  <c r="L29" i="43"/>
  <c r="M19" i="43"/>
  <c r="M20" i="43" s="1"/>
  <c r="F29" i="43"/>
  <c r="F31" i="43" l="1"/>
  <c r="N31" i="43"/>
  <c r="K31" i="43"/>
  <c r="E31" i="43"/>
  <c r="E30" i="43"/>
  <c r="E32" i="43" s="1"/>
  <c r="K30" i="43"/>
  <c r="K32" i="43" s="1"/>
  <c r="G31" i="43"/>
  <c r="G30" i="43"/>
  <c r="G32" i="43" s="1"/>
  <c r="L31" i="43"/>
  <c r="L30" i="43"/>
  <c r="L32" i="43" s="1"/>
  <c r="H31" i="43"/>
  <c r="H30" i="43"/>
  <c r="H32" i="43" s="1"/>
  <c r="J31" i="43"/>
  <c r="J30" i="43"/>
  <c r="J32" i="43" s="1"/>
  <c r="F30" i="43"/>
  <c r="F32" i="43" s="1"/>
  <c r="I30" i="43"/>
  <c r="I32" i="43" s="1"/>
  <c r="I31" i="43"/>
  <c r="N30" i="43"/>
  <c r="N32" i="43" s="1"/>
  <c r="M30" i="43"/>
  <c r="M32" i="43" s="1"/>
  <c r="M31" i="43"/>
  <c r="D29" i="43"/>
  <c r="D31" i="43" s="1"/>
  <c r="D30" i="43" l="1"/>
  <c r="D32" i="43" s="1"/>
  <c r="E29" i="21"/>
  <c r="E46" i="21" s="1"/>
  <c r="D29" i="21"/>
  <c r="D30" i="31"/>
  <c r="D57" i="32" s="1"/>
  <c r="E30" i="31"/>
  <c r="E57" i="32" s="1"/>
  <c r="D46" i="21" l="1"/>
  <c r="C98" i="45"/>
  <c r="D98" i="45"/>
  <c r="N13" i="44"/>
  <c r="N16" i="44" s="1"/>
  <c r="N19" i="44" s="1"/>
  <c r="N22" i="44" l="1"/>
  <c r="N24" i="44"/>
  <c r="B12" i="45"/>
  <c r="B16" i="45" s="1"/>
  <c r="B29" i="45"/>
  <c r="B33" i="45" s="1"/>
  <c r="C12" i="45"/>
  <c r="D12" i="45"/>
  <c r="E12" i="45"/>
  <c r="F12" i="45"/>
  <c r="F16" i="45" s="1"/>
  <c r="G12" i="45"/>
  <c r="G16" i="45" s="1"/>
  <c r="H12" i="45"/>
  <c r="H16" i="45" s="1"/>
  <c r="I12" i="45"/>
  <c r="I16" i="45" s="1"/>
  <c r="J12" i="45"/>
  <c r="J16" i="45" s="1"/>
  <c r="K12" i="45"/>
  <c r="K16" i="45" s="1"/>
  <c r="L12" i="45"/>
  <c r="L16" i="45" s="1"/>
  <c r="M12" i="45"/>
  <c r="M16" i="45" s="1"/>
  <c r="N12" i="45"/>
  <c r="N16" i="45" s="1"/>
  <c r="C16" i="45"/>
  <c r="D16" i="45"/>
  <c r="E16" i="45"/>
  <c r="C29" i="45"/>
  <c r="D29" i="45"/>
  <c r="D33" i="45" s="1"/>
  <c r="E29" i="45"/>
  <c r="E33" i="45" s="1"/>
  <c r="F29" i="45"/>
  <c r="F33" i="45" s="1"/>
  <c r="G29" i="45"/>
  <c r="G33" i="45" s="1"/>
  <c r="H29" i="45"/>
  <c r="I29" i="45"/>
  <c r="I33" i="45" s="1"/>
  <c r="J29" i="45"/>
  <c r="J33" i="45" s="1"/>
  <c r="K29" i="45"/>
  <c r="K33" i="45" s="1"/>
  <c r="L29" i="45"/>
  <c r="L33" i="45" s="1"/>
  <c r="M29" i="45"/>
  <c r="M33" i="45" s="1"/>
  <c r="N29" i="45"/>
  <c r="N33" i="45" s="1"/>
  <c r="C33" i="45"/>
  <c r="H33" i="45"/>
  <c r="B46" i="45"/>
  <c r="C46" i="45"/>
  <c r="D46" i="45"/>
  <c r="E46" i="45"/>
  <c r="F46" i="45"/>
  <c r="G46" i="45"/>
  <c r="H46" i="45"/>
  <c r="I46" i="45"/>
  <c r="J46" i="45"/>
  <c r="K46" i="45"/>
  <c r="L46" i="45"/>
  <c r="M46" i="45"/>
  <c r="N46" i="45"/>
  <c r="B61" i="45"/>
  <c r="C61" i="45"/>
  <c r="D61" i="45"/>
  <c r="E61" i="45"/>
  <c r="F61" i="45"/>
  <c r="G61" i="45"/>
  <c r="H61" i="45"/>
  <c r="I61" i="45"/>
  <c r="J61" i="45"/>
  <c r="K61" i="45"/>
  <c r="L61" i="45"/>
  <c r="M61" i="45"/>
  <c r="N61" i="45"/>
  <c r="B102" i="45"/>
  <c r="C102" i="45"/>
  <c r="D102" i="45"/>
  <c r="E102" i="45"/>
  <c r="F102" i="45"/>
  <c r="G102" i="45"/>
  <c r="H102" i="45"/>
  <c r="I102" i="45"/>
  <c r="J102" i="45"/>
  <c r="K102" i="45"/>
  <c r="L102" i="45"/>
  <c r="M102" i="45"/>
  <c r="N102" i="45"/>
  <c r="B48" i="45" l="1"/>
  <c r="B35" i="45"/>
  <c r="B18" i="45"/>
  <c r="B63" i="45"/>
  <c r="B105" i="45"/>
  <c r="D29" i="48"/>
  <c r="E29" i="48"/>
  <c r="F29" i="48"/>
  <c r="F35" i="48" s="1"/>
  <c r="G29" i="48"/>
  <c r="G35" i="48" s="1"/>
  <c r="H29" i="48"/>
  <c r="H35" i="48" s="1"/>
  <c r="I29" i="48"/>
  <c r="I35" i="48" s="1"/>
  <c r="J29" i="48"/>
  <c r="J35" i="48" s="1"/>
  <c r="K29" i="48"/>
  <c r="K35" i="48" s="1"/>
  <c r="F38" i="48" s="1"/>
  <c r="L29" i="48"/>
  <c r="M29" i="48"/>
  <c r="M35" i="48" s="1"/>
  <c r="N29" i="48"/>
  <c r="N35" i="48" s="1"/>
  <c r="O29" i="48"/>
  <c r="O35" i="48" s="1"/>
  <c r="F39" i="48" s="1"/>
  <c r="P29" i="48"/>
  <c r="P35" i="48" s="1"/>
  <c r="D35" i="48"/>
  <c r="E35" i="48"/>
  <c r="L35" i="48"/>
  <c r="F37" i="48" l="1"/>
  <c r="D46" i="48"/>
  <c r="E46" i="48"/>
  <c r="F46" i="48"/>
  <c r="F48" i="48" s="1"/>
  <c r="F54" i="48" s="1"/>
  <c r="G46" i="48"/>
  <c r="H46" i="48"/>
  <c r="I46" i="48"/>
  <c r="J46" i="48"/>
  <c r="J48" i="48" s="1"/>
  <c r="J54" i="48" s="1"/>
  <c r="K46" i="48"/>
  <c r="L46" i="48"/>
  <c r="L48" i="48" s="1"/>
  <c r="L54" i="48" s="1"/>
  <c r="M46" i="48"/>
  <c r="N46" i="48"/>
  <c r="N48" i="48" s="1"/>
  <c r="N54" i="48" s="1"/>
  <c r="O46" i="48"/>
  <c r="P46" i="48"/>
  <c r="D48" i="48"/>
  <c r="D54" i="48" s="1"/>
  <c r="E48" i="48"/>
  <c r="E54" i="48" s="1"/>
  <c r="G48" i="48"/>
  <c r="G54" i="48" s="1"/>
  <c r="H48" i="48"/>
  <c r="H54" i="48" s="1"/>
  <c r="I48" i="48"/>
  <c r="I54" i="48" s="1"/>
  <c r="K48" i="48"/>
  <c r="K54" i="48" s="1"/>
  <c r="F57" i="48" s="1"/>
  <c r="M48" i="48"/>
  <c r="M54" i="48" s="1"/>
  <c r="O48" i="48"/>
  <c r="O54" i="48" s="1"/>
  <c r="F58" i="48" s="1"/>
  <c r="P48" i="48"/>
  <c r="P54" i="48" s="1"/>
  <c r="F56" i="48" l="1"/>
  <c r="B105" i="31"/>
  <c r="B107" i="31" s="1"/>
  <c r="B111" i="31" s="1"/>
  <c r="C105" i="31"/>
  <c r="D105" i="31"/>
  <c r="D108" i="31" s="1"/>
  <c r="E105" i="31"/>
  <c r="E108" i="31" s="1"/>
  <c r="F105" i="31"/>
  <c r="F108" i="31" s="1"/>
  <c r="G105" i="31"/>
  <c r="H105" i="31"/>
  <c r="I105" i="31"/>
  <c r="J105" i="31"/>
  <c r="J108" i="31" s="1"/>
  <c r="K105" i="31"/>
  <c r="L105" i="31"/>
  <c r="L108" i="31" s="1"/>
  <c r="M105" i="31"/>
  <c r="M108" i="31" s="1"/>
  <c r="N105" i="31"/>
  <c r="N108" i="31" s="1"/>
  <c r="O105" i="31"/>
  <c r="H108" i="31"/>
  <c r="I108" i="31"/>
  <c r="B108" i="31" l="1"/>
  <c r="B110" i="31" s="1"/>
  <c r="B112" i="31" s="1"/>
  <c r="O108" i="31"/>
  <c r="K108" i="31"/>
  <c r="G108" i="31"/>
  <c r="C108" i="31"/>
  <c r="C107" i="31"/>
  <c r="C111" i="31" s="1"/>
  <c r="D107" i="31"/>
  <c r="D111" i="31" s="1"/>
  <c r="E107" i="31"/>
  <c r="E111" i="31" s="1"/>
  <c r="F107" i="31"/>
  <c r="F111" i="31" s="1"/>
  <c r="G107" i="31"/>
  <c r="G111" i="31" s="1"/>
  <c r="H107" i="31"/>
  <c r="H111" i="31" s="1"/>
  <c r="I107" i="31"/>
  <c r="I111" i="31" s="1"/>
  <c r="J107" i="31"/>
  <c r="J110" i="31" s="1"/>
  <c r="K107" i="31"/>
  <c r="K111" i="31" s="1"/>
  <c r="L107" i="31"/>
  <c r="L111" i="31" s="1"/>
  <c r="M107" i="31"/>
  <c r="M110" i="31" s="1"/>
  <c r="N107" i="31"/>
  <c r="N111" i="31" s="1"/>
  <c r="O107" i="31"/>
  <c r="O111" i="31" s="1"/>
  <c r="D110" i="31"/>
  <c r="F110" i="31" l="1"/>
  <c r="E110" i="31"/>
  <c r="E112" i="31" s="1"/>
  <c r="J111" i="31"/>
  <c r="J112" i="31" s="1"/>
  <c r="N110" i="31"/>
  <c r="N112" i="31" s="1"/>
  <c r="H110" i="31"/>
  <c r="H112" i="31" s="1"/>
  <c r="I110" i="31"/>
  <c r="I112" i="31" s="1"/>
  <c r="G110" i="31"/>
  <c r="G112" i="31" s="1"/>
  <c r="K110" i="31"/>
  <c r="K112" i="31" s="1"/>
  <c r="M111" i="31"/>
  <c r="M112" i="31" s="1"/>
  <c r="F112" i="31"/>
  <c r="L110" i="31"/>
  <c r="L112" i="31" s="1"/>
  <c r="O110" i="31"/>
  <c r="O112" i="31" s="1"/>
  <c r="C110" i="31"/>
  <c r="C112" i="31" s="1"/>
  <c r="D112" i="31"/>
  <c r="B79" i="31"/>
  <c r="C79" i="31"/>
  <c r="D79" i="31"/>
  <c r="E79" i="31"/>
  <c r="F79" i="31"/>
  <c r="G79" i="31"/>
  <c r="H79" i="31"/>
  <c r="I79" i="31"/>
  <c r="J79" i="31"/>
  <c r="K79" i="31"/>
  <c r="L79" i="31"/>
  <c r="M79" i="31"/>
  <c r="N79" i="31"/>
  <c r="O79" i="31"/>
  <c r="B84" i="31"/>
  <c r="B86" i="31" s="1"/>
  <c r="C84" i="31"/>
  <c r="C86" i="31" s="1"/>
  <c r="C88" i="31" s="1"/>
  <c r="D84" i="31"/>
  <c r="E84" i="31"/>
  <c r="E86" i="31" s="1"/>
  <c r="F84" i="31"/>
  <c r="G84" i="31"/>
  <c r="H84" i="31"/>
  <c r="I84" i="31"/>
  <c r="I86" i="31" s="1"/>
  <c r="J84" i="31"/>
  <c r="K84" i="31"/>
  <c r="L84" i="31"/>
  <c r="M84" i="31"/>
  <c r="M86" i="31" s="1"/>
  <c r="N84" i="31"/>
  <c r="O84" i="31"/>
  <c r="O86" i="31" s="1"/>
  <c r="D86" i="31"/>
  <c r="F86" i="31"/>
  <c r="F88" i="31" s="1"/>
  <c r="G86" i="31"/>
  <c r="H86" i="31"/>
  <c r="J86" i="31"/>
  <c r="K86" i="31"/>
  <c r="K88" i="31" s="1"/>
  <c r="L86" i="31"/>
  <c r="N86" i="31"/>
  <c r="E88" i="31"/>
  <c r="I88" i="31"/>
  <c r="J88" i="31"/>
  <c r="N88" i="31"/>
  <c r="O88" i="31"/>
  <c r="L88" i="31" l="1"/>
  <c r="M88" i="31"/>
  <c r="G88" i="31"/>
  <c r="D88" i="31"/>
  <c r="H88" i="31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C13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C31" i="29"/>
  <c r="D31" i="29"/>
  <c r="E31" i="29"/>
  <c r="F31" i="29"/>
  <c r="G31" i="29"/>
  <c r="H31" i="29"/>
  <c r="I31" i="29"/>
  <c r="J31" i="29"/>
  <c r="K31" i="29"/>
  <c r="L31" i="29"/>
  <c r="M31" i="29"/>
  <c r="N31" i="29"/>
  <c r="O31" i="29"/>
  <c r="B33" i="29"/>
  <c r="C33" i="29"/>
  <c r="D33" i="29"/>
  <c r="E33" i="29"/>
  <c r="F33" i="29"/>
  <c r="G33" i="29"/>
  <c r="H33" i="29"/>
  <c r="I33" i="29"/>
  <c r="J33" i="29"/>
  <c r="K33" i="29"/>
  <c r="L33" i="29"/>
  <c r="M33" i="29"/>
  <c r="N33" i="29"/>
  <c r="O33" i="29"/>
  <c r="B47" i="29"/>
  <c r="C47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B49" i="29"/>
  <c r="C49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C53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C54" i="29"/>
  <c r="D54" i="29"/>
  <c r="E54" i="29"/>
  <c r="F54" i="29"/>
  <c r="G54" i="29"/>
  <c r="H54" i="29"/>
  <c r="I54" i="29"/>
  <c r="J54" i="29"/>
  <c r="K54" i="29"/>
  <c r="L54" i="29"/>
  <c r="M54" i="29"/>
  <c r="N54" i="29"/>
  <c r="O54" i="29"/>
  <c r="B55" i="29"/>
  <c r="C55" i="29"/>
  <c r="D55" i="29"/>
  <c r="E55" i="29"/>
  <c r="F55" i="29"/>
  <c r="G55" i="29"/>
  <c r="H55" i="29"/>
  <c r="I55" i="29"/>
  <c r="J55" i="29"/>
  <c r="K55" i="29"/>
  <c r="L55" i="29"/>
  <c r="M55" i="29"/>
  <c r="N55" i="29"/>
  <c r="O55" i="29"/>
  <c r="C56" i="29"/>
  <c r="D56" i="29"/>
  <c r="E56" i="29"/>
  <c r="F56" i="29"/>
  <c r="G56" i="29"/>
  <c r="H56" i="29"/>
  <c r="I56" i="29"/>
  <c r="J56" i="29"/>
  <c r="K56" i="29"/>
  <c r="L56" i="29"/>
  <c r="M56" i="29"/>
  <c r="N56" i="29"/>
  <c r="O56" i="29"/>
  <c r="C13" i="31"/>
  <c r="D13" i="31"/>
  <c r="E13" i="31"/>
  <c r="F13" i="31"/>
  <c r="G13" i="31"/>
  <c r="H13" i="31"/>
  <c r="I13" i="31"/>
  <c r="J13" i="31"/>
  <c r="K13" i="31"/>
  <c r="L13" i="31"/>
  <c r="M13" i="31"/>
  <c r="N13" i="31"/>
  <c r="O13" i="31"/>
  <c r="C14" i="31"/>
  <c r="D14" i="31"/>
  <c r="E14" i="31"/>
  <c r="F14" i="31"/>
  <c r="G14" i="31"/>
  <c r="H14" i="31"/>
  <c r="I14" i="31"/>
  <c r="J14" i="31"/>
  <c r="K14" i="31"/>
  <c r="L14" i="31"/>
  <c r="M14" i="31"/>
  <c r="N14" i="31"/>
  <c r="O14" i="31"/>
  <c r="C39" i="31"/>
  <c r="D39" i="31"/>
  <c r="E39" i="31"/>
  <c r="F39" i="31"/>
  <c r="G39" i="31"/>
  <c r="H39" i="31"/>
  <c r="I39" i="31"/>
  <c r="J39" i="31"/>
  <c r="K39" i="31"/>
  <c r="L39" i="31"/>
  <c r="M39" i="31"/>
  <c r="N39" i="31"/>
  <c r="O39" i="31"/>
  <c r="C40" i="31"/>
  <c r="D40" i="31"/>
  <c r="E40" i="31"/>
  <c r="F40" i="31"/>
  <c r="G40" i="31"/>
  <c r="H40" i="31"/>
  <c r="I40" i="31"/>
  <c r="J40" i="31"/>
  <c r="K40" i="31"/>
  <c r="L40" i="31"/>
  <c r="M40" i="31"/>
  <c r="N40" i="31"/>
  <c r="O40" i="31"/>
  <c r="B41" i="31"/>
  <c r="C41" i="31"/>
  <c r="D41" i="31"/>
  <c r="E41" i="31"/>
  <c r="F41" i="31"/>
  <c r="G41" i="31"/>
  <c r="H41" i="31"/>
  <c r="I41" i="31"/>
  <c r="J41" i="31"/>
  <c r="K41" i="31"/>
  <c r="L41" i="31"/>
  <c r="M41" i="31"/>
  <c r="N41" i="31"/>
  <c r="O41" i="31"/>
  <c r="B55" i="31"/>
  <c r="C55" i="31"/>
  <c r="D55" i="31"/>
  <c r="E55" i="31"/>
  <c r="F55" i="31"/>
  <c r="G55" i="31"/>
  <c r="H55" i="31"/>
  <c r="I55" i="31"/>
  <c r="J55" i="31"/>
  <c r="K55" i="31"/>
  <c r="L55" i="31"/>
  <c r="M55" i="31"/>
  <c r="N55" i="31"/>
  <c r="O55" i="31"/>
  <c r="B57" i="31"/>
  <c r="C57" i="31"/>
  <c r="D57" i="31"/>
  <c r="E57" i="31"/>
  <c r="F57" i="31"/>
  <c r="G57" i="31"/>
  <c r="H57" i="31"/>
  <c r="I57" i="31"/>
  <c r="J57" i="31"/>
  <c r="K57" i="31"/>
  <c r="L57" i="31"/>
  <c r="M57" i="31"/>
  <c r="N57" i="31"/>
  <c r="O57" i="31"/>
  <c r="C66" i="31"/>
  <c r="D66" i="31"/>
  <c r="E66" i="31"/>
  <c r="F66" i="31"/>
  <c r="G66" i="31"/>
  <c r="H66" i="31"/>
  <c r="I66" i="31"/>
  <c r="J66" i="31"/>
  <c r="K66" i="31"/>
  <c r="L66" i="31"/>
  <c r="M66" i="31"/>
  <c r="N66" i="31"/>
  <c r="O66" i="31"/>
  <c r="C67" i="31"/>
  <c r="D67" i="31"/>
  <c r="E67" i="31"/>
  <c r="F67" i="31"/>
  <c r="G67" i="31"/>
  <c r="H67" i="31"/>
  <c r="I67" i="31"/>
  <c r="J67" i="31"/>
  <c r="K67" i="31"/>
  <c r="L67" i="31"/>
  <c r="M67" i="31"/>
  <c r="N67" i="31"/>
  <c r="O67" i="31"/>
  <c r="B68" i="31"/>
  <c r="C68" i="31"/>
  <c r="D68" i="31"/>
  <c r="E68" i="31"/>
  <c r="F68" i="31"/>
  <c r="G68" i="31"/>
  <c r="H68" i="31"/>
  <c r="I68" i="31"/>
  <c r="J68" i="31"/>
  <c r="K68" i="31"/>
  <c r="L68" i="31"/>
  <c r="M68" i="31"/>
  <c r="N68" i="31"/>
  <c r="O68" i="31"/>
  <c r="C69" i="31"/>
  <c r="D69" i="31"/>
  <c r="E69" i="31"/>
  <c r="F69" i="31"/>
  <c r="G69" i="31"/>
  <c r="H69" i="31"/>
  <c r="I69" i="31"/>
  <c r="J69" i="31"/>
  <c r="K69" i="31"/>
  <c r="L69" i="31"/>
  <c r="M69" i="31"/>
  <c r="N69" i="31"/>
  <c r="O69" i="31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D28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D30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D41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D43" i="30"/>
  <c r="E43" i="30"/>
  <c r="G43" i="30"/>
  <c r="H43" i="30"/>
  <c r="I43" i="30"/>
  <c r="J43" i="30"/>
  <c r="K43" i="30"/>
  <c r="L43" i="30"/>
  <c r="M43" i="30"/>
  <c r="N43" i="30"/>
  <c r="O43" i="30"/>
  <c r="P43" i="30"/>
  <c r="D45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D47" i="30"/>
  <c r="E47" i="30"/>
  <c r="F47" i="30"/>
  <c r="G47" i="30"/>
  <c r="H47" i="30"/>
  <c r="I47" i="30"/>
  <c r="J47" i="30"/>
  <c r="K47" i="30"/>
  <c r="L47" i="30"/>
  <c r="M47" i="30"/>
  <c r="N47" i="30"/>
  <c r="O47" i="30"/>
  <c r="P47" i="30"/>
  <c r="D49" i="30"/>
  <c r="E49" i="30"/>
  <c r="F49" i="30"/>
  <c r="G49" i="30"/>
  <c r="H49" i="30"/>
  <c r="I49" i="30"/>
  <c r="J49" i="30"/>
  <c r="K49" i="30"/>
  <c r="L49" i="30"/>
  <c r="M49" i="30"/>
  <c r="N49" i="30"/>
  <c r="O49" i="30"/>
  <c r="P49" i="30"/>
  <c r="D55" i="30"/>
  <c r="E55" i="30"/>
  <c r="F55" i="30"/>
  <c r="G55" i="30"/>
  <c r="H55" i="30"/>
  <c r="I55" i="30"/>
  <c r="J55" i="30"/>
  <c r="K55" i="30"/>
  <c r="L55" i="30"/>
  <c r="M55" i="30"/>
  <c r="N55" i="30"/>
  <c r="O55" i="30"/>
  <c r="P55" i="30"/>
  <c r="D56" i="30"/>
  <c r="E56" i="30"/>
  <c r="F56" i="30"/>
  <c r="G56" i="30"/>
  <c r="H56" i="30"/>
  <c r="I56" i="30"/>
  <c r="J56" i="30"/>
  <c r="K56" i="30"/>
  <c r="L56" i="30"/>
  <c r="M56" i="30"/>
  <c r="N56" i="30"/>
  <c r="O56" i="30"/>
  <c r="P56" i="30"/>
  <c r="D57" i="30"/>
  <c r="E57" i="30"/>
  <c r="F57" i="30"/>
  <c r="G57" i="30"/>
  <c r="H57" i="30"/>
  <c r="I57" i="30"/>
  <c r="J57" i="30"/>
  <c r="K57" i="30"/>
  <c r="L57" i="30"/>
  <c r="M57" i="30"/>
  <c r="N57" i="30"/>
  <c r="O57" i="30"/>
  <c r="P57" i="30"/>
  <c r="D58" i="30"/>
  <c r="E58" i="30"/>
  <c r="F58" i="30"/>
  <c r="G58" i="30"/>
  <c r="H58" i="30"/>
  <c r="I58" i="30"/>
  <c r="J58" i="30"/>
  <c r="K58" i="30"/>
  <c r="L58" i="30"/>
  <c r="M58" i="30"/>
  <c r="N58" i="30"/>
  <c r="O58" i="30"/>
  <c r="P58" i="30"/>
  <c r="D59" i="30"/>
  <c r="E59" i="30"/>
  <c r="F59" i="30"/>
  <c r="G59" i="30"/>
  <c r="H59" i="30"/>
  <c r="I59" i="30"/>
  <c r="J59" i="30"/>
  <c r="K59" i="30"/>
  <c r="L59" i="30"/>
  <c r="M59" i="30"/>
  <c r="N59" i="30"/>
  <c r="O59" i="30"/>
  <c r="P59" i="30"/>
  <c r="D60" i="30"/>
  <c r="E60" i="30"/>
  <c r="F60" i="30"/>
  <c r="G60" i="30"/>
  <c r="H60" i="30"/>
  <c r="I60" i="30"/>
  <c r="J60" i="30"/>
  <c r="K60" i="30"/>
  <c r="L60" i="30"/>
  <c r="M60" i="30"/>
  <c r="N60" i="30"/>
  <c r="O60" i="30"/>
  <c r="P60" i="30"/>
  <c r="G3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D8" i="48"/>
  <c r="E8" i="48"/>
  <c r="F8" i="48"/>
  <c r="G8" i="48"/>
  <c r="H8" i="48"/>
  <c r="I8" i="48"/>
  <c r="J8" i="48"/>
  <c r="K8" i="48"/>
  <c r="L8" i="48"/>
  <c r="M8" i="48"/>
  <c r="N8" i="48"/>
  <c r="O8" i="48"/>
  <c r="P8" i="48"/>
  <c r="Q8" i="48"/>
  <c r="D10" i="48"/>
  <c r="E10" i="48"/>
  <c r="F10" i="48"/>
  <c r="G10" i="48"/>
  <c r="H10" i="48"/>
  <c r="I10" i="48"/>
  <c r="J10" i="48"/>
  <c r="K10" i="48"/>
  <c r="L10" i="48"/>
  <c r="M10" i="48"/>
  <c r="N10" i="48"/>
  <c r="O10" i="48"/>
  <c r="P10" i="48"/>
  <c r="Q10" i="48"/>
  <c r="D16" i="48"/>
  <c r="E16" i="48"/>
  <c r="F16" i="48"/>
  <c r="G16" i="48"/>
  <c r="H16" i="48"/>
  <c r="I16" i="48"/>
  <c r="J16" i="48"/>
  <c r="K16" i="48"/>
  <c r="L16" i="48"/>
  <c r="M16" i="48"/>
  <c r="N16" i="48"/>
  <c r="O16" i="48"/>
  <c r="P16" i="48"/>
  <c r="Q16" i="48"/>
  <c r="F18" i="48"/>
  <c r="F20" i="48"/>
  <c r="D66" i="48"/>
  <c r="E66" i="48"/>
  <c r="F66" i="48"/>
  <c r="G66" i="48"/>
  <c r="H66" i="48"/>
  <c r="I66" i="48"/>
  <c r="J66" i="48"/>
  <c r="K66" i="48"/>
  <c r="L66" i="48"/>
  <c r="M66" i="48"/>
  <c r="N66" i="48"/>
  <c r="O66" i="48"/>
  <c r="P66" i="48"/>
  <c r="F69" i="48"/>
  <c r="G69" i="48"/>
  <c r="H69" i="48"/>
  <c r="I69" i="48"/>
  <c r="J69" i="48"/>
  <c r="K69" i="48"/>
  <c r="L69" i="48"/>
  <c r="M69" i="48"/>
  <c r="N69" i="48"/>
  <c r="O69" i="48"/>
  <c r="P69" i="48"/>
  <c r="F73" i="48"/>
  <c r="G73" i="48"/>
  <c r="H73" i="48"/>
  <c r="I73" i="48"/>
  <c r="J73" i="48"/>
  <c r="K73" i="48"/>
  <c r="L73" i="48"/>
  <c r="M73" i="48"/>
  <c r="N73" i="48"/>
  <c r="O73" i="48"/>
  <c r="P73" i="48"/>
  <c r="F75" i="48"/>
  <c r="F76" i="48"/>
  <c r="F77" i="48"/>
  <c r="D12" i="44"/>
  <c r="D13" i="44"/>
  <c r="E13" i="44"/>
  <c r="F13" i="44"/>
  <c r="G13" i="44"/>
  <c r="H13" i="44"/>
  <c r="I13" i="44"/>
  <c r="J13" i="44"/>
  <c r="K13" i="44"/>
  <c r="L13" i="44"/>
  <c r="M13" i="44"/>
  <c r="D16" i="44"/>
  <c r="E16" i="44"/>
  <c r="F16" i="44"/>
  <c r="G16" i="44"/>
  <c r="H16" i="44"/>
  <c r="I16" i="44"/>
  <c r="J16" i="44"/>
  <c r="K16" i="44"/>
  <c r="L16" i="44"/>
  <c r="M16" i="44"/>
  <c r="P18" i="44"/>
  <c r="D19" i="44"/>
  <c r="E19" i="44"/>
  <c r="F19" i="44"/>
  <c r="G19" i="44"/>
  <c r="H19" i="44"/>
  <c r="I19" i="44"/>
  <c r="J19" i="44"/>
  <c r="K19" i="44"/>
  <c r="L19" i="44"/>
  <c r="M19" i="44"/>
  <c r="P21" i="44"/>
  <c r="D22" i="44"/>
  <c r="E22" i="44"/>
  <c r="F22" i="44"/>
  <c r="G22" i="44"/>
  <c r="H22" i="44"/>
  <c r="I22" i="44"/>
  <c r="J22" i="44"/>
  <c r="K22" i="44"/>
  <c r="L22" i="44"/>
  <c r="M22" i="44"/>
  <c r="P23" i="44"/>
  <c r="E24" i="44"/>
  <c r="F24" i="44"/>
  <c r="G24" i="44"/>
  <c r="H24" i="44"/>
  <c r="I24" i="44"/>
  <c r="J24" i="44"/>
  <c r="K24" i="44"/>
  <c r="L24" i="44"/>
  <c r="M24" i="44"/>
  <c r="E27" i="44"/>
  <c r="G27" i="44"/>
  <c r="E30" i="44"/>
  <c r="G30" i="44"/>
  <c r="G33" i="44"/>
  <c r="G34" i="44"/>
  <c r="G36" i="44"/>
  <c r="H36" i="44"/>
  <c r="D4" i="49"/>
  <c r="E4" i="49"/>
  <c r="F4" i="49"/>
  <c r="G4" i="49"/>
  <c r="H4" i="49"/>
  <c r="I4" i="49"/>
  <c r="J4" i="49"/>
  <c r="K4" i="49"/>
  <c r="L4" i="49"/>
  <c r="M4" i="49"/>
  <c r="N4" i="49"/>
  <c r="O4" i="49"/>
  <c r="P4" i="49"/>
  <c r="D7" i="49"/>
  <c r="E7" i="49"/>
  <c r="F7" i="49"/>
  <c r="G7" i="49"/>
  <c r="H7" i="49"/>
  <c r="I7" i="49"/>
  <c r="J7" i="49"/>
  <c r="K7" i="49"/>
  <c r="L7" i="49"/>
  <c r="M7" i="49"/>
  <c r="N7" i="49"/>
  <c r="O7" i="49"/>
  <c r="P7" i="49"/>
  <c r="D9" i="49"/>
  <c r="E9" i="49"/>
  <c r="F9" i="49"/>
  <c r="G9" i="49"/>
  <c r="H9" i="49"/>
  <c r="I9" i="49"/>
  <c r="J9" i="49"/>
  <c r="K9" i="49"/>
  <c r="L9" i="49"/>
  <c r="M9" i="49"/>
  <c r="N9" i="49"/>
  <c r="O9" i="49"/>
  <c r="P9" i="49"/>
  <c r="D14" i="49"/>
  <c r="E14" i="49"/>
  <c r="F14" i="49"/>
  <c r="G14" i="49"/>
  <c r="H14" i="49"/>
  <c r="I14" i="49"/>
  <c r="J14" i="49"/>
  <c r="K14" i="49"/>
  <c r="L14" i="49"/>
  <c r="M14" i="49"/>
  <c r="N14" i="49"/>
  <c r="O14" i="49"/>
  <c r="P14" i="49"/>
  <c r="D24" i="49"/>
  <c r="E24" i="49"/>
  <c r="F24" i="49"/>
  <c r="G24" i="49"/>
  <c r="H24" i="49"/>
  <c r="I24" i="49"/>
  <c r="J24" i="49"/>
  <c r="K24" i="49"/>
  <c r="L24" i="49"/>
  <c r="M24" i="49"/>
  <c r="N24" i="49"/>
  <c r="O24" i="49"/>
  <c r="P24" i="49"/>
  <c r="P26" i="49"/>
  <c r="P29" i="49"/>
  <c r="D31" i="49"/>
  <c r="E31" i="49"/>
  <c r="F31" i="49"/>
  <c r="G31" i="49"/>
  <c r="H31" i="49"/>
  <c r="I31" i="49"/>
  <c r="J31" i="49"/>
  <c r="K31" i="49"/>
  <c r="L31" i="49"/>
  <c r="M31" i="49"/>
  <c r="N31" i="49"/>
  <c r="O31" i="49"/>
  <c r="P31" i="49"/>
  <c r="D33" i="49"/>
  <c r="D36" i="49"/>
  <c r="D38" i="49"/>
  <c r="D40" i="49"/>
  <c r="D42" i="49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D30" i="24"/>
  <c r="E30" i="24"/>
  <c r="F30" i="24"/>
  <c r="G30" i="24"/>
  <c r="H30" i="24"/>
  <c r="I30" i="24"/>
  <c r="J30" i="24"/>
  <c r="K30" i="24"/>
  <c r="L30" i="24"/>
  <c r="M30" i="24"/>
  <c r="N30" i="24"/>
  <c r="O30" i="24"/>
  <c r="P30" i="24"/>
  <c r="D34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D43" i="24"/>
  <c r="E43" i="24"/>
  <c r="G43" i="24"/>
  <c r="H43" i="24"/>
  <c r="I43" i="24"/>
  <c r="J43" i="24"/>
  <c r="K43" i="24"/>
  <c r="L43" i="24"/>
  <c r="M43" i="24"/>
  <c r="N43" i="24"/>
  <c r="O43" i="24"/>
  <c r="P43" i="24"/>
  <c r="D45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D47" i="24"/>
  <c r="E47" i="24"/>
  <c r="F47" i="24"/>
  <c r="G47" i="24"/>
  <c r="H47" i="24"/>
  <c r="I47" i="24"/>
  <c r="J47" i="24"/>
  <c r="K47" i="24"/>
  <c r="L47" i="24"/>
  <c r="M47" i="24"/>
  <c r="N47" i="24"/>
  <c r="O47" i="24"/>
  <c r="P47" i="24"/>
  <c r="D49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D60" i="24"/>
  <c r="E60" i="24"/>
  <c r="F60" i="24"/>
  <c r="G60" i="24"/>
  <c r="H60" i="24"/>
  <c r="I60" i="24"/>
  <c r="J60" i="24"/>
  <c r="K60" i="24"/>
  <c r="L60" i="24"/>
  <c r="M60" i="24"/>
  <c r="N60" i="24"/>
  <c r="O60" i="24"/>
  <c r="P60" i="24"/>
  <c r="D61" i="24"/>
  <c r="E61" i="24"/>
  <c r="F61" i="24"/>
  <c r="G61" i="24"/>
  <c r="H61" i="24"/>
  <c r="I61" i="24"/>
  <c r="J61" i="24"/>
  <c r="K61" i="24"/>
  <c r="L61" i="24"/>
  <c r="M61" i="24"/>
  <c r="N61" i="24"/>
  <c r="O61" i="24"/>
  <c r="P61" i="24"/>
  <c r="D62" i="24"/>
  <c r="E62" i="24"/>
  <c r="F62" i="24"/>
  <c r="G62" i="24"/>
  <c r="H62" i="24"/>
  <c r="I62" i="24"/>
  <c r="J62" i="24"/>
  <c r="K62" i="24"/>
  <c r="L62" i="24"/>
  <c r="M62" i="24"/>
  <c r="N62" i="24"/>
  <c r="O62" i="24"/>
  <c r="P62" i="24"/>
  <c r="D64" i="24"/>
  <c r="E64" i="24"/>
  <c r="F64" i="24"/>
  <c r="G64" i="24"/>
  <c r="H64" i="24"/>
  <c r="I64" i="24"/>
  <c r="J64" i="24"/>
  <c r="K64" i="24"/>
  <c r="L64" i="24"/>
  <c r="M64" i="24"/>
  <c r="N64" i="24"/>
  <c r="O64" i="24"/>
  <c r="P64" i="24"/>
  <c r="D65" i="24"/>
  <c r="E65" i="24"/>
  <c r="F65" i="24"/>
  <c r="G65" i="24"/>
  <c r="H65" i="24"/>
  <c r="I65" i="24"/>
  <c r="J65" i="24"/>
  <c r="K65" i="24"/>
  <c r="L65" i="24"/>
  <c r="M65" i="24"/>
  <c r="N65" i="24"/>
  <c r="O65" i="24"/>
  <c r="P65" i="24"/>
  <c r="D66" i="24"/>
  <c r="E66" i="24"/>
  <c r="F66" i="24"/>
  <c r="G66" i="24"/>
  <c r="H66" i="24"/>
  <c r="I66" i="24"/>
  <c r="J66" i="24"/>
  <c r="K66" i="24"/>
  <c r="L66" i="24"/>
  <c r="M66" i="24"/>
  <c r="N66" i="24"/>
  <c r="O66" i="24"/>
  <c r="P66" i="24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C10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B18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C29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B35" i="32"/>
  <c r="B44" i="32"/>
  <c r="C44" i="32"/>
  <c r="D44" i="32"/>
  <c r="E44" i="32"/>
  <c r="F44" i="32"/>
  <c r="G44" i="32"/>
  <c r="H44" i="32"/>
  <c r="I44" i="32"/>
  <c r="J44" i="32"/>
  <c r="K44" i="32"/>
  <c r="L44" i="32"/>
  <c r="M44" i="32"/>
  <c r="N44" i="32"/>
  <c r="O44" i="32"/>
  <c r="B46" i="32"/>
  <c r="C46" i="32"/>
  <c r="D46" i="32"/>
  <c r="E46" i="32"/>
  <c r="F46" i="32"/>
  <c r="G46" i="32"/>
  <c r="H46" i="32"/>
  <c r="I46" i="32"/>
  <c r="J46" i="32"/>
  <c r="K46" i="32"/>
  <c r="L46" i="32"/>
  <c r="M46" i="32"/>
  <c r="N46" i="32"/>
  <c r="O46" i="32"/>
  <c r="B48" i="32"/>
  <c r="C59" i="32"/>
  <c r="D59" i="32"/>
  <c r="E59" i="32"/>
  <c r="F59" i="32"/>
  <c r="G59" i="32"/>
  <c r="H59" i="32"/>
  <c r="I59" i="32"/>
  <c r="J59" i="32"/>
  <c r="K59" i="32"/>
  <c r="L59" i="32"/>
  <c r="M59" i="32"/>
  <c r="N59" i="32"/>
  <c r="O59" i="32"/>
  <c r="C61" i="32"/>
  <c r="D61" i="32"/>
  <c r="E61" i="32"/>
  <c r="F61" i="32"/>
  <c r="G61" i="32"/>
  <c r="H61" i="32"/>
  <c r="I61" i="32"/>
  <c r="J61" i="32"/>
  <c r="K61" i="32"/>
  <c r="L61" i="32"/>
  <c r="M61" i="32"/>
  <c r="N61" i="32"/>
  <c r="O61" i="32"/>
  <c r="B63" i="32"/>
  <c r="C98" i="32"/>
  <c r="D98" i="32"/>
  <c r="E98" i="32"/>
  <c r="F98" i="32"/>
  <c r="G98" i="32"/>
  <c r="H98" i="32"/>
  <c r="I98" i="32"/>
  <c r="J98" i="32"/>
  <c r="K98" i="32"/>
  <c r="L98" i="32"/>
  <c r="M98" i="32"/>
  <c r="N98" i="32"/>
  <c r="O98" i="32"/>
  <c r="C100" i="32"/>
  <c r="D100" i="32"/>
  <c r="E100" i="32"/>
  <c r="F100" i="32"/>
  <c r="G100" i="32"/>
  <c r="H100" i="32"/>
  <c r="I100" i="32"/>
  <c r="J100" i="32"/>
  <c r="K100" i="32"/>
  <c r="L100" i="32"/>
  <c r="M100" i="32"/>
  <c r="N100" i="32"/>
  <c r="O100" i="32"/>
  <c r="C102" i="32"/>
  <c r="D102" i="32"/>
  <c r="E102" i="32"/>
  <c r="F102" i="32"/>
  <c r="G102" i="32"/>
  <c r="H102" i="32"/>
  <c r="I102" i="32"/>
  <c r="J102" i="32"/>
  <c r="K102" i="32"/>
  <c r="L102" i="32"/>
  <c r="M102" i="32"/>
  <c r="N102" i="32"/>
  <c r="O102" i="32"/>
  <c r="B105" i="32"/>
</calcChain>
</file>

<file path=xl/sharedStrings.xml><?xml version="1.0" encoding="utf-8"?>
<sst xmlns="http://schemas.openxmlformats.org/spreadsheetml/2006/main" count="2659" uniqueCount="911">
  <si>
    <t>Depreciation</t>
  </si>
  <si>
    <t>Other Current Assets</t>
  </si>
  <si>
    <t>Sundry Debtors</t>
  </si>
  <si>
    <t>DEPRECIATION</t>
  </si>
  <si>
    <t>Year</t>
  </si>
  <si>
    <t>Total</t>
  </si>
  <si>
    <t>Other Mis. Income</t>
  </si>
  <si>
    <t>Total Receipts (A)</t>
  </si>
  <si>
    <t>Cost of Operation</t>
  </si>
  <si>
    <t>a.</t>
  </si>
  <si>
    <t>Salaries</t>
  </si>
  <si>
    <t>b.</t>
  </si>
  <si>
    <t>Electricity &amp; Generator</t>
  </si>
  <si>
    <t>c.</t>
  </si>
  <si>
    <t>d.</t>
  </si>
  <si>
    <t>Administrative Exp.</t>
  </si>
  <si>
    <t>Existing</t>
  </si>
  <si>
    <t>Proposed</t>
  </si>
  <si>
    <t>Profit before Interest &amp; Tax</t>
  </si>
  <si>
    <t>Total Interest Paid :</t>
  </si>
  <si>
    <t>Profit before Tax</t>
  </si>
  <si>
    <t>Taxation</t>
  </si>
  <si>
    <t>Profit after Tax</t>
  </si>
  <si>
    <t>Add: Depreciation</t>
  </si>
  <si>
    <t>Cash Accruals</t>
  </si>
  <si>
    <t>Total (A)</t>
  </si>
  <si>
    <t>Total (B)</t>
  </si>
  <si>
    <t>Opening Balance</t>
  </si>
  <si>
    <t>Closing Balance</t>
  </si>
  <si>
    <t>=</t>
  </si>
  <si>
    <t>+</t>
  </si>
  <si>
    <t>Plant &amp; Machinery</t>
  </si>
  <si>
    <t>Sales</t>
  </si>
  <si>
    <t>e.</t>
  </si>
  <si>
    <t>Purchases</t>
  </si>
  <si>
    <t>Other Direct Expenses</t>
  </si>
  <si>
    <t>Interest Others</t>
  </si>
  <si>
    <t>Interest Term Loan</t>
  </si>
  <si>
    <t>Interest C.C. Limit</t>
  </si>
  <si>
    <t>Land</t>
  </si>
  <si>
    <t>.</t>
  </si>
  <si>
    <t>Interest</t>
  </si>
  <si>
    <t>Repayment</t>
  </si>
  <si>
    <t>Principal</t>
  </si>
  <si>
    <t xml:space="preserve"> </t>
  </si>
  <si>
    <t>COST OF PROJECT</t>
  </si>
  <si>
    <t>Plant and Machinery</t>
  </si>
  <si>
    <t>Month</t>
  </si>
  <si>
    <t>Disbursement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</si>
  <si>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</si>
  <si>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</si>
  <si>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</si>
  <si>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</si>
  <si>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</si>
  <si>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</si>
  <si>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</si>
  <si>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</si>
  <si>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</si>
  <si>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MANCARE LABORATORIES PVT. LTD.</t>
  </si>
  <si>
    <t>REPAYMENT SCHEDULE- Building &amp; Fixtures</t>
  </si>
  <si>
    <t>Rate of Interest: 9.60% Per Annum</t>
  </si>
  <si>
    <t>Door to Door Priod: 147 Month</t>
  </si>
  <si>
    <t>2032-33</t>
  </si>
  <si>
    <t>2033-34</t>
  </si>
  <si>
    <t>2034-35</t>
  </si>
  <si>
    <t>2035-36</t>
  </si>
  <si>
    <t>REPAYMENT SCHEDULE- Plant &amp; Machinery</t>
  </si>
  <si>
    <t>Repayment Period: 120 Months (September 2026 to August 2036)</t>
  </si>
  <si>
    <t>Months</t>
  </si>
  <si>
    <t>2036-37</t>
  </si>
  <si>
    <t>Grand Total</t>
  </si>
  <si>
    <t>Interest during Construction/Implementation Period</t>
  </si>
  <si>
    <t>Promotor's Contribution</t>
  </si>
  <si>
    <t>WDV OF FIXED ASSETS</t>
  </si>
  <si>
    <t>PARTICULARS</t>
  </si>
  <si>
    <t>YEAR WISE WDV</t>
  </si>
  <si>
    <t>LAND</t>
  </si>
  <si>
    <t>BUILDING</t>
  </si>
  <si>
    <t>PLANT &amp; MACHINERY</t>
  </si>
  <si>
    <t>SOLAR PLANT</t>
  </si>
  <si>
    <t>TOTAL</t>
  </si>
  <si>
    <t>Year  Wise Cost  Incurred In The Fixed Assets</t>
  </si>
  <si>
    <t>Rs.in lakhs</t>
  </si>
  <si>
    <t>YEAR WISE COST</t>
  </si>
  <si>
    <t xml:space="preserve">RATE OF </t>
  </si>
  <si>
    <t>YEAR WISE DEPRECIATION</t>
  </si>
  <si>
    <t>DEP.</t>
  </si>
  <si>
    <t>Plot  No. -11, Pharma City, Selaqui Industrial Area, Dehradun, Uttarakhand- 248011</t>
  </si>
  <si>
    <t>Term Loan (Building)</t>
  </si>
  <si>
    <t>Term Loan (P&amp;M)</t>
  </si>
  <si>
    <t>Cash Credit Limit</t>
  </si>
  <si>
    <t xml:space="preserve">Add : Opening Stock of F.G </t>
  </si>
  <si>
    <t>Add : Opening Stock of WIP</t>
  </si>
  <si>
    <t>Less : Closing Stock of WIP</t>
  </si>
  <si>
    <t xml:space="preserve">Less : Closing Stock of F.G </t>
  </si>
  <si>
    <t xml:space="preserve">Gross Profit </t>
  </si>
  <si>
    <t>Fixed Assets</t>
  </si>
  <si>
    <t>Promotors Contribution</t>
  </si>
  <si>
    <t>Loans &amp; Liability</t>
  </si>
  <si>
    <t>Current Liability</t>
  </si>
  <si>
    <t>Sundry Creditors</t>
  </si>
  <si>
    <t>Other Liability</t>
  </si>
  <si>
    <t>Current Assets</t>
  </si>
  <si>
    <t>Stock in Hand</t>
  </si>
  <si>
    <t>Cash and Bank Balace</t>
  </si>
  <si>
    <t>Investment</t>
  </si>
  <si>
    <t>Security Deposit</t>
  </si>
  <si>
    <t>Fixed Deposit</t>
  </si>
  <si>
    <t>Advance to Supplier</t>
  </si>
  <si>
    <t>PROFIT &amp; LOSS ACCOUNT (EXISTING UNIT)</t>
  </si>
  <si>
    <t>2022-23</t>
  </si>
  <si>
    <t>REPAYMENT SCHEDULE- (EXISTING-1)</t>
  </si>
  <si>
    <t>Term Loan: 335 Lakh</t>
  </si>
  <si>
    <t>Implementation Period: n.a.</t>
  </si>
  <si>
    <t>Moratorium Period: n.a.</t>
  </si>
  <si>
    <t>Term Loan: 270 Lakh</t>
  </si>
  <si>
    <t>Term Loan: 120 Lakh</t>
  </si>
  <si>
    <t>PROFIT &amp; LOSS ACCOUNT (PROPOSED UNIT)</t>
  </si>
  <si>
    <t>BALANCE SHEET (PROPOSED UNIT)</t>
  </si>
  <si>
    <t>BALANCE SHEET (EXISTING  UNIT)</t>
  </si>
  <si>
    <t>GECL</t>
  </si>
  <si>
    <t>Loan From Directors</t>
  </si>
  <si>
    <t>Share Premium</t>
  </si>
  <si>
    <t>Authorized Capital</t>
  </si>
  <si>
    <t>Reserve &amp; Surplus</t>
  </si>
  <si>
    <t>Add : Capital Introduced</t>
  </si>
  <si>
    <t>2021-22</t>
  </si>
  <si>
    <t>INTANGIBLE ASSETS</t>
  </si>
  <si>
    <t>Loans &amp; Liability (Existing)</t>
  </si>
  <si>
    <t>Loans &amp; Liability (Proposed)</t>
  </si>
  <si>
    <t>DEBT SERVICE COVERAGE RATIO (DSCR)</t>
  </si>
  <si>
    <t>Average DSCR</t>
  </si>
  <si>
    <t xml:space="preserve">Cash accural </t>
  </si>
  <si>
    <t xml:space="preserve">               Term Loan Instalment + Interest on Term Loan</t>
  </si>
  <si>
    <r>
      <t xml:space="preserve">=    </t>
    </r>
    <r>
      <rPr>
        <b/>
        <u/>
        <sz val="12"/>
        <rFont val="Times New Roman"/>
        <family val="1"/>
      </rPr>
      <t xml:space="preserve"> Profit after Tax + Depreciation  + Interest on Term Loan</t>
    </r>
  </si>
  <si>
    <t>Interest on Term Loan</t>
  </si>
  <si>
    <t>Term Loan Instalment</t>
  </si>
  <si>
    <t>INTEREST COVERAGE RATIO</t>
  </si>
  <si>
    <t xml:space="preserve">     Interest</t>
  </si>
  <si>
    <t>AVERAGE INTEREST COVERAGE RATIO</t>
  </si>
  <si>
    <t>FIXED ASSETS COVERAGE RATION</t>
  </si>
  <si>
    <t xml:space="preserve">Total Term Liability </t>
  </si>
  <si>
    <t xml:space="preserve">  Total Fixed Assets</t>
  </si>
  <si>
    <t>Total Term Liability (A)</t>
  </si>
  <si>
    <t>Total Fixed Assets (B)</t>
  </si>
  <si>
    <t>INTEREST COVERAGE RATIO: (A)\(B)</t>
  </si>
  <si>
    <t>FIXED ASSETS COVERAGE RATIO: (A)\(B)</t>
  </si>
  <si>
    <t>DSCR= (A)\(B)</t>
  </si>
  <si>
    <t>AVERAGE FIXED ASSETS COVERAGE RATIO</t>
  </si>
  <si>
    <t>DEBT EQUITY RATIO</t>
  </si>
  <si>
    <t xml:space="preserve">Total long Term Debt </t>
  </si>
  <si>
    <t xml:space="preserve">    Total Net Worth</t>
  </si>
  <si>
    <t>Total Net Worth (B)</t>
  </si>
  <si>
    <t>Total Long Term Debt (A)</t>
  </si>
  <si>
    <t>DEBT EQUITY RATIO: (A)\(B)</t>
  </si>
  <si>
    <t>AVERAGE DEBT EQUITY RATION</t>
  </si>
  <si>
    <t xml:space="preserve">Total Current Assets </t>
  </si>
  <si>
    <t>Total Current Liability</t>
  </si>
  <si>
    <t>Total Current Assets (A)</t>
  </si>
  <si>
    <t>Total Current Liability (B)</t>
  </si>
  <si>
    <t>CURRENT RATIO : (A)/(B)</t>
  </si>
  <si>
    <t>AVERAGE CURRENT RATIO</t>
  </si>
  <si>
    <t>QUICK RAIO</t>
  </si>
  <si>
    <t xml:space="preserve">Total Current Assets - Inventory </t>
  </si>
  <si>
    <t xml:space="preserve">        Total Current Liability</t>
  </si>
  <si>
    <t>Inventory (B)</t>
  </si>
  <si>
    <t>Total Current Liability (C)</t>
  </si>
  <si>
    <t>QUICK RATIO</t>
  </si>
  <si>
    <t>AVERAGE QUICK RATIO</t>
  </si>
  <si>
    <t>TOTAL OUTSIDE LIABILITY TO TANGIBLE NET WORTH</t>
  </si>
  <si>
    <t>Total Outside Liability</t>
  </si>
  <si>
    <t xml:space="preserve"> Tangible Net Worth</t>
  </si>
  <si>
    <t>Total Outside Liability (A)</t>
  </si>
  <si>
    <t>Total Tangible Net Worth (B)</t>
  </si>
  <si>
    <t>AVERAGE TOL TO TNW</t>
  </si>
  <si>
    <t>COST ESTIMATES SHEET :       MANCARE LABORATORIES PVT. LTD. DEHRADUN - 248 011, UTTARAKHAND</t>
  </si>
  <si>
    <t xml:space="preserve">Sr. </t>
  </si>
  <si>
    <t>No.</t>
  </si>
  <si>
    <t>Description</t>
  </si>
  <si>
    <t>Photo Gallery</t>
  </si>
  <si>
    <t>Capacity</t>
  </si>
  <si>
    <t>/Size</t>
  </si>
  <si>
    <t xml:space="preserve">Qty </t>
  </si>
  <si>
    <t>Unit</t>
  </si>
  <si>
    <t>Unit Price</t>
  </si>
  <si>
    <t>(INR)</t>
  </si>
  <si>
    <t>Total Price</t>
  </si>
  <si>
    <t>Process Equipments for Dry Powder Injection Powder Formulation</t>
  </si>
  <si>
    <t>Sampling &amp; Dispensing Activity</t>
  </si>
  <si>
    <t>1.1.1</t>
  </si>
  <si>
    <t>Walk-in Bio Safety Cabnit</t>
  </si>
  <si>
    <t>2.1x1.8 Mtr</t>
  </si>
  <si>
    <t>No</t>
  </si>
  <si>
    <t>1.1.2</t>
  </si>
  <si>
    <t>PPM Dispensing Booth</t>
  </si>
  <si>
    <t>1.1.3</t>
  </si>
  <si>
    <t xml:space="preserve">Weighing Balance </t>
  </si>
  <si>
    <t xml:space="preserve">300 Kg </t>
  </si>
  <si>
    <t>1.1.4</t>
  </si>
  <si>
    <t xml:space="preserve">100 Kg </t>
  </si>
  <si>
    <t>1.1.5</t>
  </si>
  <si>
    <t>6 kg</t>
  </si>
  <si>
    <t>Process Equipments for Dry Power Injection</t>
  </si>
  <si>
    <t>1.2.1</t>
  </si>
  <si>
    <t>Autoclave Cum Bung Procesor</t>
  </si>
  <si>
    <t xml:space="preserve">30000- 40000 </t>
  </si>
  <si>
    <t xml:space="preserve">Rubber </t>
  </si>
  <si>
    <t>Stoppers/Cycle</t>
  </si>
  <si>
    <t>1.2.2</t>
  </si>
  <si>
    <t>Laminor Air Flow Unit</t>
  </si>
  <si>
    <t>2100 x 2400mm</t>
  </si>
  <si>
    <t>1.2.3</t>
  </si>
  <si>
    <t>1.2.4</t>
  </si>
  <si>
    <t>Bin Blender</t>
  </si>
  <si>
    <t>30 Kg</t>
  </si>
  <si>
    <t>1.2.5</t>
  </si>
  <si>
    <t xml:space="preserve">Mobile LAF Trolley </t>
  </si>
  <si>
    <t>1.5 x1.2 Mtr</t>
  </si>
  <si>
    <t>1.2.6</t>
  </si>
  <si>
    <t>Vial Pneumatic Loading Conveyor &amp; Linear Washing Machine</t>
  </si>
  <si>
    <t>250 Vial / Min</t>
  </si>
  <si>
    <t>1.2.7</t>
  </si>
  <si>
    <t>Vial Sterilizing &amp; Depyrogenating Tunnel</t>
  </si>
  <si>
    <t>1.2.8</t>
  </si>
  <si>
    <t>Powder Filling Line Rubber Stoppering Machine with Laminor Air Flow Unit</t>
  </si>
  <si>
    <t>1.2.9</t>
  </si>
  <si>
    <t>Eight Head Vial Sealing Machine with Sing Conveyor</t>
  </si>
  <si>
    <t>350 Vial / Min</t>
  </si>
  <si>
    <t>1.2.10</t>
  </si>
  <si>
    <t>External Vial Washing &amp; Drying Machine</t>
  </si>
  <si>
    <t>1.2.11</t>
  </si>
  <si>
    <t>Vial Inspection Machine</t>
  </si>
  <si>
    <t>1.2.12</t>
  </si>
  <si>
    <t>Vertivcal Sticker Labelling Machine</t>
  </si>
  <si>
    <t>1.2.13</t>
  </si>
  <si>
    <t>Weighting Scale</t>
  </si>
  <si>
    <t>0-300 Kg</t>
  </si>
  <si>
    <t>1.2.14</t>
  </si>
  <si>
    <t>Shrink Wrapping machine</t>
  </si>
  <si>
    <t>Std.</t>
  </si>
  <si>
    <t>1.2.15</t>
  </si>
  <si>
    <t>BOPP Tapping machine</t>
  </si>
  <si>
    <t>Process Equipments for Liquid Injection Vial &amp; Ampoule Formulation</t>
  </si>
  <si>
    <t>2.1.1</t>
  </si>
  <si>
    <t>2.1.2</t>
  </si>
  <si>
    <t>2.1.3</t>
  </si>
  <si>
    <t>2.1.4</t>
  </si>
  <si>
    <t>2.1.5</t>
  </si>
  <si>
    <t>Washing &amp; Drying Area Equipments</t>
  </si>
  <si>
    <t>2.2.1</t>
  </si>
  <si>
    <t>Autoclave</t>
  </si>
  <si>
    <t>500 Ltr.</t>
  </si>
  <si>
    <t>2.2.2</t>
  </si>
  <si>
    <t>Bung Processor</t>
  </si>
  <si>
    <t>2.2.3</t>
  </si>
  <si>
    <t>2100 x 2300mm</t>
  </si>
  <si>
    <t>Liquid Injection Ampoule Equipments</t>
  </si>
  <si>
    <t>2.3.1</t>
  </si>
  <si>
    <t>Automatic Rotary Ampoule Washing Machine</t>
  </si>
  <si>
    <t>250 Ampoule / Min</t>
  </si>
  <si>
    <t>2.3.2</t>
  </si>
  <si>
    <t>450 Ampoule / Min</t>
  </si>
  <si>
    <t>2.3.3</t>
  </si>
  <si>
    <t>Automatic 8 Head Ampoule Fiiling &amp; Sealing Machine With Laminor Air Flow Unit</t>
  </si>
  <si>
    <t>300 Ampoule / Min</t>
  </si>
  <si>
    <t>2.3.4</t>
  </si>
  <si>
    <t>Medicine Manufacturing Tanks with CIP &amp; SIP Skind</t>
  </si>
  <si>
    <t>300 Ltr.</t>
  </si>
  <si>
    <t>Set</t>
  </si>
  <si>
    <t>2.3.5</t>
  </si>
  <si>
    <t>Medicine Filtratation &amp; Storage Unit with LAF Unit &amp; Transfer Pump</t>
  </si>
  <si>
    <t>Liquid Injection Vial Equipments</t>
  </si>
  <si>
    <t>2.4.1</t>
  </si>
  <si>
    <t>2.4.2</t>
  </si>
  <si>
    <t>450 Vial / Min</t>
  </si>
  <si>
    <t>2.4.3</t>
  </si>
  <si>
    <t>8 Head Liquid Filling &amp; Rubber Stoppering Machine with Laminor Air Flow Unit</t>
  </si>
  <si>
    <t>2.4.4</t>
  </si>
  <si>
    <t>8 Head Vial Sealing machine</t>
  </si>
  <si>
    <t>2.4.5</t>
  </si>
  <si>
    <t>8 Operator Manual Black &amp; White Inspection Machine</t>
  </si>
  <si>
    <t>Std</t>
  </si>
  <si>
    <t>2.4.6</t>
  </si>
  <si>
    <t>2.4.7</t>
  </si>
  <si>
    <t>1000 Ltr.</t>
  </si>
  <si>
    <t>2.4.8</t>
  </si>
  <si>
    <t>Secondary Packing Hall Liquid Injection Vial &amp; Ampoule</t>
  </si>
  <si>
    <t>2.5.1</t>
  </si>
  <si>
    <t>2.5.2</t>
  </si>
  <si>
    <t>2.5.3</t>
  </si>
  <si>
    <t>2.5.4</t>
  </si>
  <si>
    <t>(Ampoule) Blister Packing machine</t>
  </si>
  <si>
    <t xml:space="preserve">300 to 400 pack per </t>
  </si>
  <si>
    <t>minutes</t>
  </si>
  <si>
    <t>2.5.5</t>
  </si>
  <si>
    <t>Packing Conveyor Belt</t>
  </si>
  <si>
    <t>10 feet</t>
  </si>
  <si>
    <t>Process Equipments for External Formulation (Ointment, Aerosol &amp; Jelly )</t>
  </si>
  <si>
    <t>3.1.1</t>
  </si>
  <si>
    <t>Sampling &amp; Dispensing Booth</t>
  </si>
  <si>
    <t>3.1.2</t>
  </si>
  <si>
    <t>3.1.3</t>
  </si>
  <si>
    <t>3.1.4</t>
  </si>
  <si>
    <t>3.1.5</t>
  </si>
  <si>
    <t>Ointment Process Equipments</t>
  </si>
  <si>
    <t>3.2.1</t>
  </si>
  <si>
    <t xml:space="preserve">Ointment Mfg. Plant: Water Phase, Wax Phase &amp; Ointment Mfg. Vessel, Lobe Tranfser Pump, Interconnecting Process piping, Control Panel &amp; Working </t>
  </si>
  <si>
    <t>platform with ladder</t>
  </si>
  <si>
    <t>1000 Kg</t>
  </si>
  <si>
    <t>3.2.2</t>
  </si>
  <si>
    <t>500 Kg</t>
  </si>
  <si>
    <t>3.2.3</t>
  </si>
  <si>
    <t>Ointment Tube Filling Sealing Machine</t>
  </si>
  <si>
    <t>100-120 tube/min</t>
  </si>
  <si>
    <t>NO.</t>
  </si>
  <si>
    <t>3.2.4</t>
  </si>
  <si>
    <t>Ointment Tube Automatic Cartoning Machine</t>
  </si>
  <si>
    <t>3.2.5</t>
  </si>
  <si>
    <t>3.2.6</t>
  </si>
  <si>
    <t>3.2.7</t>
  </si>
  <si>
    <t>Aerosol Process Equipments</t>
  </si>
  <si>
    <t>3.3.1</t>
  </si>
  <si>
    <t>Aerosol Medecine Manufacturing Tank along with CIP skid</t>
  </si>
  <si>
    <t>3.3.2</t>
  </si>
  <si>
    <t>Aerosol Filling Sealing machine</t>
  </si>
  <si>
    <t>4000 - 8000 Can / Day</t>
  </si>
  <si>
    <t>3.3.3</t>
  </si>
  <si>
    <t>Aerosol Leackage Testing Machine</t>
  </si>
  <si>
    <t>3.3.4</t>
  </si>
  <si>
    <t>3.3.5</t>
  </si>
  <si>
    <t>3.3.6</t>
  </si>
  <si>
    <t>3.3.7</t>
  </si>
  <si>
    <t>Jelly Process Equipments</t>
  </si>
  <si>
    <t>3.4.1.</t>
  </si>
  <si>
    <t>Jelly Manufacturing Tank along with CIP skid</t>
  </si>
  <si>
    <t>Jelly / Liquid Sachet Filling Machine along with Transfer Pump</t>
  </si>
  <si>
    <t>100 to 300 Kg / Hr</t>
  </si>
  <si>
    <t>Civil Works</t>
  </si>
  <si>
    <t>Producition Along Utility Building (G+3) Level ETP &amp; STP Civil Work</t>
  </si>
  <si>
    <t>Raw Water Under Ground Tank &amp; Pump House Site Development work</t>
  </si>
  <si>
    <t>Utility Shade 400 Sq. Mtr.</t>
  </si>
  <si>
    <t>Lot</t>
  </si>
  <si>
    <t>3 mm Thick Epoxy Flooring &amp; Wall to Floor Coving work. Approx Area 7500 Sq. Mtr.</t>
  </si>
  <si>
    <t>Industrial Drain GMP Construction drain Traps, Internal &amp; External Drain Piping work</t>
  </si>
  <si>
    <t>Clean Room work as follows: Approx Area 1200 Sq Met</t>
  </si>
  <si>
    <t>PPGI Clean Room Wall Panels with factory made cut-out for Electrical power sockets including all accessories.</t>
  </si>
  <si>
    <t xml:space="preserve">PPGI Clean Room Wall Panels with factory fabricated Return Air Riser includes </t>
  </si>
  <si>
    <t>all accessories</t>
  </si>
  <si>
    <t>PCGI Clean Room Non-Walk able ceiling panels with factory made cut-outs for Light fixtures &amp; HEPA boxes includes all accessories</t>
  </si>
  <si>
    <t>Clean Room Doors (Single Leaf &amp; Double Leaf types)</t>
  </si>
  <si>
    <t xml:space="preserve"> Lot </t>
  </si>
  <si>
    <t>Clean Room Windows, View Panels etc. as required Wash area with inside SS304 matt Finish sheet</t>
  </si>
  <si>
    <t>Wall to Wall &amp; Wall to Ceiling Coving work with all accessories</t>
  </si>
  <si>
    <t>Fire Extinguisher Flush Cabinets with SS 304 door, Wall Guard Railing.</t>
  </si>
  <si>
    <t>HVAC Work as follows:</t>
  </si>
  <si>
    <t>Double Skin Air Handling units &amp; Elect. Heater 34 Nos.(Classified)</t>
  </si>
  <si>
    <t>Double Skin Air Handling units &amp; Elect. Heater 8 Nos. (Comfort Not Classified) Double Skin Forced Draft Ventilation supply &amp; Exhaust Air Units 5 Nos.</t>
  </si>
  <si>
    <t>Ducted AC Units = 5 Nos. Split AC Units = 12 Nos.</t>
  </si>
  <si>
    <t>Supply &amp; Return Air Ducting in 24,22 &amp; 20 Swg. =60000 Sq. Feet Supply &amp; Return Air Duct insulation 19 mm &amp; 13 mm = 55000 Sq. Feet</t>
  </si>
  <si>
    <t>HEPA Filter Boxes, Supply &amp; Return Air Grills, Volume Control Dampers, Fire Dampers</t>
  </si>
  <si>
    <t>Fresh Air Filter, Pre-Filter, Fine Filters, HEPA Filters</t>
  </si>
  <si>
    <t xml:space="preserve">AHU Drain Piping, </t>
  </si>
  <si>
    <t>Field Instruments-Thermostat, Humidistat, Pressure Gauges, Temperature Gauges, Differential Pressure gauges</t>
  </si>
  <si>
    <t>Electrical Panel, Control &amp; Power Cables, Earting &amp; Cable Trays</t>
  </si>
  <si>
    <t xml:space="preserve">Validation and Qualification </t>
  </si>
  <si>
    <t>Plant Utility Piping includes following work:</t>
  </si>
  <si>
    <t>Day Soft Water Tank, Day Fuel Tank.</t>
  </si>
  <si>
    <t>Raw Water &amp; Soft Water Piping work Excluding Pumps &amp; HDPE Overhead water Storage Tanks</t>
  </si>
  <si>
    <t>Compressed Air Piping</t>
  </si>
  <si>
    <t>Chilled &amp; Cooling Water Piping work Excluding Pumps &amp; Water Chiller Boiler Stack, Day Fuel, Day Water &amp; Steam Piping with Accessories Dust Extraction Piping</t>
  </si>
  <si>
    <t xml:space="preserve">Steel Structure fabrication for pipe rack, platforms and other misc. work </t>
  </si>
  <si>
    <t>Process &amp; Utility Machines unloading - Installation work</t>
  </si>
  <si>
    <t>Electrical Work includes Following:</t>
  </si>
  <si>
    <t>LED Light Fixtures, Light Switch boards, Light Wiring, Light Distribution Boards with Incomer ELCB &amp; Outgoing MCBs</t>
  </si>
  <si>
    <t xml:space="preserve">Raw &amp; UPS Electrical Modular &amp; Industrial Power Sockets, Industrial 3 Phase </t>
  </si>
  <si>
    <t>power Sockets, Power Points wiring work, Power Distribution Boards with Incomer MCCB &amp; Outgoing MCBs</t>
  </si>
  <si>
    <t>LT Electrical Panels (PCC, APFCR, Process + Utility Panel)</t>
  </si>
  <si>
    <t>LT Power Cables Alu. &amp; Copper, Flexible Power Cables, Control Cables for Field Instruments, FAS System Cable, CCTV, LAN &amp; Telephone Cables, Door Interlocking Cables</t>
  </si>
  <si>
    <t>Earth Pits, Earting Conductors &amp; Ligtning protection work</t>
  </si>
  <si>
    <t>Electrical Misc. work</t>
  </si>
  <si>
    <t>Miscellaneous &amp; Change Room Equipments</t>
  </si>
  <si>
    <t>Pass Boxes (Dynamic)</t>
  </si>
  <si>
    <t>1x1x1Mtr</t>
  </si>
  <si>
    <t>Pass Boxes (Static)</t>
  </si>
  <si>
    <t>300x 300x 300</t>
  </si>
  <si>
    <t>Air curtains</t>
  </si>
  <si>
    <t>1.5 Mtr Long</t>
  </si>
  <si>
    <t>1.0 Mtr Long</t>
  </si>
  <si>
    <t>Hand Dryers</t>
  </si>
  <si>
    <t>To Suit</t>
  </si>
  <si>
    <t>Pesto Flash Fitting</t>
  </si>
  <si>
    <t>1 Mtr long</t>
  </si>
  <si>
    <t>First aid Kit</t>
  </si>
  <si>
    <t>Cross over bench</t>
  </si>
  <si>
    <t>Garment Storage Cabinet</t>
  </si>
  <si>
    <t>Garment Lockers</t>
  </si>
  <si>
    <t>Sterile Garment Cabnits</t>
  </si>
  <si>
    <t>Used Garment Bins</t>
  </si>
  <si>
    <t>SS Scoop, Liquid samplers, Powder samplers, Spoon, Spatula &amp; Mug</t>
  </si>
  <si>
    <t>SS pallets</t>
  </si>
  <si>
    <t>Ware House Sintex type pallets</t>
  </si>
  <si>
    <t>1000x1000mm</t>
  </si>
  <si>
    <t>Ware House Racking system for Pallets</t>
  </si>
  <si>
    <t xml:space="preserve">Material Handing Pallet trucks-Manual </t>
  </si>
  <si>
    <t>Door Interlocking Systems</t>
  </si>
  <si>
    <t>Fire Alarm System</t>
  </si>
  <si>
    <t>Purified Water Generation of 5000 Ltr Per hour, PW Distribution System with 6000 Ltr Storage tank &amp; 40mm OD SS316L Distrubution pipes &amp; Validation and Qualification.</t>
  </si>
  <si>
    <t>Water For Injection Generation of 3000 Ltr Per hour, PW Distribution System with 5000 Ltr Storage tank &amp; 40mm OD SS316L Distrubution pipes &amp; Validation and Qualification.</t>
  </si>
  <si>
    <t>Pure Generation of 500 Kg Per hour &amp; Distribution System with 32mm OD SS316L Distrubution pipes &amp; Validation and Qualification.</t>
  </si>
  <si>
    <t>Steam Boiler 1000Kg/Hr, Day Fuel Tank, Day Water tank &amp; Stack for hot exhaust gas.</t>
  </si>
  <si>
    <t>Air Cooled Screw Chiller -150TR (Twin Compressor type)</t>
  </si>
  <si>
    <t xml:space="preserve"> Set </t>
  </si>
  <si>
    <t>Cooling Tower -50TR</t>
  </si>
  <si>
    <t>Page 8 of 11</t>
  </si>
  <si>
    <t>Chiller, Cooling Water &amp; Raw Water Pumps</t>
  </si>
  <si>
    <t>Chilled Water Pump</t>
  </si>
  <si>
    <t>(1 W + 1 S)</t>
  </si>
  <si>
    <t>Cooling Water Pump</t>
  </si>
  <si>
    <t>Raw Water Pump</t>
  </si>
  <si>
    <t>Screw Air Compressor with Inbuilt Dryer (Air cooled), &amp; Air Receiver (with Pre &amp; Post Filter) 100 CFM at 8 Kg/cm2</t>
  </si>
  <si>
    <t>Quality Control Laboratory Instruments</t>
  </si>
  <si>
    <t>Quality Control Laboratory Furnitures</t>
  </si>
  <si>
    <t>Page 9 of 11</t>
  </si>
  <si>
    <t>Effluent treatment plant -15 KLD</t>
  </si>
  <si>
    <t xml:space="preserve">Yard Fire Hydrand System with 1 no . Fire Main Fire Pump (With Electric motor) + 1 No Jockey Pump (With Electric motor) + 1 No Diesel Pump with </t>
  </si>
  <si>
    <t>10 No. Fire Hydrant Post</t>
  </si>
  <si>
    <t>Transformer (On load Tap Changer type)</t>
  </si>
  <si>
    <t>1500 KVA</t>
  </si>
  <si>
    <t>DG Set along with Diesel Tank &amp; Exhaust Stack</t>
  </si>
  <si>
    <t>1000 KVA</t>
  </si>
  <si>
    <t>Goods Lifts</t>
  </si>
  <si>
    <t>Good Lifts</t>
  </si>
  <si>
    <t>Scissor Lift</t>
  </si>
  <si>
    <t>Design &amp; Engineering Fees</t>
  </si>
  <si>
    <t>GRAND TOTAL (INR)</t>
  </si>
  <si>
    <r>
      <t>Exclusion</t>
    </r>
    <r>
      <rPr>
        <b/>
        <sz val="7.5"/>
        <rFont val="Yu Gothic"/>
        <family val="2"/>
      </rPr>
      <t>:</t>
    </r>
  </si>
  <si>
    <r>
      <t>1.</t>
    </r>
    <r>
      <rPr>
        <b/>
        <sz val="7"/>
        <rFont val="Times New Roman"/>
        <family val="1"/>
      </rPr>
      <t xml:space="preserve"> </t>
    </r>
    <r>
      <rPr>
        <b/>
        <sz val="7.5"/>
        <rFont val="Yu Gothic"/>
        <family val="2"/>
      </rPr>
      <t>Electrical HT Connection Works at Actual.</t>
    </r>
  </si>
  <si>
    <r>
      <t>2.</t>
    </r>
    <r>
      <rPr>
        <b/>
        <sz val="7"/>
        <rFont val="Times New Roman"/>
        <family val="1"/>
      </rPr>
      <t xml:space="preserve"> </t>
    </r>
    <r>
      <rPr>
        <b/>
        <sz val="7.5"/>
        <rFont val="Yu Gothic"/>
        <family val="2"/>
      </rPr>
      <t>Office Furnitures &amp; Fixtures, Computers &amp; Softwares 3. Scada based Building Management System.</t>
    </r>
  </si>
  <si>
    <t>4. Pre-Operative Expenses &amp; Working Capital Viz, Raw Material, Workers. 5. Cost of statutory approvals.</t>
  </si>
  <si>
    <t>6. Transporation, Insurance &amp; GST.</t>
  </si>
  <si>
    <t>Page 10 of 11</t>
  </si>
  <si>
    <r>
      <rPr>
        <b/>
        <sz val="11"/>
        <rFont val="Calibri"/>
        <family val="1"/>
      </rPr>
      <t>5% Price Variation</t>
    </r>
  </si>
  <si>
    <r>
      <rPr>
        <b/>
        <sz val="11"/>
        <rFont val="Calibri"/>
        <family val="1"/>
      </rPr>
      <t>GST 18% Extra</t>
    </r>
  </si>
  <si>
    <r>
      <rPr>
        <b/>
        <sz val="11"/>
        <rFont val="Calibri"/>
        <family val="1"/>
      </rPr>
      <t>Transport &amp; Packing Charge 3%</t>
    </r>
  </si>
  <si>
    <t>Transport &amp; Packing Charge 1%</t>
  </si>
  <si>
    <t>Term Loan- Building, Equipment &amp; Fixture</t>
  </si>
  <si>
    <t>Sr. No.</t>
  </si>
  <si>
    <t>Formulation Facility</t>
  </si>
  <si>
    <t>Unit Capacity / annum</t>
  </si>
  <si>
    <t>Dry Powder Injection</t>
  </si>
  <si>
    <t>Ampoule Liquid Injection</t>
  </si>
  <si>
    <t>Vial Liquid Injection</t>
  </si>
  <si>
    <t>Ointment / Cream</t>
  </si>
  <si>
    <t>Area</t>
  </si>
  <si>
    <t>Man Power</t>
  </si>
  <si>
    <t>Production Block (First Floor) Dry Powder Injection</t>
  </si>
  <si>
    <t>Raw Material Store</t>
  </si>
  <si>
    <t>Formulation Area</t>
  </si>
  <si>
    <t>Secondary Packing Hall</t>
  </si>
  <si>
    <t>Secondary packing Material Store</t>
  </si>
  <si>
    <t>Finished Goods Store</t>
  </si>
  <si>
    <t>QC, QA &amp; Micro Laboratory Area (First Floor)</t>
  </si>
  <si>
    <t>QA Office</t>
  </si>
  <si>
    <t>Instrument Rooms</t>
  </si>
  <si>
    <t>Wet Chemistry Laboratory</t>
  </si>
  <si>
    <t>Micro testing Laboratory</t>
  </si>
  <si>
    <t>Production Block (Second Floor) Liquid Injection Vial &amp; Ampoule</t>
  </si>
  <si>
    <t>Production Block (Third Floor) Ointment / Cream &amp; Aerosol</t>
  </si>
  <si>
    <t>Other Area</t>
  </si>
  <si>
    <t>Engineering Dept.</t>
  </si>
  <si>
    <t>Security</t>
  </si>
  <si>
    <t>Total Manpower</t>
  </si>
  <si>
    <t xml:space="preserve">Quantity </t>
  </si>
  <si>
    <t>working hour per shift</t>
  </si>
  <si>
    <t>Quantity per hour</t>
  </si>
  <si>
    <t>Working Shift</t>
  </si>
  <si>
    <t>total working hour</t>
  </si>
  <si>
    <t>Selling Cost per unit</t>
  </si>
  <si>
    <t>Average production cost per unit</t>
  </si>
  <si>
    <t>Raw Material consumption per unit</t>
  </si>
  <si>
    <t>Building &amp; Fixtures</t>
  </si>
  <si>
    <t>Owned</t>
  </si>
  <si>
    <t>Paid up Capital</t>
  </si>
  <si>
    <t>Tablet Line 1</t>
  </si>
  <si>
    <t>300 Pack per minute</t>
  </si>
  <si>
    <t>Tablet Line 2</t>
  </si>
  <si>
    <t>Production per day</t>
  </si>
  <si>
    <t>Capacities envisaged for this formulation facility (Existing)</t>
  </si>
  <si>
    <t>Capacities envisaged for this formulation facility (Proposed)</t>
  </si>
  <si>
    <t>Syrup</t>
  </si>
  <si>
    <t>working hour per day</t>
  </si>
  <si>
    <t>Proposed Sales</t>
  </si>
  <si>
    <t>Loans from Directors</t>
  </si>
  <si>
    <t>TNW</t>
  </si>
  <si>
    <t>Process Equipments for Tablet Formulation</t>
  </si>
  <si>
    <t>6  kg</t>
  </si>
  <si>
    <t>Process Equipments for Tablets</t>
  </si>
  <si>
    <t>Granulation -300 Kg</t>
  </si>
  <si>
    <t>COST ESTIMATES SHEET : MANCARE LABORATORIES PVT. LTD. DEHRADUN - 248 011, UTTARAKHAND UNIT-2</t>
  </si>
  <si>
    <t>1.3.1</t>
  </si>
  <si>
    <t>Vibro Sifter - 36 "</t>
  </si>
  <si>
    <t>100-250 Kg/Hr.</t>
  </si>
  <si>
    <t>1.3.2</t>
  </si>
  <si>
    <t>Extra sieve</t>
  </si>
  <si>
    <t>#100 to #25</t>
  </si>
  <si>
    <t>1.3.3</t>
  </si>
  <si>
    <t xml:space="preserve">Rapid Mixer Granulator </t>
  </si>
  <si>
    <t>800 Liters</t>
  </si>
  <si>
    <t>1.3.4</t>
  </si>
  <si>
    <t>Multimill</t>
  </si>
  <si>
    <t>200-300 Kg/Hr.</t>
  </si>
  <si>
    <t>1.3.5</t>
  </si>
  <si>
    <t>Paste Preperation Vessel</t>
  </si>
  <si>
    <t>200 Lit</t>
  </si>
  <si>
    <t>1.3.6</t>
  </si>
  <si>
    <t>Fluid Bed Drier (FBD)</t>
  </si>
  <si>
    <t>150 Kg</t>
  </si>
  <si>
    <t>1.3.8</t>
  </si>
  <si>
    <t>Octagonal Blender</t>
  </si>
  <si>
    <t>750 litres</t>
  </si>
  <si>
    <t>1.3.9</t>
  </si>
  <si>
    <t>Platform Weighing balance</t>
  </si>
  <si>
    <t>300 kg</t>
  </si>
  <si>
    <t>Tablet Compression</t>
  </si>
  <si>
    <t>1.4.1</t>
  </si>
  <si>
    <t>Tablet Compression Machine (Double Rotary) + Deduster + Metal Detector</t>
  </si>
  <si>
    <t>45 Stn D Tooling</t>
  </si>
  <si>
    <t>1.4.2</t>
  </si>
  <si>
    <t>27 Stn D Tooling</t>
  </si>
  <si>
    <t>Tablet Coating</t>
  </si>
  <si>
    <t>1.5.1</t>
  </si>
  <si>
    <t xml:space="preserve">Auto coater </t>
  </si>
  <si>
    <t>Supply Air AHU &amp; Exhaust blower with Scrubber with Ducting</t>
  </si>
  <si>
    <t>To suit</t>
  </si>
  <si>
    <t>Weighing Balance</t>
  </si>
  <si>
    <t>Coating solution preparation vessel</t>
  </si>
  <si>
    <t>100 Ltr</t>
  </si>
  <si>
    <t>1.5.2</t>
  </si>
  <si>
    <t>Coating PAN</t>
  </si>
  <si>
    <t>48"</t>
  </si>
  <si>
    <t>Exhaust blower with Scrubber with Ducting</t>
  </si>
  <si>
    <t xml:space="preserve">Tablet Inspection </t>
  </si>
  <si>
    <t>Semi-Automatic Tablet Inspection Belt</t>
  </si>
  <si>
    <t>6” Wide</t>
  </si>
  <si>
    <t>Quotation pending</t>
  </si>
  <si>
    <t xml:space="preserve">Primary Packing </t>
  </si>
  <si>
    <t>1.7.1</t>
  </si>
  <si>
    <t>Blister Packing line- Alu-PVC</t>
  </si>
  <si>
    <t>240 Bilster/min</t>
  </si>
  <si>
    <t>1.7.2</t>
  </si>
  <si>
    <t>Strip-8 Track Packing line</t>
  </si>
  <si>
    <t>200 Strips/min</t>
  </si>
  <si>
    <t>1.7.3</t>
  </si>
  <si>
    <t>Blister Packing line- Alu-Alu</t>
  </si>
  <si>
    <t>180 Strips/min</t>
  </si>
  <si>
    <t>1.7.4</t>
  </si>
  <si>
    <t>Change Parts</t>
  </si>
  <si>
    <t>Secondary Packing</t>
  </si>
  <si>
    <t>1.8.1</t>
  </si>
  <si>
    <t>Tablet Packing Conveyor Belt</t>
  </si>
  <si>
    <t>1.8.2</t>
  </si>
  <si>
    <t>50 kg</t>
  </si>
  <si>
    <t>1.8.3</t>
  </si>
  <si>
    <t>De-Blistering</t>
  </si>
  <si>
    <t>1.8.4</t>
  </si>
  <si>
    <t>Overprinting machine</t>
  </si>
  <si>
    <t>1.8.5</t>
  </si>
  <si>
    <t>Strapping machine</t>
  </si>
  <si>
    <t>1.8.6</t>
  </si>
  <si>
    <t>Blister Cartonator</t>
  </si>
  <si>
    <t>100 Pack Per min</t>
  </si>
  <si>
    <t>IPQC Apparatus</t>
  </si>
  <si>
    <t>1.9.1</t>
  </si>
  <si>
    <t>Tablet Hardness tester</t>
  </si>
  <si>
    <t>1.9.2</t>
  </si>
  <si>
    <t>Vernier Calipers</t>
  </si>
  <si>
    <t>1.9.3</t>
  </si>
  <si>
    <t>Friability tester</t>
  </si>
  <si>
    <t>NO</t>
  </si>
  <si>
    <t>1.9.4</t>
  </si>
  <si>
    <t>Disintegration tester</t>
  </si>
  <si>
    <t>1.9.5</t>
  </si>
  <si>
    <t xml:space="preserve">Precision Balance Scale </t>
  </si>
  <si>
    <t>50gm</t>
  </si>
  <si>
    <t>1.9.6</t>
  </si>
  <si>
    <t>Printer</t>
  </si>
  <si>
    <t xml:space="preserve">Process Equipments for Liquid Injection Vial, Ampoule &amp; Eye Drop </t>
  </si>
  <si>
    <t>Formulation</t>
  </si>
  <si>
    <t>Walk-in Bio Safety Cabinet</t>
  </si>
  <si>
    <t>Rubber Stoppers/Cycle</t>
  </si>
  <si>
    <t>2.3.1.1</t>
  </si>
  <si>
    <t>Change part</t>
  </si>
  <si>
    <t>St</t>
  </si>
  <si>
    <t>Vial Sterilizing &amp; Dehydrogenating Tunnel</t>
  </si>
  <si>
    <t>Automatic 8 Head Ampoule Fiiling &amp; Sealing Machine With Laminor Air Flow Unit +Change part 1 ml to 5 ml + External Washing</t>
  </si>
  <si>
    <t>2.3.3.1</t>
  </si>
  <si>
    <t>Automatic High Speed Ampule Rotory Type Sticker Labeling Machine</t>
  </si>
  <si>
    <t>250 Ampule/Min</t>
  </si>
  <si>
    <t>Nos</t>
  </si>
  <si>
    <t>Vial Pneumatic Loading Conveyor+Washing+ &amp; Linear Washing Machine</t>
  </si>
  <si>
    <t>2.4.3.1</t>
  </si>
  <si>
    <t>Infeed Turn Table suitable for machine 36”</t>
  </si>
  <si>
    <t>8 Head Vial Sealing machine with out fieed turn table</t>
  </si>
  <si>
    <t>Vertical Sticker Labelling Machine</t>
  </si>
  <si>
    <t>Strapping  machine</t>
  </si>
  <si>
    <t>Process Equipments for External Formulation (Ointment, &amp; Aerosol )</t>
  </si>
  <si>
    <t xml:space="preserve">Ointment Mfg. Plant: Water Phase, Wax Phase &amp; Ointment Mfg. Vessel, Lobe </t>
  </si>
  <si>
    <t>Tranfser Pump, Interconnecting Process piping, Control Panel &amp; Working platform with ladder</t>
  </si>
  <si>
    <t>32,90,000</t>
  </si>
  <si>
    <t>Included in building construction</t>
  </si>
  <si>
    <t>5200 per pc</t>
  </si>
  <si>
    <t>Double Skin Air Handling units &amp; Elect. Heater 45 Nos.(Classified)</t>
  </si>
  <si>
    <t xml:space="preserve">Included with fire hydrant </t>
  </si>
  <si>
    <t>100 Tr</t>
  </si>
  <si>
    <t>N/A</t>
  </si>
  <si>
    <t>Included in utility piping work</t>
  </si>
  <si>
    <t>Included iwith plant utility piping</t>
  </si>
  <si>
    <t>500 KVA</t>
  </si>
  <si>
    <t>COST ESTIMATES SHEET : MANCARE LABORATORIES PVT. LTD. DEHRADUN - 248 011, UTTARAKHAND</t>
  </si>
  <si>
    <r>
      <t xml:space="preserve"> </t>
    </r>
    <r>
      <rPr>
        <b/>
        <u/>
        <sz val="7"/>
        <rFont val="Arial"/>
        <family val="2"/>
      </rPr>
      <t>Exclusion:</t>
    </r>
  </si>
  <si>
    <r>
      <t>1.</t>
    </r>
    <r>
      <rPr>
        <b/>
        <sz val="7"/>
        <rFont val="Times New Roman"/>
        <family val="1"/>
      </rPr>
      <t xml:space="preserve"> </t>
    </r>
    <r>
      <rPr>
        <b/>
        <sz val="7"/>
        <rFont val="Arial"/>
        <family val="2"/>
      </rPr>
      <t>Electrical HT Connection Works at Actual.</t>
    </r>
  </si>
  <si>
    <r>
      <t>2.</t>
    </r>
    <r>
      <rPr>
        <b/>
        <sz val="7"/>
        <rFont val="Times New Roman"/>
        <family val="1"/>
      </rPr>
      <t xml:space="preserve"> </t>
    </r>
    <r>
      <rPr>
        <b/>
        <sz val="7"/>
        <rFont val="Arial"/>
        <family val="2"/>
      </rPr>
      <t xml:space="preserve">Office Furnitures &amp; Fixtures, Computers &amp; Softwares </t>
    </r>
  </si>
  <si>
    <t>3. Pre-Operative Expenses &amp; Working Capital Viz, Raw Material, Workers. 4. Cost of statutory approvals.</t>
  </si>
  <si>
    <t>5. Transporation, Insurance &amp; GST.</t>
  </si>
  <si>
    <t>included in building</t>
  </si>
  <si>
    <t>Term Loan: 1385 Lakh</t>
  </si>
  <si>
    <t>Term Loan: 1190 Lakh</t>
  </si>
  <si>
    <t>Loans from Directors Treated as Quasi Capital</t>
  </si>
  <si>
    <t>Total Term Loan</t>
  </si>
  <si>
    <t>Total Investment</t>
  </si>
  <si>
    <t>Total Current Assets</t>
  </si>
  <si>
    <t>Loans from Directors trated as Quasi Capital</t>
  </si>
  <si>
    <t>Total Paid up Capital</t>
  </si>
  <si>
    <t xml:space="preserve">Paid up Capital </t>
  </si>
  <si>
    <t>Total Term Laoan</t>
  </si>
  <si>
    <t xml:space="preserve">Paid Up Capital </t>
  </si>
  <si>
    <t>Total Paid Up Capital</t>
  </si>
  <si>
    <t>Loans From Directors trated as Quasi Capital</t>
  </si>
  <si>
    <t>TL Installment within 12 Months</t>
  </si>
  <si>
    <t>Interest on WC</t>
  </si>
  <si>
    <t>Total Interest (TL+CC) (B)</t>
  </si>
  <si>
    <t>CURRENT RATIO</t>
  </si>
  <si>
    <t>(Amount in Rs.)</t>
  </si>
  <si>
    <t>Sr.</t>
  </si>
  <si>
    <t>Designation</t>
  </si>
  <si>
    <t>No. of Persons</t>
  </si>
  <si>
    <t>Salary p.m.</t>
  </si>
  <si>
    <t>Total Salary p.a.</t>
  </si>
  <si>
    <t>Floor Manager</t>
  </si>
  <si>
    <t>1,50,000.00</t>
  </si>
  <si>
    <t>3,00,000.00</t>
  </si>
  <si>
    <t>36,00,000.00</t>
  </si>
  <si>
    <t>Line Head</t>
  </si>
  <si>
    <t>Middle Staff</t>
  </si>
  <si>
    <t>12,50,000.00</t>
  </si>
  <si>
    <t>1,50,00,000.00</t>
  </si>
  <si>
    <t>Operators</t>
  </si>
  <si>
    <t>22,50,000.00</t>
  </si>
  <si>
    <t>2,70,00,000.00</t>
  </si>
  <si>
    <t>Semi Skilled Worker</t>
  </si>
  <si>
    <t>18,00,000.00</t>
  </si>
  <si>
    <t>2,16,00,000.00</t>
  </si>
  <si>
    <t>Casual Workers</t>
  </si>
  <si>
    <t>15,00,000.00</t>
  </si>
  <si>
    <t>1,80,00,000.00</t>
  </si>
  <si>
    <t>QC Manager</t>
  </si>
  <si>
    <t>9,00,000.00</t>
  </si>
  <si>
    <t>QC Asstt. Manager</t>
  </si>
  <si>
    <t>1,00,000.00</t>
  </si>
  <si>
    <t>12,00,000.00</t>
  </si>
  <si>
    <t>QC Chemist</t>
  </si>
  <si>
    <t>2,50,000.00</t>
  </si>
  <si>
    <t>30,00,000.00</t>
  </si>
  <si>
    <t>QC Asstt.</t>
  </si>
  <si>
    <t>3,60,000.00</t>
  </si>
  <si>
    <t>QA Manager</t>
  </si>
  <si>
    <t>QA Asstt. Manager</t>
  </si>
  <si>
    <t>QA Chemist</t>
  </si>
  <si>
    <t>QA Asstt.</t>
  </si>
  <si>
    <t>Utility Manager</t>
  </si>
  <si>
    <t>Asstt. Manager</t>
  </si>
  <si>
    <t>2,00,000.00</t>
  </si>
  <si>
    <t>24,00,000.00</t>
  </si>
  <si>
    <t>Engineers</t>
  </si>
  <si>
    <t>5,00,000.00</t>
  </si>
  <si>
    <t>60,00,000.00</t>
  </si>
  <si>
    <t>Assistants</t>
  </si>
  <si>
    <t>Store Manager</t>
  </si>
  <si>
    <t>Store Asstt. Manager</t>
  </si>
  <si>
    <t>6,00,000.00</t>
  </si>
  <si>
    <t>Store Executives</t>
  </si>
  <si>
    <t>Store Assistants</t>
  </si>
  <si>
    <t>7,20,000.00</t>
  </si>
  <si>
    <t>Store Casual Workers</t>
  </si>
  <si>
    <t>4,80,000.00</t>
  </si>
  <si>
    <t>Accounts Manager</t>
  </si>
  <si>
    <t>Office Staff</t>
  </si>
  <si>
    <t>Misc. Casual</t>
  </si>
  <si>
    <t>Peons &amp; Reception</t>
  </si>
  <si>
    <t>1,20,000.00</t>
  </si>
  <si>
    <t>14,40,000.00</t>
  </si>
  <si>
    <t>Security Guards</t>
  </si>
  <si>
    <t>1,44,000.00</t>
  </si>
  <si>
    <t>17,28,000.00</t>
  </si>
  <si>
    <t>House Keeping</t>
  </si>
  <si>
    <t>The company will employ the following staff personnel at 80% capacity utilization:</t>
  </si>
  <si>
    <t>GST 18%</t>
  </si>
  <si>
    <t>Transportation 2%</t>
  </si>
  <si>
    <t>Break Even Point</t>
  </si>
  <si>
    <t>Particular</t>
  </si>
  <si>
    <t>Proj</t>
  </si>
  <si>
    <t>Capacity Utilization</t>
  </si>
  <si>
    <t>Total Sales</t>
  </si>
  <si>
    <t>Closing stock in process</t>
  </si>
  <si>
    <t xml:space="preserve">Closing Stock of Finishing Good </t>
  </si>
  <si>
    <t>Total ( A)</t>
  </si>
  <si>
    <t>Variable Cost</t>
  </si>
  <si>
    <t>Raw Material ( incl stores)</t>
  </si>
  <si>
    <t>Store &amp; Spares</t>
  </si>
  <si>
    <t>Power &amp; Fuel</t>
  </si>
  <si>
    <t>Direct Labour</t>
  </si>
  <si>
    <t>Repair &amp; Maintenance</t>
  </si>
  <si>
    <t>Interest on working capital</t>
  </si>
  <si>
    <t>other Financial charges</t>
  </si>
  <si>
    <t>Selling Expenses</t>
  </si>
  <si>
    <t>Tax</t>
  </si>
  <si>
    <t>Total B</t>
  </si>
  <si>
    <t>Contribution ( A-B)</t>
  </si>
  <si>
    <t>Fixed Cost</t>
  </si>
  <si>
    <t>Total -C</t>
  </si>
  <si>
    <t>BEP at utilised capacity</t>
  </si>
  <si>
    <t>BEP at installed capacity</t>
  </si>
  <si>
    <t>BEP in sales volume</t>
  </si>
  <si>
    <t xml:space="preserve">Add : Opening Stock of RM </t>
  </si>
  <si>
    <t>Add : Opening Stock of Stores &amp; Spares</t>
  </si>
  <si>
    <t>Less : Closing Stock of Stores &amp; Spares</t>
  </si>
  <si>
    <t xml:space="preserve">Less : Closing Stock of RM  </t>
  </si>
  <si>
    <t>Pre Tax IRR</t>
  </si>
  <si>
    <t>Discount rate</t>
  </si>
  <si>
    <t>Cash Outflow</t>
  </si>
  <si>
    <t>Cash Inflow</t>
  </si>
  <si>
    <t>Net Inflow</t>
  </si>
  <si>
    <t>PVF</t>
  </si>
  <si>
    <t>Lower</t>
  </si>
  <si>
    <t>Rate</t>
  </si>
  <si>
    <t>NPV at</t>
  </si>
  <si>
    <t>Difference</t>
  </si>
  <si>
    <t>Lower rate</t>
  </si>
  <si>
    <t>*</t>
  </si>
  <si>
    <t>---------------</t>
  </si>
  <si>
    <t>PV at Lower rate  - PV at Higher Rate</t>
  </si>
  <si>
    <t>IRR</t>
  </si>
  <si>
    <t>Post Tax IRR</t>
  </si>
  <si>
    <t>1 ml to 5 ml 125 Ampoule per minute</t>
  </si>
  <si>
    <t>10 ml to 30 ml 75 vial per minute</t>
  </si>
  <si>
    <t>40 ml to 50 ml 50 vial per minute</t>
  </si>
  <si>
    <t>10 ml 100/vial per minute</t>
  </si>
  <si>
    <t>30 ml 50 vial per minute</t>
  </si>
  <si>
    <t>20 ml 75 vial per minute</t>
  </si>
  <si>
    <t>Direct/indirect expences per unit</t>
  </si>
  <si>
    <t>Direct/Indirect expences per unit</t>
  </si>
  <si>
    <t>DEBT-SERVICE COVERAGE RATIO</t>
  </si>
  <si>
    <t>Intt. on Term Loan</t>
  </si>
  <si>
    <t>Total "A"</t>
  </si>
  <si>
    <t>Instalment of T/L</t>
  </si>
  <si>
    <t>Total "B"</t>
  </si>
  <si>
    <t>D.S.C.R. (A/B)</t>
  </si>
  <si>
    <t>Average D.S.C.R.</t>
  </si>
  <si>
    <t>Min. DSCR</t>
  </si>
  <si>
    <t>Max. DSCR</t>
  </si>
  <si>
    <t>NPV &amp; IRR OF THE PROJECT</t>
  </si>
  <si>
    <t>CAPACITY &amp; CAPACITY UTILIZATION OF EXISTING AND PROPOSED UNIT</t>
  </si>
  <si>
    <t>Assumptions</t>
  </si>
  <si>
    <t>Particular (INR LAKHS)</t>
  </si>
  <si>
    <t>Manpower deployment on 100% capacity</t>
  </si>
  <si>
    <t>Total Salary p.a</t>
  </si>
  <si>
    <t>The company will employ the following staff personnel at 25% capacity utilization:</t>
  </si>
  <si>
    <t>For 7 Months</t>
  </si>
  <si>
    <t>@25% capacity</t>
  </si>
  <si>
    <t>@1% capacity</t>
  </si>
  <si>
    <t>Per capacity salary</t>
  </si>
  <si>
    <t>Annual Salary</t>
  </si>
  <si>
    <t>Increment</t>
  </si>
  <si>
    <t>Means of Finance</t>
  </si>
  <si>
    <t>Total Project Cost</t>
  </si>
  <si>
    <t>Product</t>
  </si>
  <si>
    <t>Quantity Required for 100% Capacity</t>
  </si>
  <si>
    <t>Raw Material details and specifications</t>
  </si>
  <si>
    <t xml:space="preserve">Price per unit </t>
  </si>
  <si>
    <t>Raw material availability/arrangements</t>
  </si>
  <si>
    <t>1.        </t>
  </si>
  <si>
    <t>29335.84 KG</t>
  </si>
  <si>
    <t>Organic dyes, iron oxides</t>
  </si>
  <si>
    <t xml:space="preserve">Titanium dioxide </t>
  </si>
  <si>
    <t>Existing vendor</t>
  </si>
  <si>
    <t>2.        </t>
  </si>
  <si>
    <t>18160 KG</t>
  </si>
  <si>
    <t>Octreotide acetate</t>
  </si>
  <si>
    <t>Dobutamine hydrochloride</t>
  </si>
  <si>
    <t>Tranexamic Acid</t>
  </si>
  <si>
    <t>L ornithine L aspartate</t>
  </si>
  <si>
    <t>Labetalol</t>
  </si>
  <si>
    <t>3.        </t>
  </si>
  <si>
    <t>Tobramycin Sulphate</t>
  </si>
  <si>
    <t>Heparin Sodium</t>
  </si>
  <si>
    <t>Piracetam</t>
  </si>
  <si>
    <t>Lignocaine Hydrochloride</t>
  </si>
  <si>
    <t>Amikacin Sulphate</t>
  </si>
  <si>
    <t>4.        </t>
  </si>
  <si>
    <t>13104 KG</t>
  </si>
  <si>
    <t xml:space="preserve">emulsion, consisting of waxes, emollients and lubricants dispersed in an oil phase, </t>
  </si>
  <si>
    <t>5.        </t>
  </si>
  <si>
    <t>10188 KG</t>
  </si>
  <si>
    <t>API</t>
  </si>
  <si>
    <t>XCIPIENT</t>
  </si>
  <si>
    <t xml:space="preserve">Raw Material (Product wise) </t>
  </si>
  <si>
    <t>Raw Material Consumption</t>
  </si>
  <si>
    <t>MANCARE LABORATORIES PVT. LTD. Plot  No. -11, Pharma City, Selaqui Industrial Area, Dehradun, Uttarakhand- 248011</t>
  </si>
  <si>
    <t>INTEREST-SERVICE COVERAGE RATIO</t>
  </si>
  <si>
    <t>EBITDA</t>
  </si>
  <si>
    <t>Gross Profit</t>
  </si>
  <si>
    <t>EBIT</t>
  </si>
  <si>
    <t>PAT</t>
  </si>
  <si>
    <t>KEY FINANCIAL RATIOS</t>
  </si>
  <si>
    <t>Gross Profit %</t>
  </si>
  <si>
    <t>EBITDA %</t>
  </si>
  <si>
    <t>EBIT %</t>
  </si>
  <si>
    <t>PAT %</t>
  </si>
  <si>
    <t>Less : Closing Stock of RM</t>
  </si>
  <si>
    <t xml:space="preserve">Less : Closing Stock of RM </t>
  </si>
  <si>
    <t>Less : Closing Stock of  Stores &amp; Spares</t>
  </si>
  <si>
    <t>Total Assests</t>
  </si>
  <si>
    <t>MANCARE LABORATORIES PVT LTD</t>
  </si>
  <si>
    <t>BALANCE SHEET Combined)</t>
  </si>
  <si>
    <t>PROFIT &amp; LOSS ACCOUNT Combined)</t>
  </si>
  <si>
    <t>INTERNAL RATE OF RETURN (IRR)</t>
  </si>
  <si>
    <t>Particulars</t>
  </si>
  <si>
    <t>Cash outlay</t>
  </si>
  <si>
    <t>Add:</t>
  </si>
  <si>
    <t>Net Profit</t>
  </si>
  <si>
    <t>Add: Current Tax</t>
  </si>
  <si>
    <t>Funds available for Debt Service</t>
  </si>
  <si>
    <t>Weighted average capital cost</t>
  </si>
  <si>
    <t>Interest Charges</t>
  </si>
  <si>
    <t>Sum of PV</t>
  </si>
  <si>
    <t>intinal out lay</t>
  </si>
  <si>
    <t>NPV</t>
  </si>
  <si>
    <t>206-27</t>
  </si>
  <si>
    <t>Implementation Period: 30 Months (September 2023 to Feb 2026)</t>
  </si>
  <si>
    <t>Moratorium Period: 6 Months March 2026 to August 2026</t>
  </si>
  <si>
    <t>Door to Door Priod: 150 Months</t>
  </si>
  <si>
    <t>Repayment Period: 114 Months (September 2026 to Feb-2036)</t>
  </si>
  <si>
    <t>2025-26 (1 Months)</t>
  </si>
  <si>
    <t>Curret Ratio</t>
  </si>
  <si>
    <t>Quick Ratio</t>
  </si>
  <si>
    <t>DE ratio</t>
  </si>
  <si>
    <t>TOL/ Adj TNW</t>
  </si>
  <si>
    <t>Asset Coverage Ratio</t>
  </si>
  <si>
    <t>Benchmark</t>
  </si>
  <si>
    <t>Interest Coverage Ratio</t>
  </si>
  <si>
    <t>275 ml per minute</t>
  </si>
  <si>
    <t>260 Pack per minute</t>
  </si>
  <si>
    <t>255 Pack per minute</t>
  </si>
  <si>
    <t>110 to 120 tube per minute</t>
  </si>
  <si>
    <t>Unit Sold</t>
  </si>
  <si>
    <t>Cost per Unit</t>
  </si>
  <si>
    <t>Tax Rate</t>
  </si>
  <si>
    <t>(1-T)</t>
  </si>
  <si>
    <t>EBIT*(1-T)</t>
  </si>
  <si>
    <t>Dep &amp; Amortization</t>
  </si>
  <si>
    <t>WCC</t>
  </si>
  <si>
    <t>CURRENT ASSETS</t>
  </si>
  <si>
    <t>CURRENT LIABILITIES</t>
  </si>
  <si>
    <t>WORKING CAPITAL</t>
  </si>
  <si>
    <t>CAPEX</t>
  </si>
  <si>
    <t>FCCF</t>
  </si>
  <si>
    <t>WACC</t>
  </si>
  <si>
    <t>Company Risk Premium</t>
  </si>
  <si>
    <t>Diascount Rate</t>
  </si>
  <si>
    <t>Period</t>
  </si>
  <si>
    <t>Discount Factor</t>
  </si>
  <si>
    <t>PV OF FCFF</t>
  </si>
  <si>
    <t>Terminal Value</t>
  </si>
  <si>
    <t>Growth Rate</t>
  </si>
  <si>
    <t>PV OF TV</t>
  </si>
  <si>
    <t>PV OF FCFF+ PV OF TV</t>
  </si>
  <si>
    <t>XIRR</t>
  </si>
  <si>
    <t>manufacturing facility to produce Small Volume parenteral (SVP), Aerosol, External Ointment &amp; Cream.</t>
  </si>
  <si>
    <t>Revenue</t>
  </si>
  <si>
    <t>EBITDA Margin %</t>
  </si>
  <si>
    <t>EBIT Margin %</t>
  </si>
  <si>
    <t>PAT Margin %</t>
  </si>
  <si>
    <t>Revenue Growth Rate (%)</t>
  </si>
  <si>
    <t>Revenue Growth Rate</t>
  </si>
  <si>
    <t>DEBT-SERVICE COVERAGE RATIO IF EXPENDITURE INCREASED BY 5%</t>
  </si>
  <si>
    <t>DEBT-SERVICE COVERAGE RATIO IF REVENUE DECREASED BY 5%</t>
  </si>
  <si>
    <t>2nd Method</t>
  </si>
  <si>
    <t>Calculation of PBF</t>
  </si>
  <si>
    <t>Chargeable Current Assets</t>
  </si>
  <si>
    <t>Minus OCL</t>
  </si>
  <si>
    <t>Working Capital Gap (A)</t>
  </si>
  <si>
    <t>Minimum required NWC (25 % of TCA other than Export Receivables) - B</t>
  </si>
  <si>
    <t>Projected NWC ( C )</t>
  </si>
  <si>
    <t>Item A minus B</t>
  </si>
  <si>
    <t>Item A minus C</t>
  </si>
  <si>
    <t xml:space="preserve">MPBF Accepted </t>
  </si>
  <si>
    <t>Estimated</t>
  </si>
  <si>
    <t>Projected</t>
  </si>
  <si>
    <t>Deffered Tax Liability</t>
  </si>
  <si>
    <t>Audited</t>
  </si>
  <si>
    <t>ADJUSTED IRR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</si>
</sst>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0.0"/>
    <numFmt numFmtId="176" formatCode="0.0000000000%"/>
  </numFmts>
  <fonts count="9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28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8"/>
      <name val="Times New Roman"/>
      <family val="1"/>
    </font>
    <font>
      <sz val="11"/>
      <name val="Calibri"/>
      <family val="2"/>
    </font>
    <font>
      <b/>
      <sz val="11"/>
      <name val="Verdana"/>
      <family val="2"/>
    </font>
    <font>
      <b/>
      <sz val="10.5"/>
      <name val="Yu Gothic"/>
      <family val="2"/>
    </font>
    <font>
      <b/>
      <sz val="7.5"/>
      <name val="Yu Gothic"/>
      <family val="2"/>
    </font>
    <font>
      <sz val="7"/>
      <name val="Times New Roman"/>
      <family val="1"/>
    </font>
    <font>
      <sz val="7.5"/>
      <name val="Yu Gothic"/>
      <family val="2"/>
    </font>
    <font>
      <sz val="10"/>
      <name val="Verdana"/>
      <family val="2"/>
    </font>
    <font>
      <sz val="8.5"/>
      <name val="Yu Gothic"/>
      <family val="2"/>
    </font>
    <font>
      <sz val="7.5"/>
      <name val="Arial"/>
      <family val="2"/>
    </font>
    <font>
      <sz val="6"/>
      <name val="Arial"/>
      <family val="2"/>
    </font>
    <font>
      <sz val="8.5"/>
      <name val="Arial"/>
      <family val="2"/>
    </font>
    <font>
      <sz val="6.5"/>
      <name val="Arial"/>
      <family val="2"/>
    </font>
    <font>
      <sz val="5"/>
      <name val="Arial"/>
      <family val="2"/>
    </font>
    <font>
      <sz val="3.5"/>
      <name val="Arial"/>
      <family val="2"/>
    </font>
    <font>
      <sz val="9.5"/>
      <name val="Arial"/>
      <family val="2"/>
    </font>
    <font>
      <sz val="10.5"/>
      <name val="Arial"/>
      <family val="2"/>
    </font>
    <font>
      <sz val="11"/>
      <name val="Arial"/>
      <family val="2"/>
    </font>
    <font>
      <sz val="2"/>
      <name val="Arial"/>
      <family val="2"/>
    </font>
    <font>
      <sz val="1.5"/>
      <name val="Arial"/>
      <family val="2"/>
    </font>
    <font>
      <sz val="2.5"/>
      <name val="Arial"/>
      <family val="2"/>
    </font>
    <font>
      <sz val="4.5"/>
      <name val="Arial"/>
      <family val="2"/>
    </font>
    <font>
      <sz val="9"/>
      <name val="Arial"/>
      <family val="2"/>
    </font>
    <font>
      <sz val="1"/>
      <name val="Arial"/>
      <family val="2"/>
    </font>
    <font>
      <sz val="4"/>
      <name val="Arial"/>
      <family val="2"/>
    </font>
    <font>
      <sz val="7"/>
      <name val="Arial"/>
      <family val="2"/>
    </font>
    <font>
      <sz val="13"/>
      <name val="Arial"/>
      <family val="2"/>
    </font>
    <font>
      <sz val="11.5"/>
      <name val="Arial"/>
      <family val="2"/>
    </font>
    <font>
      <b/>
      <u/>
      <sz val="7.5"/>
      <name val="Yu Gothic"/>
      <family val="2"/>
    </font>
    <font>
      <b/>
      <sz val="6.5"/>
      <name val="Yu Gothic"/>
      <family val="2"/>
    </font>
    <font>
      <b/>
      <sz val="7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b/>
      <sz val="7"/>
      <name val="Arial"/>
      <family val="2"/>
    </font>
    <font>
      <sz val="3.5"/>
      <name val="Times New Roman"/>
      <family val="1"/>
    </font>
    <font>
      <sz val="5"/>
      <name val="Times New Roman"/>
      <family val="1"/>
    </font>
    <font>
      <sz val="3"/>
      <name val="Times New Roman"/>
      <family val="1"/>
    </font>
    <font>
      <b/>
      <sz val="7"/>
      <color rgb="FF000000"/>
      <name val="Arial"/>
      <family val="2"/>
    </font>
    <font>
      <sz val="6.5"/>
      <name val="Times New Roman"/>
      <family val="1"/>
    </font>
    <font>
      <sz val="8.5"/>
      <name val="Times New Roman"/>
      <family val="1"/>
    </font>
    <font>
      <sz val="4"/>
      <name val="Times New Roman"/>
      <family val="1"/>
    </font>
    <font>
      <sz val="7.5"/>
      <name val="Times New Roman"/>
      <family val="1"/>
    </font>
    <font>
      <b/>
      <sz val="9"/>
      <name val="Arial"/>
      <family val="2"/>
    </font>
    <font>
      <sz val="10.5"/>
      <name val="Times New Roman"/>
      <family val="1"/>
    </font>
    <font>
      <sz val="11.5"/>
      <name val="Times New Roman"/>
      <family val="1"/>
    </font>
    <font>
      <sz val="1.5"/>
      <name val="Times New Roman"/>
      <family val="1"/>
    </font>
    <font>
      <sz val="5.5"/>
      <name val="Times New Roman"/>
      <family val="1"/>
    </font>
    <font>
      <sz val="2"/>
      <name val="Times New Roman"/>
      <family val="1"/>
    </font>
    <font>
      <sz val="4.5"/>
      <name val="Times New Roman"/>
      <family val="1"/>
    </font>
    <font>
      <sz val="2.5"/>
      <name val="Times New Roman"/>
      <family val="1"/>
    </font>
    <font>
      <sz val="1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sz val="9.5"/>
      <name val="Times New Roman"/>
      <family val="1"/>
    </font>
    <font>
      <sz val="12.5"/>
      <name val="Times New Roman"/>
      <family val="1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</font>
    <font>
      <b/>
      <u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sz val="11"/>
      <color rgb="FFC00000"/>
      <name val="Calibri"/>
      <family val="2"/>
    </font>
    <font>
      <b/>
      <i/>
      <sz val="11"/>
      <name val="Calibri"/>
      <family val="2"/>
      <scheme val="minor"/>
    </font>
    <font>
      <sz val="11"/>
      <color theme="0" tint="-0.24997711111789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E6B8B6"/>
        <bgColor indexed="64"/>
      </patternFill>
    </fill>
    <fill>
      <patternFill patternType="solid">
        <fgColor rgb="FFC4D8F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3D69A"/>
        <bgColor indexed="64"/>
      </patternFill>
    </fill>
    <fill>
      <patternFill patternType="solid">
        <fgColor rgb="FF9595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7CB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70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2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17" fontId="8" fillId="0" borderId="0" xfId="0" applyNumberFormat="1" applyFont="1" applyAlignment="1">
      <alignment horizontal="center"/>
    </xf>
    <xf numFmtId="2" fontId="8" fillId="0" borderId="0" xfId="0" applyNumberFormat="1" applyFont="1"/>
    <xf numFmtId="17" fontId="11" fillId="0" borderId="3" xfId="0" applyNumberFormat="1" applyFont="1" applyBorder="1" applyAlignment="1">
      <alignment horizontal="center"/>
    </xf>
    <xf numFmtId="2" fontId="11" fillId="0" borderId="3" xfId="0" applyNumberFormat="1" applyFont="1" applyBorder="1"/>
    <xf numFmtId="17" fontId="8" fillId="0" borderId="3" xfId="0" applyNumberFormat="1" applyFont="1" applyBorder="1" applyAlignment="1">
      <alignment horizontal="center"/>
    </xf>
    <xf numFmtId="2" fontId="8" fillId="0" borderId="3" xfId="0" applyNumberFormat="1" applyFont="1" applyBorder="1"/>
    <xf numFmtId="2" fontId="2" fillId="0" borderId="3" xfId="0" applyNumberFormat="1" applyFont="1" applyBorder="1"/>
    <xf numFmtId="0" fontId="11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/>
    <xf numFmtId="0" fontId="13" fillId="0" borderId="3" xfId="0" applyFont="1" applyBorder="1"/>
    <xf numFmtId="0" fontId="13" fillId="0" borderId="0" xfId="0" applyFont="1" applyAlignment="1">
      <alignment horizontal="center"/>
    </xf>
    <xf numFmtId="0" fontId="14" fillId="0" borderId="0" xfId="0" applyFont="1"/>
    <xf numFmtId="2" fontId="6" fillId="0" borderId="3" xfId="0" applyNumberFormat="1" applyFont="1" applyBorder="1"/>
    <xf numFmtId="2" fontId="13" fillId="0" borderId="0" xfId="0" applyNumberFormat="1" applyFont="1"/>
    <xf numFmtId="2" fontId="0" fillId="0" borderId="0" xfId="0" applyNumberForma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0" borderId="0" xfId="0" applyFont="1"/>
    <xf numFmtId="0" fontId="14" fillId="0" borderId="3" xfId="0" applyFont="1" applyBorder="1"/>
    <xf numFmtId="0" fontId="9" fillId="0" borderId="0" xfId="0" applyFont="1"/>
    <xf numFmtId="0" fontId="17" fillId="0" borderId="3" xfId="0" applyFont="1" applyBorder="1"/>
    <xf numFmtId="2" fontId="14" fillId="0" borderId="0" xfId="0" quotePrefix="1" applyNumberFormat="1" applyFont="1"/>
    <xf numFmtId="2" fontId="14" fillId="0" borderId="0" xfId="0" applyNumberFormat="1" applyFont="1" applyBorder="1"/>
    <xf numFmtId="2" fontId="17" fillId="0" borderId="3" xfId="0" applyNumberFormat="1" applyFont="1" applyBorder="1"/>
    <xf numFmtId="2" fontId="17" fillId="0" borderId="0" xfId="0" applyNumberFormat="1" applyFont="1"/>
    <xf numFmtId="2" fontId="17" fillId="0" borderId="1" xfId="0" applyNumberFormat="1" applyFont="1" applyBorder="1"/>
    <xf numFmtId="2" fontId="9" fillId="0" borderId="0" xfId="0" applyNumberFormat="1" applyFont="1"/>
    <xf numFmtId="2" fontId="14" fillId="0" borderId="3" xfId="2" applyNumberFormat="1" applyFont="1" applyBorder="1"/>
    <xf numFmtId="2" fontId="9" fillId="0" borderId="0" xfId="0" quotePrefix="1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center"/>
    </xf>
    <xf numFmtId="2" fontId="17" fillId="0" borderId="0" xfId="0" quotePrefix="1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17" fillId="0" borderId="0" xfId="0" applyNumberFormat="1" applyFont="1" applyBorder="1"/>
    <xf numFmtId="2" fontId="18" fillId="0" borderId="0" xfId="0" applyNumberFormat="1" applyFont="1"/>
    <xf numFmtId="2" fontId="17" fillId="0" borderId="0" xfId="0" applyNumberFormat="1" applyFont="1" applyAlignment="1"/>
    <xf numFmtId="2" fontId="15" fillId="0" borderId="1" xfId="0" applyNumberFormat="1" applyFont="1" applyBorder="1"/>
    <xf numFmtId="2" fontId="14" fillId="0" borderId="0" xfId="0" applyNumberFormat="1" applyFont="1"/>
    <xf numFmtId="2" fontId="16" fillId="0" borderId="0" xfId="2" applyNumberFormat="1" applyFont="1" applyFill="1" applyBorder="1"/>
    <xf numFmtId="2" fontId="17" fillId="0" borderId="0" xfId="0" quotePrefix="1" applyNumberFormat="1" applyFont="1" applyAlignment="1">
      <alignment vertical="center"/>
    </xf>
    <xf numFmtId="0" fontId="9" fillId="0" borderId="3" xfId="0" applyFont="1" applyBorder="1"/>
    <xf numFmtId="0" fontId="13" fillId="0" borderId="0" xfId="0" applyFont="1"/>
    <xf numFmtId="0" fontId="23" fillId="3" borderId="13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vertical="center" wrapText="1"/>
    </xf>
    <xf numFmtId="0" fontId="24" fillId="2" borderId="14" xfId="0" applyFont="1" applyFill="1" applyBorder="1" applyAlignment="1">
      <alignment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vertical="center" wrapText="1"/>
    </xf>
    <xf numFmtId="0" fontId="24" fillId="4" borderId="14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6" fillId="0" borderId="15" xfId="0" applyFont="1" applyBorder="1" applyAlignment="1">
      <alignment vertical="top" wrapText="1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right" vertical="center" wrapText="1"/>
    </xf>
    <xf numFmtId="0" fontId="25" fillId="0" borderId="14" xfId="0" applyFont="1" applyBorder="1" applyAlignment="1">
      <alignment horizontal="left" vertical="center" wrapText="1" indent="1"/>
    </xf>
    <xf numFmtId="0" fontId="25" fillId="0" borderId="14" xfId="0" applyFont="1" applyBorder="1" applyAlignment="1">
      <alignment horizontal="left" vertical="center" wrapText="1" indent="2"/>
    </xf>
    <xf numFmtId="0" fontId="24" fillId="0" borderId="12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0" fillId="0" borderId="15" xfId="0" applyBorder="1" applyAlignment="1">
      <alignment vertical="top" wrapText="1"/>
    </xf>
    <xf numFmtId="0" fontId="27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right" vertical="center" wrapText="1"/>
    </xf>
    <xf numFmtId="0" fontId="25" fillId="0" borderId="15" xfId="0" applyFont="1" applyBorder="1" applyAlignment="1">
      <alignment horizontal="left" vertical="center" wrapText="1" indent="1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4" xfId="0" applyBorder="1" applyAlignment="1">
      <alignment vertical="top" wrapText="1"/>
    </xf>
    <xf numFmtId="0" fontId="34" fillId="0" borderId="15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6" fillId="0" borderId="15" xfId="0" applyFont="1" applyBorder="1" applyAlignment="1">
      <alignment vertical="center" wrapText="1"/>
    </xf>
    <xf numFmtId="0" fontId="24" fillId="4" borderId="12" xfId="0" applyFont="1" applyFill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 indent="1"/>
    </xf>
    <xf numFmtId="0" fontId="39" fillId="0" borderId="15" xfId="0" applyFont="1" applyBorder="1" applyAlignment="1">
      <alignment vertical="center" wrapText="1"/>
    </xf>
    <xf numFmtId="0" fontId="40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42" fillId="0" borderId="15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24" fillId="4" borderId="15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vertical="center" wrapText="1"/>
    </xf>
    <xf numFmtId="0" fontId="19" fillId="4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4" borderId="15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23" fillId="0" borderId="12" xfId="0" applyFont="1" applyBorder="1" applyAlignment="1">
      <alignment horizontal="right" vertical="center" wrapText="1"/>
    </xf>
    <xf numFmtId="0" fontId="23" fillId="0" borderId="14" xfId="0" applyFont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6" fillId="0" borderId="15" xfId="0" applyFont="1" applyBorder="1" applyAlignment="1">
      <alignment vertical="center" wrapText="1"/>
    </xf>
    <xf numFmtId="0" fontId="23" fillId="4" borderId="12" xfId="0" applyFont="1" applyFill="1" applyBorder="1" applyAlignment="1">
      <alignment horizontal="right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1" fillId="0" borderId="14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vertical="center" wrapText="1"/>
    </xf>
    <xf numFmtId="0" fontId="37" fillId="0" borderId="18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right" vertical="center" wrapText="1"/>
    </xf>
    <xf numFmtId="0" fontId="23" fillId="0" borderId="19" xfId="0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0" fontId="23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top" wrapText="1"/>
    </xf>
    <xf numFmtId="0" fontId="25" fillId="0" borderId="18" xfId="0" applyFont="1" applyBorder="1" applyAlignment="1">
      <alignment horizontal="left" vertical="center" wrapText="1" indent="1"/>
    </xf>
    <xf numFmtId="0" fontId="34" fillId="0" borderId="18" xfId="0" applyFont="1" applyBorder="1" applyAlignment="1">
      <alignment vertical="center" wrapText="1"/>
    </xf>
    <xf numFmtId="0" fontId="20" fillId="0" borderId="0" xfId="0" applyFont="1" applyFill="1" applyBorder="1" applyAlignment="1">
      <alignment vertical="top" wrapText="1"/>
    </xf>
    <xf numFmtId="0" fontId="50" fillId="0" borderId="7" xfId="0" applyFont="1" applyFill="1" applyBorder="1" applyAlignment="1">
      <alignment vertical="top"/>
    </xf>
    <xf numFmtId="0" fontId="50" fillId="0" borderId="7" xfId="0" applyFont="1" applyFill="1" applyBorder="1" applyAlignment="1">
      <alignment vertical="top" wrapText="1"/>
    </xf>
    <xf numFmtId="0" fontId="50" fillId="0" borderId="0" xfId="0" applyFont="1" applyFill="1" applyBorder="1" applyAlignment="1">
      <alignment vertical="top"/>
    </xf>
    <xf numFmtId="0" fontId="50" fillId="0" borderId="0" xfId="0" applyFont="1" applyFill="1" applyBorder="1" applyAlignment="1">
      <alignment vertical="top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1" fontId="0" fillId="0" borderId="0" xfId="1" applyNumberFormat="1" applyFont="1"/>
    <xf numFmtId="1" fontId="0" fillId="0" borderId="0" xfId="0" applyNumberFormat="1"/>
    <xf numFmtId="0" fontId="51" fillId="0" borderId="0" xfId="0" applyFont="1" applyFill="1" applyBorder="1" applyAlignment="1">
      <alignment vertical="top"/>
    </xf>
    <xf numFmtId="0" fontId="0" fillId="0" borderId="23" xfId="0" applyBorder="1"/>
    <xf numFmtId="0" fontId="0" fillId="0" borderId="0" xfId="0" applyBorder="1"/>
    <xf numFmtId="0" fontId="0" fillId="7" borderId="0" xfId="0" applyFill="1"/>
    <xf numFmtId="0" fontId="0" fillId="7" borderId="0" xfId="0" applyFill="1" applyBorder="1"/>
    <xf numFmtId="0" fontId="52" fillId="3" borderId="23" xfId="0" applyFont="1" applyFill="1" applyBorder="1" applyAlignment="1">
      <alignment vertical="center" wrapText="1"/>
    </xf>
    <xf numFmtId="0" fontId="24" fillId="3" borderId="23" xfId="0" applyFont="1" applyFill="1" applyBorder="1" applyAlignment="1">
      <alignment vertical="center" wrapText="1"/>
    </xf>
    <xf numFmtId="0" fontId="52" fillId="3" borderId="23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vertical="center" wrapText="1"/>
    </xf>
    <xf numFmtId="0" fontId="52" fillId="3" borderId="23" xfId="0" applyFont="1" applyFill="1" applyBorder="1" applyAlignment="1">
      <alignment horizontal="right" vertical="center" wrapText="1"/>
    </xf>
    <xf numFmtId="0" fontId="52" fillId="2" borderId="23" xfId="0" applyFont="1" applyFill="1" applyBorder="1" applyAlignment="1">
      <alignment horizontal="center" vertical="center" wrapText="1"/>
    </xf>
    <xf numFmtId="0" fontId="52" fillId="2" borderId="23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vertical="center" wrapText="1"/>
    </xf>
    <xf numFmtId="0" fontId="52" fillId="4" borderId="23" xfId="0" applyFont="1" applyFill="1" applyBorder="1" applyAlignment="1">
      <alignment horizontal="center" vertical="center" wrapText="1"/>
    </xf>
    <xf numFmtId="0" fontId="52" fillId="4" borderId="23" xfId="0" applyFont="1" applyFill="1" applyBorder="1" applyAlignment="1">
      <alignment vertical="center" wrapText="1"/>
    </xf>
    <xf numFmtId="0" fontId="24" fillId="4" borderId="23" xfId="0" applyFont="1" applyFill="1" applyBorder="1" applyAlignment="1">
      <alignment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23" xfId="0" applyFont="1" applyBorder="1" applyAlignment="1">
      <alignment vertical="center" wrapText="1"/>
    </xf>
    <xf numFmtId="0" fontId="44" fillId="0" borderId="23" xfId="0" applyFont="1" applyBorder="1" applyAlignment="1">
      <alignment horizontal="right" vertical="center" wrapText="1"/>
    </xf>
    <xf numFmtId="0" fontId="24" fillId="0" borderId="23" xfId="0" applyFont="1" applyBorder="1" applyAlignment="1">
      <alignment vertical="center" wrapText="1"/>
    </xf>
    <xf numFmtId="0" fontId="52" fillId="0" borderId="23" xfId="0" applyFont="1" applyBorder="1" applyAlignment="1">
      <alignment horizontal="center" vertical="center" wrapText="1"/>
    </xf>
    <xf numFmtId="0" fontId="52" fillId="0" borderId="23" xfId="0" applyFont="1" applyBorder="1" applyAlignment="1">
      <alignment vertical="center" wrapText="1"/>
    </xf>
    <xf numFmtId="0" fontId="54" fillId="0" borderId="23" xfId="0" applyFont="1" applyBorder="1" applyAlignment="1">
      <alignment vertical="center"/>
    </xf>
    <xf numFmtId="0" fontId="56" fillId="0" borderId="23" xfId="0" applyFont="1" applyBorder="1" applyAlignment="1">
      <alignment horizontal="center" vertical="center" wrapText="1"/>
    </xf>
    <xf numFmtId="0" fontId="49" fillId="0" borderId="23" xfId="0" applyFont="1" applyBorder="1" applyAlignment="1">
      <alignment vertical="center" wrapText="1"/>
    </xf>
    <xf numFmtId="0" fontId="49" fillId="4" borderId="23" xfId="0" applyFont="1" applyFill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58" fillId="0" borderId="23" xfId="0" applyFont="1" applyBorder="1" applyAlignment="1">
      <alignment vertical="center" wrapText="1"/>
    </xf>
    <xf numFmtId="0" fontId="52" fillId="0" borderId="23" xfId="0" applyFont="1" applyBorder="1" applyAlignment="1">
      <alignment vertical="center"/>
    </xf>
    <xf numFmtId="0" fontId="54" fillId="0" borderId="23" xfId="0" applyFont="1" applyBorder="1"/>
    <xf numFmtId="0" fontId="52" fillId="4" borderId="23" xfId="0" applyFont="1" applyFill="1" applyBorder="1" applyAlignment="1">
      <alignment horizontal="right" vertical="center" wrapText="1"/>
    </xf>
    <xf numFmtId="0" fontId="41" fillId="0" borderId="23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left" vertical="center" wrapText="1" indent="1"/>
    </xf>
    <xf numFmtId="0" fontId="41" fillId="0" borderId="23" xfId="0" applyFont="1" applyBorder="1" applyAlignment="1">
      <alignment vertical="center" wrapText="1"/>
    </xf>
    <xf numFmtId="0" fontId="61" fillId="0" borderId="2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57" fillId="0" borderId="23" xfId="0" applyFont="1" applyBorder="1" applyAlignment="1">
      <alignment vertical="center" wrapText="1"/>
    </xf>
    <xf numFmtId="0" fontId="62" fillId="0" borderId="23" xfId="0" applyFont="1" applyBorder="1" applyAlignment="1">
      <alignment vertical="center" wrapText="1"/>
    </xf>
    <xf numFmtId="0" fontId="63" fillId="0" borderId="23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5" fillId="0" borderId="23" xfId="0" applyFont="1" applyBorder="1" applyAlignment="1">
      <alignment vertical="center" wrapText="1"/>
    </xf>
    <xf numFmtId="0" fontId="6" fillId="0" borderId="23" xfId="0" applyFont="1" applyBorder="1" applyAlignment="1">
      <alignment vertical="top" wrapText="1"/>
    </xf>
    <xf numFmtId="0" fontId="52" fillId="0" borderId="23" xfId="0" applyFont="1" applyBorder="1" applyAlignment="1">
      <alignment horizontal="left" vertical="center" wrapText="1" indent="15"/>
    </xf>
    <xf numFmtId="0" fontId="68" fillId="0" borderId="23" xfId="0" applyFont="1" applyBorder="1" applyAlignment="1">
      <alignment vertical="center" wrapText="1"/>
    </xf>
    <xf numFmtId="0" fontId="59" fillId="0" borderId="23" xfId="0" applyFont="1" applyBorder="1" applyAlignment="1">
      <alignment vertical="center" wrapText="1"/>
    </xf>
    <xf numFmtId="0" fontId="69" fillId="0" borderId="23" xfId="0" applyFont="1" applyBorder="1" applyAlignment="1">
      <alignment vertical="center" wrapText="1"/>
    </xf>
    <xf numFmtId="0" fontId="70" fillId="0" borderId="23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center" wrapText="1" indent="1"/>
    </xf>
    <xf numFmtId="0" fontId="67" fillId="0" borderId="23" xfId="0" applyFont="1" applyBorder="1" applyAlignment="1">
      <alignment vertical="center" wrapText="1"/>
    </xf>
    <xf numFmtId="0" fontId="60" fillId="0" borderId="23" xfId="0" applyFont="1" applyBorder="1" applyAlignment="1">
      <alignment vertical="center" wrapText="1"/>
    </xf>
    <xf numFmtId="0" fontId="71" fillId="0" borderId="23" xfId="0" applyFont="1" applyBorder="1" applyAlignment="1">
      <alignment vertical="center" wrapText="1"/>
    </xf>
    <xf numFmtId="0" fontId="52" fillId="0" borderId="23" xfId="0" applyFont="1" applyBorder="1" applyAlignment="1">
      <alignment horizontal="left" vertical="center" wrapText="1" indent="1"/>
    </xf>
    <xf numFmtId="0" fontId="52" fillId="0" borderId="23" xfId="0" applyFont="1" applyBorder="1" applyAlignment="1">
      <alignment horizontal="left" vertical="center" wrapText="1" indent="2"/>
    </xf>
    <xf numFmtId="0" fontId="52" fillId="4" borderId="23" xfId="0" applyFont="1" applyFill="1" applyBorder="1" applyAlignment="1">
      <alignment horizontal="left" vertical="center" wrapText="1" indent="1"/>
    </xf>
    <xf numFmtId="0" fontId="52" fillId="3" borderId="23" xfId="0" applyFont="1" applyFill="1" applyBorder="1" applyAlignment="1">
      <alignment horizontal="left" vertical="center" wrapText="1" indent="1"/>
    </xf>
    <xf numFmtId="0" fontId="44" fillId="0" borderId="23" xfId="0" applyFont="1" applyBorder="1" applyAlignment="1">
      <alignment horizontal="left" vertical="center" wrapText="1" indent="2"/>
    </xf>
    <xf numFmtId="0" fontId="2" fillId="0" borderId="23" xfId="0" applyFont="1" applyBorder="1"/>
    <xf numFmtId="0" fontId="77" fillId="0" borderId="23" xfId="0" applyFont="1" applyBorder="1"/>
    <xf numFmtId="0" fontId="24" fillId="0" borderId="26" xfId="0" applyFont="1" applyBorder="1" applyAlignment="1">
      <alignment vertical="center" wrapText="1"/>
    </xf>
    <xf numFmtId="0" fontId="49" fillId="0" borderId="27" xfId="0" applyFont="1" applyBorder="1" applyAlignment="1">
      <alignment vertical="center" wrapText="1"/>
    </xf>
    <xf numFmtId="2" fontId="9" fillId="0" borderId="5" xfId="0" applyNumberFormat="1" applyFont="1" applyBorder="1"/>
    <xf numFmtId="0" fontId="20" fillId="0" borderId="37" xfId="0" applyFont="1" applyBorder="1" applyAlignment="1">
      <alignment vertical="top"/>
    </xf>
    <xf numFmtId="0" fontId="20" fillId="0" borderId="36" xfId="0" applyFont="1" applyBorder="1" applyAlignment="1">
      <alignment vertical="top"/>
    </xf>
    <xf numFmtId="0" fontId="1" fillId="0" borderId="23" xfId="0" applyFont="1" applyBorder="1"/>
    <xf numFmtId="0" fontId="20" fillId="0" borderId="0" xfId="0" applyFont="1"/>
    <xf numFmtId="0" fontId="80" fillId="9" borderId="0" xfId="0" applyFont="1" applyFill="1"/>
    <xf numFmtId="0" fontId="20" fillId="0" borderId="0" xfId="0" applyFont="1" applyAlignment="1">
      <alignment horizontal="center"/>
    </xf>
    <xf numFmtId="0" fontId="80" fillId="9" borderId="0" xfId="0" applyFont="1" applyFill="1" applyAlignment="1">
      <alignment vertical="center"/>
    </xf>
    <xf numFmtId="0" fontId="82" fillId="8" borderId="0" xfId="0" applyFont="1" applyFill="1" applyAlignment="1"/>
    <xf numFmtId="0" fontId="82" fillId="8" borderId="0" xfId="0" applyFont="1" applyFill="1" applyAlignment="1">
      <alignment vertical="center"/>
    </xf>
    <xf numFmtId="0" fontId="82" fillId="8" borderId="0" xfId="0" applyFont="1" applyFill="1" applyAlignment="1">
      <alignment horizontal="left" vertical="center"/>
    </xf>
    <xf numFmtId="0" fontId="82" fillId="8" borderId="0" xfId="0" applyFont="1" applyFill="1" applyAlignment="1">
      <alignment horizontal="center" vertical="center"/>
    </xf>
    <xf numFmtId="0" fontId="83" fillId="0" borderId="0" xfId="0" applyFont="1" applyAlignment="1">
      <alignment horizontal="left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0" fontId="84" fillId="0" borderId="2" xfId="0" applyFont="1" applyBorder="1" applyAlignment="1">
      <alignment horizontal="left"/>
    </xf>
    <xf numFmtId="2" fontId="50" fillId="0" borderId="2" xfId="0" applyNumberFormat="1" applyFont="1" applyBorder="1" applyAlignment="1">
      <alignment horizontal="center"/>
    </xf>
    <xf numFmtId="2" fontId="50" fillId="0" borderId="2" xfId="0" applyNumberFormat="1" applyFont="1" applyBorder="1"/>
    <xf numFmtId="0" fontId="50" fillId="0" borderId="2" xfId="0" applyFont="1" applyBorder="1"/>
    <xf numFmtId="0" fontId="78" fillId="8" borderId="26" xfId="0" applyFont="1" applyFill="1" applyBorder="1" applyAlignment="1">
      <alignment horizontal="left"/>
    </xf>
    <xf numFmtId="2" fontId="82" fillId="8" borderId="27" xfId="0" applyNumberFormat="1" applyFont="1" applyFill="1" applyBorder="1" applyAlignment="1">
      <alignment horizontal="center" vertical="center"/>
    </xf>
    <xf numFmtId="0" fontId="81" fillId="8" borderId="1" xfId="0" applyFont="1" applyFill="1" applyBorder="1"/>
    <xf numFmtId="0" fontId="81" fillId="8" borderId="2" xfId="0" applyFont="1" applyFill="1" applyBorder="1"/>
    <xf numFmtId="2" fontId="50" fillId="11" borderId="2" xfId="0" applyNumberFormat="1" applyFont="1" applyFill="1" applyBorder="1" applyAlignment="1">
      <alignment horizontal="center"/>
    </xf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horizontal="right" vertical="center"/>
    </xf>
    <xf numFmtId="2" fontId="20" fillId="0" borderId="23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80" fillId="9" borderId="0" xfId="0" applyFont="1" applyFill="1" applyAlignment="1">
      <alignment horizontal="center" vertical="center"/>
    </xf>
    <xf numFmtId="0" fontId="86" fillId="8" borderId="23" xfId="0" applyFont="1" applyFill="1" applyBorder="1" applyAlignment="1">
      <alignment horizontal="center" vertical="center"/>
    </xf>
    <xf numFmtId="0" fontId="81" fillId="8" borderId="23" xfId="0" applyFont="1" applyFill="1" applyBorder="1" applyAlignment="1">
      <alignment horizontal="center" vertical="center"/>
    </xf>
    <xf numFmtId="0" fontId="85" fillId="0" borderId="23" xfId="0" applyFont="1" applyBorder="1" applyAlignment="1">
      <alignment horizontal="center" vertical="center"/>
    </xf>
    <xf numFmtId="2" fontId="20" fillId="0" borderId="23" xfId="0" applyNumberFormat="1" applyFont="1" applyBorder="1" applyAlignment="1">
      <alignment horizontal="center" vertical="center"/>
    </xf>
    <xf numFmtId="10" fontId="50" fillId="0" borderId="23" xfId="0" applyNumberFormat="1" applyFont="1" applyBorder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0" fillId="0" borderId="0" xfId="0" applyFont="1" applyAlignment="1"/>
    <xf numFmtId="0" fontId="20" fillId="0" borderId="23" xfId="0" applyFont="1" applyBorder="1"/>
    <xf numFmtId="0" fontId="50" fillId="0" borderId="23" xfId="0" applyFont="1" applyBorder="1" applyAlignment="1">
      <alignment vertical="center"/>
    </xf>
    <xf numFmtId="2" fontId="20" fillId="0" borderId="23" xfId="0" applyNumberFormat="1" applyFont="1" applyBorder="1" applyAlignment="1">
      <alignment vertical="center"/>
    </xf>
    <xf numFmtId="9" fontId="20" fillId="0" borderId="23" xfId="0" applyNumberFormat="1" applyFont="1" applyBorder="1" applyAlignment="1">
      <alignment horizontal="right" vertical="center"/>
    </xf>
    <xf numFmtId="2" fontId="20" fillId="0" borderId="23" xfId="0" applyNumberFormat="1" applyFont="1" applyBorder="1"/>
    <xf numFmtId="2" fontId="50" fillId="0" borderId="23" xfId="0" applyNumberFormat="1" applyFont="1" applyBorder="1" applyAlignment="1">
      <alignment horizontal="right" vertical="center"/>
    </xf>
    <xf numFmtId="10" fontId="20" fillId="0" borderId="23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0" fontId="80" fillId="9" borderId="0" xfId="0" applyFont="1" applyFill="1" applyAlignment="1">
      <alignment horizontal="left" vertical="center"/>
    </xf>
    <xf numFmtId="166" fontId="20" fillId="0" borderId="23" xfId="2" applyNumberFormat="1" applyFont="1" applyBorder="1" applyAlignment="1">
      <alignment horizontal="center" vertical="center"/>
    </xf>
    <xf numFmtId="0" fontId="82" fillId="8" borderId="23" xfId="0" applyFont="1" applyFill="1" applyBorder="1" applyAlignment="1">
      <alignment horizontal="center" vertical="center" wrapText="1"/>
    </xf>
    <xf numFmtId="164" fontId="20" fillId="0" borderId="23" xfId="2" applyNumberFormat="1" applyFont="1" applyBorder="1" applyAlignment="1">
      <alignment horizontal="center" vertical="center"/>
    </xf>
    <xf numFmtId="166" fontId="82" fillId="8" borderId="23" xfId="2" applyNumberFormat="1" applyFont="1" applyFill="1" applyBorder="1" applyAlignment="1">
      <alignment horizontal="center" vertical="center"/>
    </xf>
    <xf numFmtId="164" fontId="20" fillId="0" borderId="23" xfId="2" applyNumberFormat="1" applyFont="1" applyBorder="1" applyAlignment="1">
      <alignment horizontal="center" vertical="center" wrapText="1"/>
    </xf>
    <xf numFmtId="164" fontId="20" fillId="0" borderId="23" xfId="2" applyNumberFormat="1" applyFont="1" applyFill="1" applyBorder="1" applyAlignment="1">
      <alignment horizontal="center" vertical="center"/>
    </xf>
    <xf numFmtId="164" fontId="82" fillId="8" borderId="23" xfId="2" applyNumberFormat="1" applyFont="1" applyFill="1" applyBorder="1" applyAlignment="1">
      <alignment horizontal="center" vertical="center"/>
    </xf>
    <xf numFmtId="0" fontId="20" fillId="0" borderId="1" xfId="0" applyFont="1" applyBorder="1"/>
    <xf numFmtId="0" fontId="80" fillId="9" borderId="0" xfId="0" applyFont="1" applyFill="1" applyBorder="1" applyAlignment="1"/>
    <xf numFmtId="0" fontId="79" fillId="9" borderId="0" xfId="0" applyFont="1" applyFill="1" applyBorder="1"/>
    <xf numFmtId="0" fontId="79" fillId="9" borderId="0" xfId="0" applyFont="1" applyFill="1" applyBorder="1" applyAlignment="1">
      <alignment horizontal="center"/>
    </xf>
    <xf numFmtId="0" fontId="20" fillId="0" borderId="2" xfId="0" applyFont="1" applyBorder="1"/>
    <xf numFmtId="2" fontId="20" fillId="0" borderId="2" xfId="0" applyNumberFormat="1" applyFont="1" applyBorder="1"/>
    <xf numFmtId="0" fontId="50" fillId="6" borderId="8" xfId="0" applyFont="1" applyFill="1" applyBorder="1" applyAlignment="1">
      <alignment horizontal="center" vertical="center" wrapText="1"/>
    </xf>
    <xf numFmtId="0" fontId="50" fillId="6" borderId="1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4" fontId="20" fillId="0" borderId="36" xfId="0" applyNumberFormat="1" applyFont="1" applyBorder="1" applyAlignment="1">
      <alignment horizontal="center" vertical="center"/>
    </xf>
    <xf numFmtId="0" fontId="82" fillId="8" borderId="0" xfId="0" applyFont="1" applyFill="1"/>
    <xf numFmtId="0" fontId="82" fillId="8" borderId="0" xfId="0" applyFont="1" applyFill="1" applyAlignment="1">
      <alignment horizontal="center"/>
    </xf>
    <xf numFmtId="0" fontId="82" fillId="8" borderId="2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166" fontId="82" fillId="8" borderId="0" xfId="2" applyNumberFormat="1" applyFont="1" applyFill="1" applyAlignment="1">
      <alignment horizontal="center"/>
    </xf>
    <xf numFmtId="43" fontId="82" fillId="8" borderId="0" xfId="2" applyNumberFormat="1" applyFont="1" applyFill="1" applyAlignment="1">
      <alignment horizontal="center"/>
    </xf>
    <xf numFmtId="0" fontId="20" fillId="0" borderId="0" xfId="0" quotePrefix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4" fontId="20" fillId="13" borderId="23" xfId="2" applyNumberFormat="1" applyFont="1" applyFill="1" applyBorder="1" applyAlignment="1">
      <alignment horizontal="center" vertical="center"/>
    </xf>
    <xf numFmtId="9" fontId="82" fillId="8" borderId="0" xfId="0" applyNumberFormat="1" applyFont="1" applyFill="1" applyAlignment="1">
      <alignment horizontal="center"/>
    </xf>
    <xf numFmtId="164" fontId="20" fillId="0" borderId="0" xfId="2" applyFont="1" applyAlignment="1"/>
    <xf numFmtId="43" fontId="2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20" fillId="0" borderId="23" xfId="0" applyFont="1" applyBorder="1" applyAlignment="1">
      <alignment horizontal="center" vertical="center"/>
    </xf>
    <xf numFmtId="0" fontId="50" fillId="0" borderId="23" xfId="0" applyFont="1" applyBorder="1"/>
    <xf numFmtId="0" fontId="82" fillId="8" borderId="23" xfId="0" applyFont="1" applyFill="1" applyBorder="1"/>
    <xf numFmtId="0" fontId="81" fillId="8" borderId="23" xfId="0" applyFont="1" applyFill="1" applyBorder="1"/>
    <xf numFmtId="2" fontId="81" fillId="8" borderId="23" xfId="0" applyNumberFormat="1" applyFont="1" applyFill="1" applyBorder="1"/>
    <xf numFmtId="0" fontId="50" fillId="12" borderId="23" xfId="0" applyFont="1" applyFill="1" applyBorder="1"/>
    <xf numFmtId="0" fontId="20" fillId="12" borderId="23" xfId="0" applyFont="1" applyFill="1" applyBorder="1"/>
    <xf numFmtId="0" fontId="82" fillId="8" borderId="23" xfId="0" applyFont="1" applyFill="1" applyBorder="1" applyAlignment="1">
      <alignment vertical="center"/>
    </xf>
    <xf numFmtId="2" fontId="82" fillId="8" borderId="0" xfId="0" applyNumberFormat="1" applyFont="1" applyFill="1" applyAlignment="1">
      <alignment vertical="center"/>
    </xf>
    <xf numFmtId="0" fontId="79" fillId="9" borderId="0" xfId="0" applyFont="1" applyFill="1"/>
    <xf numFmtId="2" fontId="80" fillId="9" borderId="0" xfId="0" applyNumberFormat="1" applyFont="1" applyFill="1"/>
    <xf numFmtId="0" fontId="89" fillId="8" borderId="0" xfId="0" applyFont="1" applyFill="1" applyBorder="1" applyAlignment="1">
      <alignment horizontal="center" vertical="center" wrapText="1"/>
    </xf>
    <xf numFmtId="0" fontId="20" fillId="0" borderId="0" xfId="0" applyFont="1" applyBorder="1"/>
    <xf numFmtId="0" fontId="82" fillId="8" borderId="0" xfId="0" applyFont="1" applyFill="1" applyBorder="1"/>
    <xf numFmtId="2" fontId="20" fillId="0" borderId="23" xfId="0" applyNumberFormat="1" applyFont="1" applyBorder="1" applyAlignment="1">
      <alignment horizontal="center"/>
    </xf>
    <xf numFmtId="0" fontId="20" fillId="0" borderId="23" xfId="0" applyFont="1" applyBorder="1" applyAlignment="1">
      <alignment vertical="center" wrapText="1"/>
    </xf>
    <xf numFmtId="0" fontId="50" fillId="0" borderId="23" xfId="0" applyFont="1" applyBorder="1" applyAlignment="1">
      <alignment horizontal="center" vertical="center"/>
    </xf>
    <xf numFmtId="9" fontId="20" fillId="0" borderId="23" xfId="0" applyNumberFormat="1" applyFont="1" applyBorder="1" applyAlignment="1">
      <alignment horizontal="center" vertical="center"/>
    </xf>
    <xf numFmtId="167" fontId="20" fillId="0" borderId="23" xfId="1" applyNumberFormat="1" applyFont="1" applyBorder="1" applyAlignment="1">
      <alignment horizontal="center" vertical="center"/>
    </xf>
    <xf numFmtId="43" fontId="20" fillId="0" borderId="23" xfId="0" applyNumberFormat="1" applyFont="1" applyBorder="1" applyAlignment="1">
      <alignment horizontal="center" vertical="center"/>
    </xf>
    <xf numFmtId="0" fontId="90" fillId="0" borderId="0" xfId="0" applyFont="1"/>
    <xf numFmtId="0" fontId="90" fillId="0" borderId="0" xfId="0" applyFont="1" applyAlignment="1">
      <alignment horizontal="right"/>
    </xf>
    <xf numFmtId="0" fontId="88" fillId="0" borderId="0" xfId="0" applyFont="1"/>
    <xf numFmtId="0" fontId="50" fillId="0" borderId="5" xfId="0" applyFont="1" applyBorder="1"/>
    <xf numFmtId="0" fontId="50" fillId="0" borderId="0" xfId="0" applyFont="1"/>
    <xf numFmtId="0" fontId="91" fillId="0" borderId="0" xfId="0" applyFont="1" applyAlignment="1">
      <alignment horizontal="right"/>
    </xf>
    <xf numFmtId="165" fontId="50" fillId="0" borderId="3" xfId="3" applyFont="1" applyFill="1" applyBorder="1" applyAlignment="1">
      <alignment horizontal="center"/>
    </xf>
    <xf numFmtId="0" fontId="50" fillId="0" borderId="3" xfId="0" applyFont="1" applyBorder="1" applyAlignment="1">
      <alignment horizontal="centerContinuous"/>
    </xf>
    <xf numFmtId="2" fontId="50" fillId="0" borderId="3" xfId="0" applyNumberFormat="1" applyFont="1" applyBorder="1"/>
    <xf numFmtId="0" fontId="50" fillId="0" borderId="0" xfId="0" applyFont="1" applyAlignment="1">
      <alignment horizontal="left"/>
    </xf>
    <xf numFmtId="164" fontId="50" fillId="0" borderId="0" xfId="2" applyFont="1" applyFill="1" applyBorder="1" applyAlignment="1">
      <alignment horizontal="right"/>
    </xf>
    <xf numFmtId="0" fontId="50" fillId="0" borderId="6" xfId="0" applyFont="1" applyBorder="1"/>
    <xf numFmtId="164" fontId="20" fillId="0" borderId="0" xfId="2" applyFont="1" applyFill="1" applyBorder="1"/>
    <xf numFmtId="0" fontId="50" fillId="0" borderId="3" xfId="0" applyFont="1" applyBorder="1" applyAlignment="1">
      <alignment horizontal="center"/>
    </xf>
    <xf numFmtId="164" fontId="50" fillId="0" borderId="3" xfId="0" applyNumberFormat="1" applyFont="1" applyBorder="1"/>
    <xf numFmtId="164" fontId="20" fillId="0" borderId="0" xfId="0" applyNumberFormat="1" applyFont="1"/>
    <xf numFmtId="0" fontId="50" fillId="0" borderId="5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10" fontId="20" fillId="0" borderId="0" xfId="1" applyNumberFormat="1" applyFont="1" applyFill="1" applyBorder="1" applyAlignment="1">
      <alignment horizontal="right"/>
    </xf>
    <xf numFmtId="10" fontId="20" fillId="0" borderId="0" xfId="0" applyNumberFormat="1" applyFont="1"/>
    <xf numFmtId="0" fontId="50" fillId="0" borderId="3" xfId="0" applyFont="1" applyBorder="1"/>
    <xf numFmtId="0" fontId="87" fillId="0" borderId="0" xfId="0" applyFont="1" applyAlignment="1"/>
    <xf numFmtId="0" fontId="50" fillId="0" borderId="0" xfId="0" applyFont="1" applyAlignment="1"/>
    <xf numFmtId="0" fontId="92" fillId="9" borderId="0" xfId="0" applyFont="1" applyFill="1"/>
    <xf numFmtId="0" fontId="92" fillId="9" borderId="0" xfId="0" applyFont="1" applyFill="1" applyAlignment="1">
      <alignment horizontal="right"/>
    </xf>
    <xf numFmtId="2" fontId="50" fillId="0" borderId="23" xfId="0" applyNumberFormat="1" applyFont="1" applyBorder="1" applyAlignment="1">
      <alignment horizontal="center" vertical="center"/>
    </xf>
    <xf numFmtId="2" fontId="50" fillId="12" borderId="23" xfId="0" applyNumberFormat="1" applyFont="1" applyFill="1" applyBorder="1" applyAlignment="1">
      <alignment horizontal="center" vertical="center"/>
    </xf>
    <xf numFmtId="2" fontId="20" fillId="12" borderId="23" xfId="0" applyNumberFormat="1" applyFont="1" applyFill="1" applyBorder="1" applyAlignment="1">
      <alignment horizontal="center" vertical="center"/>
    </xf>
    <xf numFmtId="2" fontId="81" fillId="8" borderId="23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vertical="top" wrapText="1"/>
    </xf>
    <xf numFmtId="0" fontId="20" fillId="0" borderId="23" xfId="0" applyFont="1" applyBorder="1" applyAlignment="1">
      <alignment horizontal="left" vertical="center" wrapText="1" indent="4"/>
    </xf>
    <xf numFmtId="0" fontId="20" fillId="0" borderId="0" xfId="0" applyFont="1" applyAlignment="1">
      <alignment wrapText="1"/>
    </xf>
    <xf numFmtId="0" fontId="82" fillId="8" borderId="0" xfId="0" applyFont="1" applyFill="1" applyAlignment="1">
      <alignment horizontal="left" vertical="center"/>
    </xf>
    <xf numFmtId="0" fontId="50" fillId="0" borderId="0" xfId="0" applyFont="1" applyAlignment="1">
      <alignment horizontal="center"/>
    </xf>
    <xf numFmtId="0" fontId="82" fillId="8" borderId="5" xfId="0" applyFont="1" applyFill="1" applyBorder="1"/>
    <xf numFmtId="0" fontId="81" fillId="8" borderId="6" xfId="0" applyFont="1" applyFill="1" applyBorder="1"/>
    <xf numFmtId="165" fontId="82" fillId="8" borderId="3" xfId="3" applyFont="1" applyFill="1" applyBorder="1" applyAlignment="1">
      <alignment horizontal="center"/>
    </xf>
    <xf numFmtId="164" fontId="20" fillId="0" borderId="0" xfId="2" applyFont="1"/>
    <xf numFmtId="0" fontId="20" fillId="0" borderId="6" xfId="0" applyFont="1" applyBorder="1"/>
    <xf numFmtId="0" fontId="4" fillId="0" borderId="0" xfId="4"/>
    <xf numFmtId="0" fontId="93" fillId="0" borderId="0" xfId="4" applyFont="1" applyFill="1" applyBorder="1" applyAlignment="1">
      <alignment horizontal="left"/>
    </xf>
    <xf numFmtId="0" fontId="83" fillId="0" borderId="0" xfId="4" applyFont="1" applyAlignment="1">
      <alignment vertical="center"/>
    </xf>
    <xf numFmtId="0" fontId="93" fillId="14" borderId="3" xfId="4" applyFont="1" applyFill="1" applyBorder="1" applyAlignment="1">
      <alignment horizontal="left" vertical="center" wrapText="1"/>
    </xf>
    <xf numFmtId="0" fontId="93" fillId="14" borderId="3" xfId="4" applyFont="1" applyFill="1" applyBorder="1" applyAlignment="1">
      <alignment horizontal="right" vertical="center" wrapText="1"/>
    </xf>
    <xf numFmtId="0" fontId="83" fillId="0" borderId="38" xfId="4" applyFont="1" applyBorder="1" applyAlignment="1"/>
    <xf numFmtId="0" fontId="83" fillId="0" borderId="24" xfId="4" applyFont="1" applyBorder="1" applyAlignment="1"/>
    <xf numFmtId="0" fontId="83" fillId="0" borderId="5" xfId="4" applyFont="1" applyBorder="1" applyAlignment="1"/>
    <xf numFmtId="0" fontId="83" fillId="0" borderId="39" xfId="4" applyFont="1" applyBorder="1" applyAlignment="1"/>
    <xf numFmtId="0" fontId="83" fillId="15" borderId="32" xfId="4" applyFont="1" applyFill="1" applyBorder="1" applyAlignment="1"/>
    <xf numFmtId="166" fontId="83" fillId="15" borderId="24" xfId="5" applyNumberFormat="1" applyFont="1" applyFill="1" applyBorder="1" applyAlignment="1" applyProtection="1"/>
    <xf numFmtId="164" fontId="83" fillId="15" borderId="24" xfId="5" applyFont="1" applyFill="1" applyBorder="1" applyAlignment="1" applyProtection="1"/>
    <xf numFmtId="164" fontId="83" fillId="15" borderId="0" xfId="5" applyFont="1" applyFill="1" applyBorder="1" applyAlignment="1" applyProtection="1"/>
    <xf numFmtId="164" fontId="83" fillId="15" borderId="39" xfId="5" applyFont="1" applyFill="1" applyBorder="1" applyAlignment="1" applyProtection="1"/>
    <xf numFmtId="164" fontId="83" fillId="15" borderId="24" xfId="5" applyNumberFormat="1" applyFont="1" applyFill="1" applyBorder="1" applyAlignment="1" applyProtection="1"/>
    <xf numFmtId="166" fontId="83" fillId="15" borderId="0" xfId="5" applyNumberFormat="1" applyFont="1" applyFill="1" applyBorder="1" applyAlignment="1" applyProtection="1"/>
    <xf numFmtId="0" fontId="83" fillId="0" borderId="32" xfId="4" applyFont="1" applyBorder="1" applyAlignment="1"/>
    <xf numFmtId="166" fontId="83" fillId="0" borderId="24" xfId="5" applyNumberFormat="1" applyFont="1" applyBorder="1" applyAlignment="1" applyProtection="1"/>
    <xf numFmtId="166" fontId="83" fillId="0" borderId="0" xfId="5" applyNumberFormat="1" applyFont="1" applyBorder="1" applyAlignment="1" applyProtection="1"/>
    <xf numFmtId="164" fontId="83" fillId="0" borderId="0" xfId="5" applyNumberFormat="1" applyFont="1" applyBorder="1" applyAlignment="1" applyProtection="1"/>
    <xf numFmtId="166" fontId="83" fillId="0" borderId="40" xfId="5" applyNumberFormat="1" applyFont="1" applyBorder="1" applyAlignment="1" applyProtection="1"/>
    <xf numFmtId="0" fontId="83" fillId="16" borderId="41" xfId="4" applyFont="1" applyFill="1" applyBorder="1" applyAlignment="1"/>
    <xf numFmtId="166" fontId="83" fillId="16" borderId="23" xfId="5" applyNumberFormat="1" applyFont="1" applyFill="1" applyBorder="1" applyAlignment="1" applyProtection="1"/>
    <xf numFmtId="166" fontId="83" fillId="16" borderId="2" xfId="5" applyNumberFormat="1" applyFont="1" applyFill="1" applyBorder="1" applyAlignment="1" applyProtection="1"/>
    <xf numFmtId="164" fontId="83" fillId="16" borderId="2" xfId="5" applyNumberFormat="1" applyFont="1" applyFill="1" applyBorder="1" applyAlignment="1" applyProtection="1"/>
    <xf numFmtId="164" fontId="83" fillId="16" borderId="27" xfId="5" applyNumberFormat="1" applyFont="1" applyFill="1" applyBorder="1" applyAlignment="1" applyProtection="1"/>
    <xf numFmtId="166" fontId="83" fillId="0" borderId="39" xfId="5" applyNumberFormat="1" applyFont="1" applyBorder="1" applyAlignment="1" applyProtection="1"/>
    <xf numFmtId="166" fontId="83" fillId="15" borderId="39" xfId="5" applyNumberFormat="1" applyFont="1" applyFill="1" applyBorder="1" applyAlignment="1" applyProtection="1"/>
    <xf numFmtId="166" fontId="83" fillId="0" borderId="0" xfId="4" applyNumberFormat="1" applyFont="1" applyAlignment="1"/>
    <xf numFmtId="9" fontId="83" fillId="15" borderId="32" xfId="4" applyNumberFormat="1" applyFont="1" applyFill="1" applyBorder="1" applyAlignment="1"/>
    <xf numFmtId="10" fontId="83" fillId="15" borderId="32" xfId="4" applyNumberFormat="1" applyFont="1" applyFill="1" applyBorder="1" applyAlignment="1"/>
    <xf numFmtId="9" fontId="83" fillId="0" borderId="0" xfId="4" applyNumberFormat="1" applyFont="1" applyAlignment="1"/>
    <xf numFmtId="166" fontId="83" fillId="0" borderId="0" xfId="5" applyNumberFormat="1" applyFont="1" applyAlignment="1" applyProtection="1"/>
    <xf numFmtId="43" fontId="83" fillId="0" borderId="0" xfId="4" applyNumberFormat="1" applyFont="1" applyAlignment="1"/>
    <xf numFmtId="164" fontId="83" fillId="0" borderId="0" xfId="4" applyNumberFormat="1" applyFont="1" applyAlignment="1">
      <alignment vertical="center"/>
    </xf>
    <xf numFmtId="0" fontId="93" fillId="14" borderId="0" xfId="4" applyFont="1" applyFill="1" applyBorder="1" applyAlignment="1">
      <alignment horizontal="right" vertical="center" wrapText="1"/>
    </xf>
    <xf numFmtId="0" fontId="83" fillId="0" borderId="0" xfId="4" applyFont="1" applyBorder="1" applyAlignment="1"/>
    <xf numFmtId="0" fontId="50" fillId="0" borderId="23" xfId="0" applyFont="1" applyFill="1" applyBorder="1" applyAlignment="1">
      <alignment vertical="center"/>
    </xf>
    <xf numFmtId="9" fontId="50" fillId="0" borderId="2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/>
    <xf numFmtId="0" fontId="5" fillId="0" borderId="0" xfId="0" applyFont="1" applyAlignment="1"/>
    <xf numFmtId="0" fontId="9" fillId="0" borderId="0" xfId="0" applyFont="1" applyAlignment="1">
      <alignment horizontal="center"/>
    </xf>
    <xf numFmtId="10" fontId="20" fillId="0" borderId="23" xfId="1" applyNumberFormat="1" applyFont="1" applyBorder="1" applyAlignment="1">
      <alignment horizontal="center" vertical="center"/>
    </xf>
    <xf numFmtId="2" fontId="20" fillId="0" borderId="0" xfId="1" applyNumberFormat="1" applyFont="1" applyAlignment="1">
      <alignment horizontal="center"/>
    </xf>
    <xf numFmtId="166" fontId="20" fillId="0" borderId="0" xfId="0" applyNumberFormat="1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0" fontId="20" fillId="0" borderId="0" xfId="1" applyNumberFormat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50" fillId="0" borderId="3" xfId="0" applyFont="1" applyBorder="1" applyAlignment="1">
      <alignment horizontal="left"/>
    </xf>
    <xf numFmtId="0" fontId="1" fillId="0" borderId="0" xfId="0" applyFont="1" applyAlignment="1"/>
    <xf numFmtId="0" fontId="20" fillId="0" borderId="23" xfId="0" applyFont="1" applyBorder="1" applyAlignment="1">
      <alignment horizontal="center" vertical="center"/>
    </xf>
    <xf numFmtId="10" fontId="82" fillId="8" borderId="0" xfId="0" applyNumberFormat="1" applyFont="1" applyFill="1" applyAlignment="1">
      <alignment horizontal="center"/>
    </xf>
    <xf numFmtId="2" fontId="94" fillId="0" borderId="0" xfId="0" applyNumberFormat="1" applyFont="1"/>
    <xf numFmtId="0" fontId="94" fillId="0" borderId="0" xfId="0" applyFont="1"/>
    <xf numFmtId="0" fontId="20" fillId="0" borderId="3" xfId="0" applyFont="1" applyBorder="1"/>
    <xf numFmtId="2" fontId="20" fillId="0" borderId="3" xfId="0" applyNumberFormat="1" applyFont="1" applyBorder="1"/>
    <xf numFmtId="2" fontId="20" fillId="0" borderId="1" xfId="0" applyNumberFormat="1" applyFont="1" applyBorder="1"/>
    <xf numFmtId="9" fontId="20" fillId="0" borderId="0" xfId="1" applyFont="1"/>
    <xf numFmtId="168" fontId="20" fillId="0" borderId="0" xfId="0" applyNumberFormat="1" applyFont="1"/>
    <xf numFmtId="10" fontId="20" fillId="0" borderId="0" xfId="1" applyNumberFormat="1" applyFont="1"/>
    <xf numFmtId="0" fontId="82" fillId="8" borderId="0" xfId="0" applyFont="1" applyFill="1" applyAlignment="1">
      <alignment horizontal="left" vertical="center"/>
    </xf>
    <xf numFmtId="0" fontId="81" fillId="8" borderId="23" xfId="0" applyFont="1" applyFill="1" applyBorder="1" applyAlignment="1">
      <alignment vertical="center"/>
    </xf>
    <xf numFmtId="0" fontId="50" fillId="17" borderId="23" xfId="0" applyFont="1" applyFill="1" applyBorder="1" applyAlignment="1">
      <alignment vertical="center"/>
    </xf>
    <xf numFmtId="0" fontId="50" fillId="17" borderId="23" xfId="0" applyFont="1" applyFill="1" applyBorder="1" applyAlignment="1">
      <alignment horizontal="center" vertical="center"/>
    </xf>
    <xf numFmtId="2" fontId="50" fillId="17" borderId="23" xfId="0" applyNumberFormat="1" applyFont="1" applyFill="1" applyBorder="1" applyAlignment="1">
      <alignment horizontal="center" vertical="center"/>
    </xf>
    <xf numFmtId="2" fontId="82" fillId="8" borderId="23" xfId="0" applyNumberFormat="1" applyFont="1" applyFill="1" applyBorder="1" applyAlignment="1">
      <alignment horizontal="center" vertical="center"/>
    </xf>
    <xf numFmtId="0" fontId="90" fillId="17" borderId="23" xfId="0" applyFont="1" applyFill="1" applyBorder="1" applyAlignment="1">
      <alignment vertical="center"/>
    </xf>
    <xf numFmtId="0" fontId="90" fillId="17" borderId="23" xfId="0" applyFont="1" applyFill="1" applyBorder="1" applyAlignment="1">
      <alignment horizontal="center" vertical="center"/>
    </xf>
    <xf numFmtId="10" fontId="90" fillId="17" borderId="23" xfId="0" applyNumberFormat="1" applyFont="1" applyFill="1" applyBorder="1" applyAlignment="1">
      <alignment horizontal="center" vertical="center"/>
    </xf>
    <xf numFmtId="2" fontId="90" fillId="17" borderId="23" xfId="0" applyNumberFormat="1" applyFont="1" applyFill="1" applyBorder="1" applyAlignment="1">
      <alignment horizontal="center" vertical="center"/>
    </xf>
    <xf numFmtId="0" fontId="50" fillId="0" borderId="23" xfId="0" applyFont="1" applyBorder="1" applyAlignment="1"/>
    <xf numFmtId="0" fontId="50" fillId="0" borderId="23" xfId="0" applyFont="1" applyBorder="1" applyAlignment="1">
      <alignment horizontal="center"/>
    </xf>
    <xf numFmtId="0" fontId="20" fillId="10" borderId="23" xfId="0" applyFont="1" applyFill="1" applyBorder="1"/>
    <xf numFmtId="0" fontId="20" fillId="0" borderId="23" xfId="0" applyFont="1" applyBorder="1" applyAlignment="1">
      <alignment horizontal="center"/>
    </xf>
    <xf numFmtId="0" fontId="20" fillId="0" borderId="23" xfId="0" applyFont="1" applyBorder="1" applyAlignment="1">
      <alignment horizontal="right"/>
    </xf>
    <xf numFmtId="0" fontId="50" fillId="0" borderId="23" xfId="0" applyFont="1" applyBorder="1" applyAlignment="1">
      <alignment horizontal="left"/>
    </xf>
    <xf numFmtId="2" fontId="50" fillId="0" borderId="23" xfId="0" applyNumberFormat="1" applyFont="1" applyBorder="1" applyAlignment="1">
      <alignment horizontal="center"/>
    </xf>
    <xf numFmtId="10" fontId="80" fillId="10" borderId="23" xfId="0" applyNumberFormat="1" applyFont="1" applyFill="1" applyBorder="1" applyAlignment="1">
      <alignment horizontal="center"/>
    </xf>
    <xf numFmtId="2" fontId="20" fillId="7" borderId="23" xfId="0" applyNumberFormat="1" applyFont="1" applyFill="1" applyBorder="1" applyAlignment="1">
      <alignment horizontal="center"/>
    </xf>
    <xf numFmtId="2" fontId="20" fillId="0" borderId="23" xfId="0" applyNumberFormat="1" applyFont="1" applyFill="1" applyBorder="1" applyAlignment="1">
      <alignment horizontal="center"/>
    </xf>
    <xf numFmtId="0" fontId="20" fillId="0" borderId="23" xfId="0" applyFont="1" applyFill="1" applyBorder="1"/>
    <xf numFmtId="0" fontId="20" fillId="0" borderId="23" xfId="0" applyFont="1" applyBorder="1" applyAlignment="1">
      <alignment wrapText="1"/>
    </xf>
    <xf numFmtId="0" fontId="50" fillId="0" borderId="23" xfId="0" applyFont="1" applyBorder="1" applyAlignment="1">
      <alignment horizontal="right"/>
    </xf>
    <xf numFmtId="10" fontId="20" fillId="0" borderId="23" xfId="0" applyNumberFormat="1" applyFont="1" applyBorder="1"/>
    <xf numFmtId="10" fontId="90" fillId="0" borderId="23" xfId="1" applyNumberFormat="1" applyFont="1" applyBorder="1" applyAlignment="1">
      <alignment horizontal="center"/>
    </xf>
    <xf numFmtId="10" fontId="20" fillId="10" borderId="23" xfId="1" applyNumberFormat="1" applyFont="1" applyFill="1" applyBorder="1" applyAlignment="1">
      <alignment horizontal="center"/>
    </xf>
    <xf numFmtId="0" fontId="82" fillId="8" borderId="23" xfId="0" applyFont="1" applyFill="1" applyBorder="1" applyAlignment="1">
      <alignment horizontal="center"/>
    </xf>
    <xf numFmtId="0" fontId="85" fillId="0" borderId="23" xfId="0" applyFont="1" applyBorder="1"/>
    <xf numFmtId="9" fontId="20" fillId="0" borderId="23" xfId="1" applyNumberFormat="1" applyFont="1" applyBorder="1" applyAlignment="1">
      <alignment horizontal="center"/>
    </xf>
    <xf numFmtId="2" fontId="50" fillId="7" borderId="23" xfId="0" applyNumberFormat="1" applyFont="1" applyFill="1" applyBorder="1" applyAlignment="1">
      <alignment horizontal="center"/>
    </xf>
    <xf numFmtId="2" fontId="85" fillId="0" borderId="23" xfId="0" applyNumberFormat="1" applyFont="1" applyBorder="1" applyAlignment="1">
      <alignment horizontal="center"/>
    </xf>
    <xf numFmtId="0" fontId="82" fillId="8" borderId="23" xfId="0" applyFont="1" applyFill="1" applyBorder="1" applyAlignment="1">
      <alignment horizontal="left" vertical="center"/>
    </xf>
    <xf numFmtId="0" fontId="83" fillId="0" borderId="23" xfId="0" applyFont="1" applyBorder="1" applyAlignment="1">
      <alignment horizontal="left"/>
    </xf>
    <xf numFmtId="2" fontId="20" fillId="11" borderId="23" xfId="0" applyNumberFormat="1" applyFont="1" applyFill="1" applyBorder="1" applyAlignment="1">
      <alignment horizontal="center" vertical="center"/>
    </xf>
    <xf numFmtId="0" fontId="84" fillId="0" borderId="23" xfId="0" applyFont="1" applyBorder="1" applyAlignment="1">
      <alignment horizontal="left"/>
    </xf>
    <xf numFmtId="2" fontId="50" fillId="11" borderId="23" xfId="0" applyNumberFormat="1" applyFont="1" applyFill="1" applyBorder="1" applyAlignment="1">
      <alignment horizontal="center"/>
    </xf>
    <xf numFmtId="0" fontId="20" fillId="11" borderId="23" xfId="0" applyFont="1" applyFill="1" applyBorder="1"/>
    <xf numFmtId="2" fontId="50" fillId="11" borderId="23" xfId="0" applyNumberFormat="1" applyFont="1" applyFill="1" applyBorder="1"/>
    <xf numFmtId="0" fontId="50" fillId="11" borderId="23" xfId="0" applyFont="1" applyFill="1" applyBorder="1"/>
    <xf numFmtId="0" fontId="80" fillId="9" borderId="27" xfId="0" applyFont="1" applyFill="1" applyBorder="1" applyAlignment="1">
      <alignment vertical="center"/>
    </xf>
    <xf numFmtId="0" fontId="78" fillId="8" borderId="1" xfId="0" applyFont="1" applyFill="1" applyBorder="1" applyAlignment="1">
      <alignment horizontal="left"/>
    </xf>
    <xf numFmtId="0" fontId="78" fillId="8" borderId="2" xfId="0" applyFont="1" applyFill="1" applyBorder="1" applyAlignment="1">
      <alignment horizontal="left"/>
    </xf>
    <xf numFmtId="2" fontId="83" fillId="0" borderId="23" xfId="0" applyNumberFormat="1" applyFont="1" applyBorder="1" applyAlignment="1">
      <alignment horizontal="left"/>
    </xf>
    <xf numFmtId="2" fontId="84" fillId="0" borderId="23" xfId="0" applyNumberFormat="1" applyFont="1" applyBorder="1" applyAlignment="1">
      <alignment horizontal="left"/>
    </xf>
    <xf numFmtId="2" fontId="84" fillId="0" borderId="23" xfId="0" applyNumberFormat="1" applyFont="1" applyBorder="1" applyAlignment="1">
      <alignment horizontal="center"/>
    </xf>
    <xf numFmtId="2" fontId="83" fillId="0" borderId="23" xfId="0" applyNumberFormat="1" applyFont="1" applyBorder="1" applyAlignment="1">
      <alignment horizontal="center"/>
    </xf>
    <xf numFmtId="0" fontId="83" fillId="0" borderId="23" xfId="0" applyFont="1" applyBorder="1" applyAlignment="1">
      <alignment horizontal="center"/>
    </xf>
    <xf numFmtId="0" fontId="20" fillId="11" borderId="23" xfId="0" applyFont="1" applyFill="1" applyBorder="1" applyAlignment="1">
      <alignment horizontal="center"/>
    </xf>
    <xf numFmtId="0" fontId="85" fillId="0" borderId="0" xfId="0" applyFont="1"/>
    <xf numFmtId="2" fontId="50" fillId="0" borderId="0" xfId="0" applyNumberFormat="1" applyFont="1"/>
    <xf numFmtId="164" fontId="50" fillId="0" borderId="0" xfId="2" applyFont="1"/>
    <xf numFmtId="164" fontId="50" fillId="0" borderId="0" xfId="2" applyFont="1" applyFill="1"/>
    <xf numFmtId="164" fontId="20" fillId="0" borderId="23" xfId="2" applyFont="1" applyBorder="1"/>
    <xf numFmtId="166" fontId="50" fillId="18" borderId="23" xfId="2" applyNumberFormat="1" applyFont="1" applyFill="1" applyBorder="1"/>
    <xf numFmtId="164" fontId="20" fillId="0" borderId="23" xfId="2" applyFont="1" applyFill="1" applyBorder="1" applyAlignment="1">
      <alignment vertical="top" wrapText="1"/>
    </xf>
    <xf numFmtId="164" fontId="20" fillId="0" borderId="23" xfId="2" applyFont="1" applyBorder="1" applyAlignment="1">
      <alignment horizontal="center"/>
    </xf>
    <xf numFmtId="164" fontId="20" fillId="0" borderId="23" xfId="2" applyFont="1" applyBorder="1" applyAlignment="1">
      <alignment vertical="top" wrapText="1"/>
    </xf>
    <xf numFmtId="164" fontId="50" fillId="0" borderId="23" xfId="2" applyFont="1" applyBorder="1" applyAlignment="1">
      <alignment vertical="top" wrapText="1"/>
    </xf>
    <xf numFmtId="164" fontId="50" fillId="0" borderId="23" xfId="2" applyFont="1" applyBorder="1" applyAlignment="1">
      <alignment horizontal="center"/>
    </xf>
    <xf numFmtId="168" fontId="20" fillId="0" borderId="1" xfId="0" applyNumberFormat="1" applyFont="1" applyBorder="1"/>
    <xf numFmtId="0" fontId="50" fillId="0" borderId="3" xfId="0" applyFont="1" applyBorder="1" applyAlignment="1">
      <alignment horizontal="center" vertical="center"/>
    </xf>
    <xf numFmtId="168" fontId="20" fillId="0" borderId="0" xfId="0" applyNumberFormat="1" applyFont="1" applyAlignment="1">
      <alignment horizontal="center" vertical="center"/>
    </xf>
    <xf numFmtId="168" fontId="85" fillId="0" borderId="0" xfId="0" applyNumberFormat="1" applyFont="1" applyAlignment="1">
      <alignment horizontal="center" vertical="center"/>
    </xf>
    <xf numFmtId="168" fontId="20" fillId="0" borderId="1" xfId="0" applyNumberFormat="1" applyFont="1" applyBorder="1" applyAlignment="1">
      <alignment horizontal="center" vertical="center"/>
    </xf>
    <xf numFmtId="168" fontId="50" fillId="0" borderId="0" xfId="0" applyNumberFormat="1" applyFont="1" applyAlignment="1">
      <alignment horizontal="center" vertical="center"/>
    </xf>
    <xf numFmtId="168" fontId="20" fillId="0" borderId="5" xfId="0" applyNumberFormat="1" applyFont="1" applyBorder="1" applyAlignment="1">
      <alignment horizontal="center" vertical="center"/>
    </xf>
    <xf numFmtId="168" fontId="50" fillId="0" borderId="5" xfId="0" applyNumberFormat="1" applyFont="1" applyBorder="1" applyAlignment="1">
      <alignment horizontal="center" vertical="center"/>
    </xf>
    <xf numFmtId="168" fontId="20" fillId="0" borderId="0" xfId="0" applyNumberFormat="1" applyFont="1" applyBorder="1" applyAlignment="1">
      <alignment horizontal="center" vertical="center"/>
    </xf>
    <xf numFmtId="168" fontId="50" fillId="0" borderId="3" xfId="0" applyNumberFormat="1" applyFont="1" applyBorder="1" applyAlignment="1">
      <alignment horizontal="center" vertical="center"/>
    </xf>
    <xf numFmtId="164" fontId="50" fillId="0" borderId="0" xfId="2" applyFont="1" applyAlignment="1">
      <alignment horizontal="center" vertical="center"/>
    </xf>
    <xf numFmtId="164" fontId="50" fillId="0" borderId="0" xfId="2" applyFont="1" applyFill="1" applyAlignment="1">
      <alignment horizontal="center" vertical="center"/>
    </xf>
    <xf numFmtId="164" fontId="20" fillId="0" borderId="0" xfId="2" applyFont="1" applyAlignment="1">
      <alignment horizontal="center" vertical="center"/>
    </xf>
    <xf numFmtId="166" fontId="50" fillId="18" borderId="23" xfId="2" applyNumberFormat="1" applyFont="1" applyFill="1" applyBorder="1" applyAlignment="1">
      <alignment horizontal="center" vertical="center"/>
    </xf>
    <xf numFmtId="164" fontId="20" fillId="0" borderId="23" xfId="2" applyFont="1" applyBorder="1" applyAlignment="1">
      <alignment horizontal="center" vertical="center"/>
    </xf>
    <xf numFmtId="164" fontId="50" fillId="0" borderId="23" xfId="2" applyFont="1" applyBorder="1" applyAlignment="1">
      <alignment horizontal="center" vertical="center"/>
    </xf>
    <xf numFmtId="168" fontId="20" fillId="0" borderId="3" xfId="0" applyNumberFormat="1" applyFont="1" applyBorder="1" applyAlignment="1">
      <alignment horizontal="center" vertical="center"/>
    </xf>
    <xf numFmtId="9" fontId="20" fillId="0" borderId="0" xfId="1" applyFont="1" applyAlignment="1">
      <alignment horizontal="center" vertical="center"/>
    </xf>
    <xf numFmtId="14" fontId="20" fillId="0" borderId="0" xfId="0" applyNumberFormat="1" applyFont="1"/>
    <xf numFmtId="9" fontId="20" fillId="0" borderId="0" xfId="1" applyFont="1" applyAlignment="1">
      <alignment horizontal="center"/>
    </xf>
    <xf numFmtId="0" fontId="50" fillId="0" borderId="1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85" fillId="0" borderId="1" xfId="0" applyFont="1" applyBorder="1" applyAlignment="1">
      <alignment horizontal="center"/>
    </xf>
    <xf numFmtId="10" fontId="82" fillId="8" borderId="0" xfId="1" applyNumberFormat="1" applyFont="1" applyFill="1" applyAlignment="1">
      <alignment horizontal="center"/>
    </xf>
    <xf numFmtId="0" fontId="82" fillId="8" borderId="0" xfId="0" applyFont="1" applyFill="1" applyAlignment="1">
      <alignment horizontal="left"/>
    </xf>
    <xf numFmtId="0" fontId="80" fillId="9" borderId="23" xfId="0" applyFont="1" applyFill="1" applyBorder="1" applyAlignment="1">
      <alignment horizontal="center"/>
    </xf>
    <xf numFmtId="0" fontId="85" fillId="0" borderId="23" xfId="0" applyFont="1" applyBorder="1" applyAlignment="1">
      <alignment horizontal="center"/>
    </xf>
    <xf numFmtId="2" fontId="82" fillId="8" borderId="0" xfId="0" applyNumberFormat="1" applyFont="1" applyFill="1" applyAlignment="1">
      <alignment horizontal="left"/>
    </xf>
    <xf numFmtId="0" fontId="50" fillId="0" borderId="0" xfId="0" applyFont="1" applyBorder="1" applyAlignment="1">
      <alignment horizontal="left" vertical="center"/>
    </xf>
    <xf numFmtId="0" fontId="82" fillId="8" borderId="2" xfId="0" applyFont="1" applyFill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82" fillId="8" borderId="0" xfId="0" applyFont="1" applyFill="1" applyAlignment="1">
      <alignment horizontal="left" vertical="center"/>
    </xf>
    <xf numFmtId="0" fontId="80" fillId="9" borderId="26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left" vertical="center" wrapText="1" indent="4"/>
    </xf>
    <xf numFmtId="0" fontId="20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0" fontId="52" fillId="0" borderId="23" xfId="0" applyFont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52" fillId="5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74" fillId="0" borderId="23" xfId="0" applyFont="1" applyBorder="1" applyAlignment="1">
      <alignment vertical="center" wrapText="1"/>
    </xf>
    <xf numFmtId="0" fontId="76" fillId="0" borderId="23" xfId="0" applyFont="1" applyBorder="1" applyAlignment="1">
      <alignment vertical="center" wrapText="1"/>
    </xf>
    <xf numFmtId="0" fontId="52" fillId="0" borderId="23" xfId="0" applyFont="1" applyBorder="1" applyAlignment="1">
      <alignment horizontal="left" vertical="center" wrapText="1" indent="1"/>
    </xf>
    <xf numFmtId="0" fontId="24" fillId="0" borderId="23" xfId="0" applyFont="1" applyBorder="1" applyAlignment="1">
      <alignment vertical="center" wrapText="1"/>
    </xf>
    <xf numFmtId="0" fontId="69" fillId="0" borderId="23" xfId="0" applyFont="1" applyBorder="1" applyAlignment="1">
      <alignment vertical="center" wrapText="1"/>
    </xf>
    <xf numFmtId="0" fontId="52" fillId="0" borderId="25" xfId="0" applyFont="1" applyBorder="1" applyAlignment="1">
      <alignment horizontal="left" vertical="center" wrapText="1" indent="1"/>
    </xf>
    <xf numFmtId="0" fontId="52" fillId="0" borderId="24" xfId="0" applyFont="1" applyBorder="1" applyAlignment="1">
      <alignment horizontal="left" vertical="center" wrapText="1" indent="1"/>
    </xf>
    <xf numFmtId="0" fontId="52" fillId="0" borderId="28" xfId="0" applyFont="1" applyBorder="1" applyAlignment="1">
      <alignment horizontal="left" vertical="center" wrapText="1" indent="1"/>
    </xf>
    <xf numFmtId="0" fontId="52" fillId="0" borderId="25" xfId="0" applyFont="1" applyBorder="1" applyAlignment="1">
      <alignment vertical="center" wrapText="1"/>
    </xf>
    <xf numFmtId="0" fontId="52" fillId="0" borderId="24" xfId="0" applyFont="1" applyBorder="1" applyAlignment="1">
      <alignment vertical="center" wrapText="1"/>
    </xf>
    <xf numFmtId="0" fontId="52" fillId="0" borderId="28" xfId="0" applyFont="1" applyBorder="1" applyAlignment="1">
      <alignment vertical="center" wrapText="1"/>
    </xf>
    <xf numFmtId="0" fontId="69" fillId="0" borderId="25" xfId="0" applyFont="1" applyBorder="1" applyAlignment="1">
      <alignment vertical="center" wrapText="1"/>
    </xf>
    <xf numFmtId="0" fontId="69" fillId="0" borderId="24" xfId="0" applyFont="1" applyBorder="1" applyAlignment="1">
      <alignment vertical="center" wrapText="1"/>
    </xf>
    <xf numFmtId="0" fontId="69" fillId="0" borderId="28" xfId="0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4" fillId="0" borderId="28" xfId="0" applyFont="1" applyBorder="1" applyAlignment="1">
      <alignment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53" fillId="0" borderId="23" xfId="0" applyFont="1" applyBorder="1" applyAlignment="1">
      <alignment vertical="center" wrapText="1"/>
    </xf>
    <xf numFmtId="0" fontId="73" fillId="0" borderId="23" xfId="0" applyFont="1" applyBorder="1" applyAlignment="1">
      <alignment vertical="center" wrapText="1"/>
    </xf>
    <xf numFmtId="4" fontId="44" fillId="0" borderId="23" xfId="0" applyNumberFormat="1" applyFont="1" applyBorder="1" applyAlignment="1">
      <alignment horizontal="center" vertical="center" wrapText="1"/>
    </xf>
    <xf numFmtId="0" fontId="68" fillId="0" borderId="23" xfId="0" applyFont="1" applyBorder="1" applyAlignment="1">
      <alignment vertical="center" wrapText="1"/>
    </xf>
    <xf numFmtId="0" fontId="24" fillId="4" borderId="23" xfId="0" applyFont="1" applyFill="1" applyBorder="1" applyAlignment="1">
      <alignment vertical="center" wrapText="1"/>
    </xf>
    <xf numFmtId="0" fontId="49" fillId="4" borderId="23" xfId="0" applyFont="1" applyFill="1" applyBorder="1" applyAlignment="1">
      <alignment vertical="center" wrapText="1"/>
    </xf>
    <xf numFmtId="0" fontId="60" fillId="0" borderId="23" xfId="0" applyFont="1" applyBorder="1" applyAlignment="1">
      <alignment vertical="center" wrapText="1"/>
    </xf>
    <xf numFmtId="0" fontId="72" fillId="4" borderId="23" xfId="0" applyFont="1" applyFill="1" applyBorder="1" applyAlignment="1">
      <alignment vertical="center" wrapText="1"/>
    </xf>
    <xf numFmtId="0" fontId="52" fillId="0" borderId="23" xfId="0" applyFont="1" applyBorder="1" applyAlignment="1">
      <alignment horizontal="center" vertical="center" wrapText="1"/>
    </xf>
    <xf numFmtId="0" fontId="70" fillId="0" borderId="23" xfId="0" applyFont="1" applyBorder="1" applyAlignment="1">
      <alignment vertical="center" wrapText="1"/>
    </xf>
    <xf numFmtId="0" fontId="59" fillId="0" borderId="23" xfId="0" applyFont="1" applyBorder="1" applyAlignment="1">
      <alignment vertical="center" wrapText="1"/>
    </xf>
    <xf numFmtId="0" fontId="67" fillId="0" borderId="23" xfId="0" applyFont="1" applyBorder="1" applyAlignment="1">
      <alignment vertical="center" wrapText="1"/>
    </xf>
    <xf numFmtId="0" fontId="49" fillId="0" borderId="23" xfId="0" applyFont="1" applyBorder="1" applyAlignment="1">
      <alignment vertical="center" wrapText="1"/>
    </xf>
    <xf numFmtId="0" fontId="44" fillId="0" borderId="23" xfId="0" applyFont="1" applyBorder="1" applyAlignment="1">
      <alignment horizontal="right" vertical="center" wrapText="1"/>
    </xf>
    <xf numFmtId="0" fontId="44" fillId="0" borderId="23" xfId="0" applyFont="1" applyBorder="1" applyAlignment="1">
      <alignment horizontal="left" vertical="center" wrapText="1" indent="1"/>
    </xf>
    <xf numFmtId="0" fontId="66" fillId="0" borderId="23" xfId="0" applyFont="1" applyBorder="1" applyAlignment="1">
      <alignment vertical="center" wrapText="1"/>
    </xf>
    <xf numFmtId="0" fontId="64" fillId="0" borderId="23" xfId="0" applyFont="1" applyBorder="1" applyAlignment="1">
      <alignment vertical="center" wrapText="1"/>
    </xf>
    <xf numFmtId="0" fontId="6" fillId="0" borderId="23" xfId="0" applyFont="1" applyBorder="1" applyAlignment="1">
      <alignment vertical="top" wrapText="1"/>
    </xf>
    <xf numFmtId="0" fontId="42" fillId="0" borderId="23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57" fillId="0" borderId="23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44" fillId="0" borderId="23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52" fillId="2" borderId="23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vertical="center" wrapText="1"/>
    </xf>
    <xf numFmtId="0" fontId="44" fillId="0" borderId="23" xfId="0" applyFont="1" applyBorder="1" applyAlignment="1">
      <alignment horizontal="left" vertical="center" wrapText="1" indent="2"/>
    </xf>
    <xf numFmtId="0" fontId="55" fillId="0" borderId="23" xfId="0" applyFont="1" applyBorder="1" applyAlignment="1">
      <alignment vertical="center" wrapText="1"/>
    </xf>
    <xf numFmtId="0" fontId="56" fillId="0" borderId="23" xfId="0" applyFont="1" applyBorder="1" applyAlignment="1">
      <alignment horizontal="center" vertical="center" wrapText="1"/>
    </xf>
    <xf numFmtId="0" fontId="87" fillId="12" borderId="0" xfId="0" applyFont="1" applyFill="1" applyAlignment="1">
      <alignment horizontal="center"/>
    </xf>
    <xf numFmtId="0" fontId="50" fillId="0" borderId="9" xfId="0" applyFont="1" applyBorder="1" applyAlignment="1">
      <alignment vertical="center" wrapText="1"/>
    </xf>
    <xf numFmtId="0" fontId="50" fillId="0" borderId="10" xfId="0" applyFont="1" applyBorder="1" applyAlignment="1">
      <alignment vertical="center" wrapText="1"/>
    </xf>
    <xf numFmtId="0" fontId="50" fillId="0" borderId="11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82" fillId="8" borderId="0" xfId="0" applyFont="1" applyFill="1" applyAlignment="1">
      <alignment horizontal="center"/>
    </xf>
    <xf numFmtId="0" fontId="22" fillId="2" borderId="9" xfId="0" applyFont="1" applyFill="1" applyBorder="1" applyAlignment="1">
      <alignment horizontal="left" vertical="center" wrapText="1" indent="8"/>
    </xf>
    <xf numFmtId="0" fontId="22" fillId="2" borderId="10" xfId="0" applyFont="1" applyFill="1" applyBorder="1" applyAlignment="1">
      <alignment horizontal="left" vertical="center" wrapText="1" indent="8"/>
    </xf>
    <xf numFmtId="0" fontId="22" fillId="2" borderId="11" xfId="0" applyFont="1" applyFill="1" applyBorder="1" applyAlignment="1">
      <alignment horizontal="left" vertical="center" wrapText="1" indent="8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30" fillId="0" borderId="16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5" fillId="0" borderId="16" xfId="0" applyFont="1" applyBorder="1" applyAlignment="1">
      <alignment horizontal="left" vertical="center" wrapText="1" indent="1"/>
    </xf>
    <xf numFmtId="0" fontId="25" fillId="0" borderId="13" xfId="0" applyFont="1" applyBorder="1" applyAlignment="1">
      <alignment horizontal="left" vertical="center" wrapText="1" indent="1"/>
    </xf>
    <xf numFmtId="0" fontId="25" fillId="0" borderId="12" xfId="0" applyFont="1" applyBorder="1" applyAlignment="1">
      <alignment horizontal="left" vertical="center" wrapText="1" indent="1"/>
    </xf>
    <xf numFmtId="0" fontId="26" fillId="0" borderId="12" xfId="0" applyFont="1" applyBorder="1" applyAlignment="1">
      <alignment vertical="top" wrapText="1"/>
    </xf>
    <xf numFmtId="0" fontId="21" fillId="0" borderId="16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5" fillId="0" borderId="16" xfId="0" applyFont="1" applyBorder="1" applyAlignment="1">
      <alignment horizontal="right" vertical="center" wrapText="1"/>
    </xf>
    <xf numFmtId="0" fontId="25" fillId="0" borderId="13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0" fontId="25" fillId="0" borderId="16" xfId="0" applyFont="1" applyBorder="1" applyAlignment="1">
      <alignment horizontal="left" vertical="center" wrapText="1" indent="3"/>
    </xf>
    <xf numFmtId="0" fontId="25" fillId="0" borderId="13" xfId="0" applyFont="1" applyBorder="1" applyAlignment="1">
      <alignment horizontal="left" vertical="center" wrapText="1" indent="3"/>
    </xf>
    <xf numFmtId="0" fontId="25" fillId="0" borderId="12" xfId="0" applyFont="1" applyBorder="1" applyAlignment="1">
      <alignment horizontal="left" vertical="center" wrapText="1" indent="3"/>
    </xf>
    <xf numFmtId="0" fontId="37" fillId="0" borderId="16" xfId="0" applyFont="1" applyBorder="1" applyAlignment="1">
      <alignment vertical="center" wrapText="1"/>
    </xf>
    <xf numFmtId="0" fontId="37" fillId="0" borderId="13" xfId="0" applyFont="1" applyBorder="1" applyAlignment="1">
      <alignment vertical="center" wrapText="1"/>
    </xf>
    <xf numFmtId="0" fontId="37" fillId="0" borderId="12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4" borderId="9" xfId="0" applyFont="1" applyFill="1" applyBorder="1" applyAlignment="1">
      <alignment vertical="center" wrapText="1"/>
    </xf>
    <xf numFmtId="0" fontId="24" fillId="4" borderId="10" xfId="0" applyFont="1" applyFill="1" applyBorder="1" applyAlignment="1">
      <alignment vertical="center" wrapText="1"/>
    </xf>
    <xf numFmtId="0" fontId="24" fillId="4" borderId="11" xfId="0" applyFont="1" applyFill="1" applyBorder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23" fillId="0" borderId="16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43" fillId="0" borderId="16" xfId="0" applyFont="1" applyBorder="1" applyAlignment="1">
      <alignment vertical="center" wrapText="1"/>
    </xf>
    <xf numFmtId="0" fontId="43" fillId="0" borderId="13" xfId="0" applyFont="1" applyBorder="1" applyAlignment="1">
      <alignment vertical="center" wrapText="1"/>
    </xf>
    <xf numFmtId="0" fontId="43" fillId="0" borderId="12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41" fillId="0" borderId="16" xfId="0" applyFont="1" applyBorder="1" applyAlignment="1">
      <alignment vertical="center" wrapText="1"/>
    </xf>
    <xf numFmtId="0" fontId="41" fillId="0" borderId="13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3" fillId="0" borderId="16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 wrapText="1"/>
    </xf>
    <xf numFmtId="0" fontId="45" fillId="0" borderId="16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45" fillId="0" borderId="12" xfId="0" applyFont="1" applyBorder="1" applyAlignment="1">
      <alignment vertical="center" wrapText="1"/>
    </xf>
    <xf numFmtId="0" fontId="39" fillId="0" borderId="16" xfId="0" applyFont="1" applyBorder="1" applyAlignment="1">
      <alignment vertical="center" wrapText="1"/>
    </xf>
    <xf numFmtId="0" fontId="39" fillId="0" borderId="12" xfId="0" applyFont="1" applyBorder="1" applyAlignment="1">
      <alignment vertical="center" wrapText="1"/>
    </xf>
    <xf numFmtId="0" fontId="42" fillId="0" borderId="16" xfId="0" applyFont="1" applyBorder="1" applyAlignment="1">
      <alignment vertical="center" wrapText="1"/>
    </xf>
    <xf numFmtId="0" fontId="42" fillId="0" borderId="13" xfId="0" applyFont="1" applyBorder="1" applyAlignment="1">
      <alignment vertical="center" wrapText="1"/>
    </xf>
    <xf numFmtId="0" fontId="42" fillId="0" borderId="12" xfId="0" applyFont="1" applyBorder="1" applyAlignment="1">
      <alignment vertical="center" wrapText="1"/>
    </xf>
    <xf numFmtId="0" fontId="23" fillId="3" borderId="16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center" wrapText="1"/>
    </xf>
    <xf numFmtId="0" fontId="23" fillId="3" borderId="16" xfId="0" applyFont="1" applyFill="1" applyBorder="1" applyAlignment="1">
      <alignment horizontal="left" vertical="center" wrapText="1" indent="1"/>
    </xf>
    <xf numFmtId="0" fontId="23" fillId="3" borderId="12" xfId="0" applyFont="1" applyFill="1" applyBorder="1" applyAlignment="1">
      <alignment horizontal="left" vertical="center" wrapText="1" inden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47" fillId="0" borderId="20" xfId="0" applyFont="1" applyBorder="1" applyAlignment="1">
      <alignment vertical="center" wrapText="1"/>
    </xf>
    <xf numFmtId="0" fontId="47" fillId="0" borderId="21" xfId="0" applyFont="1" applyBorder="1" applyAlignment="1">
      <alignment vertical="center" wrapText="1"/>
    </xf>
    <xf numFmtId="0" fontId="47" fillId="0" borderId="22" xfId="0" applyFont="1" applyBorder="1" applyAlignment="1">
      <alignment vertical="center" wrapText="1"/>
    </xf>
    <xf numFmtId="0" fontId="48" fillId="0" borderId="19" xfId="0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48" fillId="0" borderId="15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8" fillId="0" borderId="16" xfId="0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20" fillId="0" borderId="23" xfId="0" applyFont="1" applyBorder="1" applyAlignment="1">
      <alignment horizontal="center" vertical="center"/>
    </xf>
    <xf numFmtId="176" fontId="20" fillId="0" borderId="0" xfId="1" applyNumberFormat="1" applyFont="1"/>
    <xf numFmtId="9" fontId="20" fillId="0" borderId="0" xfId="0" applyNumberFormat="1" applyFont="1"/>
  </cellXfs>
  <cellStyles count="6">
    <cellStyle name="Comma" xfId="2" builtinId="3"/>
    <cellStyle name="Comma 3" xfId="5"/>
    <cellStyle name="Comma_Avanti Resort" xfId="3"/>
    <cellStyle name="Normal" xfId="0" builtinId="0"/>
    <cellStyle name="Normal 3" xfId="4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76060320452403"/>
          <c:y val="3.2176958067659654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48289015710925"/>
          <c:y val="0.12304361086276369"/>
          <c:w val="0.86490330881163813"/>
          <c:h val="0.665413143176866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'P&amp;L(Proposed)'!$C$64</c:f>
              <c:strCache>
                <c:ptCount val="1"/>
                <c:pt idx="0">
                  <c:v>Gross Profit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'P&amp;L(Proposed)'!$G$6:$Q$6</c:f>
              <c:strCache>
                <c:ptCount val="11"/>
                <c:pt idx="0">
                  <c:v>2025-26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'P&amp;L(Proposed)'!$G$64:$Q$64</c:f>
              <c:numCache>
                <c:formatCode>0.00%</c:formatCode>
                <c:ptCount val="11"/>
                <c:pt idx="0">
                  <c:v>0.35771319279097752</c:v>
                </c:pt>
                <c:pt idx="1">
                  <c:v>0.3802807990986678</c:v>
                </c:pt>
                <c:pt idx="2">
                  <c:v>0.28997351819772504</c:v>
                </c:pt>
                <c:pt idx="3">
                  <c:v>0.2742550545613105</c:v>
                </c:pt>
                <c:pt idx="4">
                  <c:v>0.25925160587876178</c:v>
                </c:pt>
                <c:pt idx="5">
                  <c:v>0.2291738318777872</c:v>
                </c:pt>
                <c:pt idx="6">
                  <c:v>0.25324819043831559</c:v>
                </c:pt>
                <c:pt idx="7">
                  <c:v>0.22357402474658544</c:v>
                </c:pt>
                <c:pt idx="8">
                  <c:v>0.24822578838190729</c:v>
                </c:pt>
                <c:pt idx="9">
                  <c:v>0.24678977953264067</c:v>
                </c:pt>
                <c:pt idx="10">
                  <c:v>0.24538863082680762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7F-43D8-AD06-3091CB7F67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7153864"/>
        <c:axId val="337151512"/>
      </c:barChart>
      <c:catAx>
        <c:axId val="337153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</a:t>
                </a:r>
                <a:r>
                  <a:rPr lang="en-IN" b="1" i="1" baseline="0"/>
                  <a:t> the Financial year</a:t>
                </a:r>
                <a:endParaRPr lang="en-IN" b="1" i="1"/>
              </a:p>
            </c:rich>
          </c:tx>
          <c:layout>
            <c:manualLayout>
              <c:xMode val="edge"/>
              <c:yMode val="edge"/>
              <c:x val="0.46117462397595221"/>
              <c:y val="0.89401188747753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51512"/>
        <c:crosses val="autoZero"/>
        <c:auto val="1"/>
        <c:lblAlgn val="ctr"/>
        <c:lblOffset val="100"/>
        <c:noMultiLvlLbl val="0"/>
      </c:catAx>
      <c:valAx>
        <c:axId val="33715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Gross</a:t>
                </a:r>
                <a:r>
                  <a:rPr lang="en-IN" b="1" i="1" baseline="0"/>
                  <a:t> Profit Margin %</a:t>
                </a:r>
                <a:endParaRPr lang="en-IN" b="1" i="1"/>
              </a:p>
            </c:rich>
          </c:tx>
          <c:layout>
            <c:manualLayout>
              <c:xMode val="edge"/>
              <c:yMode val="edge"/>
              <c:x val="1.5044663845792195E-2"/>
              <c:y val="0.378832235827032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53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388495617570944"/>
          <c:y val="3.2770092001388217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'P&amp;L(Proposed)'!$C$65</c:f>
              <c:strCache>
                <c:ptCount val="1"/>
                <c:pt idx="0">
                  <c:v>EBITDA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'P&amp;L(Proposed)'!$G$6:$Q$6</c:f>
              <c:strCache>
                <c:ptCount val="11"/>
                <c:pt idx="0">
                  <c:v>2025-26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'P&amp;L(Proposed)'!$G$65:$Q$65</c:f>
              <c:numCache>
                <c:formatCode>0.00%</c:formatCode>
                <c:ptCount val="11"/>
                <c:pt idx="0">
                  <c:v>0.31271319279097753</c:v>
                </c:pt>
                <c:pt idx="1">
                  <c:v>0.33528079909866776</c:v>
                </c:pt>
                <c:pt idx="2">
                  <c:v>0.244973518197725</c:v>
                </c:pt>
                <c:pt idx="3">
                  <c:v>0.22925505456131048</c:v>
                </c:pt>
                <c:pt idx="4">
                  <c:v>0.21425160587876174</c:v>
                </c:pt>
                <c:pt idx="5">
                  <c:v>0.18417383187778716</c:v>
                </c:pt>
                <c:pt idx="6">
                  <c:v>0.20824819043831555</c:v>
                </c:pt>
                <c:pt idx="7">
                  <c:v>0.17857402474658546</c:v>
                </c:pt>
                <c:pt idx="8">
                  <c:v>0.2032257883819073</c:v>
                </c:pt>
                <c:pt idx="9">
                  <c:v>0.20178977953264068</c:v>
                </c:pt>
                <c:pt idx="10">
                  <c:v>0.20038863082680761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2A-4E97-A8CA-B95DFF5ACC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7151904"/>
        <c:axId val="337146808"/>
      </c:barChart>
      <c:catAx>
        <c:axId val="33715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 the Financial Year </a:t>
                </a:r>
              </a:p>
            </c:rich>
          </c:tx>
          <c:layout>
            <c:manualLayout>
              <c:xMode val="edge"/>
              <c:yMode val="edge"/>
              <c:x val="0.50900347134027601"/>
              <c:y val="0.909042352118509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46808"/>
        <c:crosses val="autoZero"/>
        <c:auto val="1"/>
        <c:lblAlgn val="ctr"/>
        <c:lblOffset val="100"/>
        <c:noMultiLvlLbl val="0"/>
      </c:catAx>
      <c:valAx>
        <c:axId val="33714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EBITDA Margin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5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'P&amp;L(Proposed)'!$C$66</c:f>
              <c:strCache>
                <c:ptCount val="1"/>
                <c:pt idx="0">
                  <c:v>EBIT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'P&amp;L(Proposed)'!$G$6:$Q$6</c:f>
              <c:strCache>
                <c:ptCount val="11"/>
                <c:pt idx="0">
                  <c:v>2025-26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'P&amp;L(Proposed)'!$G$66:$Q$66</c:f>
              <c:numCache>
                <c:formatCode>0.00%</c:formatCode>
                <c:ptCount val="11"/>
                <c:pt idx="0">
                  <c:v>-0.45463678675564184</c:v>
                </c:pt>
                <c:pt idx="1">
                  <c:v>0.24243938315923158</c:v>
                </c:pt>
                <c:pt idx="2">
                  <c:v>0.17252973247049186</c:v>
                </c:pt>
                <c:pt idx="3">
                  <c:v>0.17211386351735031</c:v>
                </c:pt>
                <c:pt idx="4">
                  <c:v>0.1687705253135201</c:v>
                </c:pt>
                <c:pt idx="5">
                  <c:v>0.14769232655200643</c:v>
                </c:pt>
                <c:pt idx="6">
                  <c:v>0.17878833854027312</c:v>
                </c:pt>
                <c:pt idx="7">
                  <c:v>0.15464350467744215</c:v>
                </c:pt>
                <c:pt idx="8">
                  <c:v>0.1836844672577212</c:v>
                </c:pt>
                <c:pt idx="9">
                  <c:v>0.18575717519830004</c:v>
                </c:pt>
                <c:pt idx="10">
                  <c:v>0.18717839702755226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B7-4983-BE41-9A19A52AA4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7147592"/>
        <c:axId val="337152296"/>
      </c:barChart>
      <c:catAx>
        <c:axId val="33714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</a:t>
                </a:r>
                <a:r>
                  <a:rPr lang="en-IN" b="1" i="1" baseline="0"/>
                  <a:t> the Financial Year</a:t>
                </a:r>
                <a:endParaRPr lang="en-IN" b="1" i="1"/>
              </a:p>
            </c:rich>
          </c:tx>
          <c:layout>
            <c:manualLayout>
              <c:xMode val="edge"/>
              <c:yMode val="edge"/>
              <c:x val="0.50886667698167409"/>
              <c:y val="0.906100007392094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52296"/>
        <c:crosses val="autoZero"/>
        <c:auto val="1"/>
        <c:lblAlgn val="ctr"/>
        <c:lblOffset val="100"/>
        <c:noMultiLvlLbl val="0"/>
      </c:catAx>
      <c:valAx>
        <c:axId val="33715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EBIT</a:t>
                </a:r>
                <a:r>
                  <a:rPr lang="en-IN" b="1" i="1" baseline="0"/>
                  <a:t> Margin %</a:t>
                </a:r>
                <a:endParaRPr lang="en-IN" b="1" i="1"/>
              </a:p>
            </c:rich>
          </c:tx>
          <c:layout>
            <c:manualLayout>
              <c:xMode val="edge"/>
              <c:yMode val="edge"/>
              <c:x val="1.473296287278855E-2"/>
              <c:y val="0.351805710265580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4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468229637278946"/>
          <c:y val="3.4632029385413279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'P&amp;L(Proposed)'!$C$67</c:f>
              <c:strCache>
                <c:ptCount val="1"/>
                <c:pt idx="0">
                  <c:v>PAT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'P&amp;L(Proposed)'!$G$6:$Q$6</c:f>
              <c:strCache>
                <c:ptCount val="11"/>
                <c:pt idx="0">
                  <c:v>2025-26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'P&amp;L(Proposed)'!$G$67:$Q$67</c:f>
              <c:numCache>
                <c:formatCode>0.00%</c:formatCode>
                <c:ptCount val="11"/>
                <c:pt idx="0">
                  <c:v>-0.52844514930078101</c:v>
                </c:pt>
                <c:pt idx="1">
                  <c:v>0.13729144856649966</c:v>
                </c:pt>
                <c:pt idx="2">
                  <c:v>9.192911788702221E-2</c:v>
                </c:pt>
                <c:pt idx="3">
                  <c:v>9.7305865484582615E-2</c:v>
                </c:pt>
                <c:pt idx="4">
                  <c:v>9.9804875250093184E-2</c:v>
                </c:pt>
                <c:pt idx="5">
                  <c:v>8.8632849290194715E-2</c:v>
                </c:pt>
                <c:pt idx="6">
                  <c:v>0.11563976585370836</c:v>
                </c:pt>
                <c:pt idx="7">
                  <c:v>0.10142447774226933</c:v>
                </c:pt>
                <c:pt idx="8">
                  <c:v>0.12628719626830526</c:v>
                </c:pt>
                <c:pt idx="9">
                  <c:v>0.13088688970972898</c:v>
                </c:pt>
                <c:pt idx="10">
                  <c:v>0.13318552295913602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F5-413D-B146-2CE9852950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7148376"/>
        <c:axId val="337152688"/>
      </c:barChart>
      <c:catAx>
        <c:axId val="337148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</a:t>
                </a:r>
                <a:r>
                  <a:rPr lang="en-IN" b="1" i="1" baseline="0"/>
                  <a:t> the Financial Year</a:t>
                </a:r>
                <a:endParaRPr lang="en-IN" b="1" i="1"/>
              </a:p>
            </c:rich>
          </c:tx>
          <c:layout>
            <c:manualLayout>
              <c:xMode val="edge"/>
              <c:yMode val="edge"/>
              <c:x val="0.5113721322024829"/>
              <c:y val="0.914554936003463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52688"/>
        <c:crosses val="autoZero"/>
        <c:auto val="1"/>
        <c:lblAlgn val="ctr"/>
        <c:lblOffset val="100"/>
        <c:noMultiLvlLbl val="0"/>
      </c:catAx>
      <c:valAx>
        <c:axId val="33715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PAT</a:t>
                </a:r>
                <a:r>
                  <a:rPr lang="en-IN" b="1" i="1" baseline="0"/>
                  <a:t> Margin %</a:t>
                </a:r>
                <a:endParaRPr lang="en-IN" b="1" i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48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053213936493232"/>
          <c:y val="3.4883720930232558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'P&amp;L(Proposed)'!$C$63</c:f>
              <c:strCache>
                <c:ptCount val="1"/>
                <c:pt idx="0">
                  <c:v>Revenue Growth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'P&amp;L(Proposed)'!$I$6:$Q$6</c:f>
              <c:strCache>
                <c:ptCount val="9"/>
                <c:pt idx="0">
                  <c:v>2027-28</c:v>
                </c:pt>
                <c:pt idx="1">
                  <c:v>2028-29</c:v>
                </c:pt>
                <c:pt idx="2">
                  <c:v>2029-30</c:v>
                </c:pt>
                <c:pt idx="3">
                  <c:v>2030-31</c:v>
                </c:pt>
                <c:pt idx="4">
                  <c:v>2031-32</c:v>
                </c:pt>
                <c:pt idx="5">
                  <c:v>2032-33</c:v>
                </c:pt>
                <c:pt idx="6">
                  <c:v>2033-34</c:v>
                </c:pt>
                <c:pt idx="7">
                  <c:v>2034-35</c:v>
                </c:pt>
                <c:pt idx="8">
                  <c:v>2035-36</c:v>
                </c:pt>
              </c:strCache>
            </c:strRef>
          </c:cat>
          <c:val>
            <c:numRef>
              <c:f>'P&amp;L(Proposed)'!$I$63:$Q$63</c:f>
              <c:numCache>
                <c:formatCode>0.00%</c:formatCode>
                <c:ptCount val="9"/>
                <c:pt idx="0">
                  <c:v>0.11111111111111116</c:v>
                </c:pt>
                <c:pt idx="1">
                  <c:v>9.9999999999999867E-2</c:v>
                </c:pt>
                <c:pt idx="2">
                  <c:v>9.090909090909105E-2</c:v>
                </c:pt>
                <c:pt idx="3">
                  <c:v>8.3333333333333481E-2</c:v>
                </c:pt>
                <c:pt idx="4">
                  <c:v>7.6923076923077094E-2</c:v>
                </c:pt>
                <c:pt idx="5">
                  <c:v>7.1428571428571175E-2</c:v>
                </c:pt>
                <c:pt idx="6">
                  <c:v>6.6666666666666874E-2</c:v>
                </c:pt>
                <c:pt idx="7">
                  <c:v>6.25E-2</c:v>
                </c:pt>
                <c:pt idx="8">
                  <c:v>5.8823529411764719E-2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7149944"/>
        <c:axId val="337153080"/>
      </c:barChart>
      <c:catAx>
        <c:axId val="337149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For the 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53080"/>
        <c:crosses val="autoZero"/>
        <c:auto val="1"/>
        <c:lblAlgn val="ctr"/>
        <c:lblOffset val="100"/>
        <c:noMultiLvlLbl val="0"/>
      </c:catAx>
      <c:valAx>
        <c:axId val="33715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Revenue Growth (Y-o-Y)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4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133732534930141"/>
          <c:y val="2.2641703518170089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663043261144875E-2"/>
          <c:y val="0.104714015879526"/>
          <c:w val="0.88237682116082794"/>
          <c:h val="0.8109075956041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'DSCR &amp; Ratios-Combined'!$B$16</c:f>
              <c:strCache>
                <c:ptCount val="1"/>
                <c:pt idx="0">
                  <c:v>D.S.C.R. (A/B)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'DSCR &amp; Ratios-Combined'!$F$6:$P$6</c:f>
              <c:strCache>
                <c:ptCount val="11"/>
                <c:pt idx="0">
                  <c:v>2025-26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'DSCR &amp; Ratios-Combined'!$F$16:$P$16</c:f>
              <c:numCache>
                <c:formatCode>0.00</c:formatCode>
                <c:ptCount val="11"/>
                <c:pt idx="0">
                  <c:v>2.0734856278370821</c:v>
                </c:pt>
                <c:pt idx="1">
                  <c:v>3.2678616275862145</c:v>
                </c:pt>
                <c:pt idx="2">
                  <c:v>3.1789483432461059</c:v>
                </c:pt>
                <c:pt idx="3">
                  <c:v>3.2983642496874443</c:v>
                </c:pt>
                <c:pt idx="4">
                  <c:v>3.3868959530779303</c:v>
                </c:pt>
                <c:pt idx="5">
                  <c:v>3.2982586682363491</c:v>
                </c:pt>
                <c:pt idx="6">
                  <c:v>3.8735948414031354</c:v>
                </c:pt>
                <c:pt idx="7">
                  <c:v>3.7908686667681963</c:v>
                </c:pt>
                <c:pt idx="8">
                  <c:v>4.7447135079240095</c:v>
                </c:pt>
                <c:pt idx="9">
                  <c:v>5.5689106877072367</c:v>
                </c:pt>
                <c:pt idx="10">
                  <c:v>60.517554693306842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7150728"/>
        <c:axId val="337153472"/>
      </c:barChart>
      <c:catAx>
        <c:axId val="337150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</a:t>
                </a:r>
                <a:r>
                  <a:rPr lang="en-IN" b="1" i="1" baseline="0"/>
                  <a:t> the Financial Year</a:t>
                </a:r>
                <a:endParaRPr lang="en-IN" b="1" i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53472"/>
        <c:crosses val="autoZero"/>
        <c:auto val="1"/>
        <c:lblAlgn val="ctr"/>
        <c:lblOffset val="100"/>
        <c:noMultiLvlLbl val="0"/>
      </c:catAx>
      <c:valAx>
        <c:axId val="33715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DSCR</a:t>
                </a:r>
              </a:p>
            </c:rich>
          </c:tx>
          <c:layout>
            <c:manualLayout>
              <c:xMode val="edge"/>
              <c:yMode val="edge"/>
              <c:x val="9.8797924232073737E-3"/>
              <c:y val="0.384992370446253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5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133732534930141"/>
          <c:y val="2.2641703518170089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663043261144875E-2"/>
          <c:y val="0.104714015879526"/>
          <c:w val="0.88237682116082794"/>
          <c:h val="0.8109075956041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'DSCR &amp; Ratios'!$B$16</c:f>
              <c:strCache>
                <c:ptCount val="1"/>
                <c:pt idx="0">
                  <c:v>D.S.C.R. (A/B)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'DSCR &amp; Ratios'!$E$6:$O$6</c:f>
              <c:strCache>
                <c:ptCount val="11"/>
                <c:pt idx="0">
                  <c:v>2025-26</c:v>
                </c:pt>
                <c:pt idx="1">
                  <c:v>2026-27</c:v>
                </c:pt>
                <c:pt idx="2">
                  <c:v>2027-28</c:v>
                </c:pt>
                <c:pt idx="3">
                  <c:v>2028-29</c:v>
                </c:pt>
                <c:pt idx="4">
                  <c:v>2029-30</c:v>
                </c:pt>
                <c:pt idx="5">
                  <c:v>2030-31</c:v>
                </c:pt>
                <c:pt idx="6">
                  <c:v>2031-32</c:v>
                </c:pt>
                <c:pt idx="7">
                  <c:v>2032-33</c:v>
                </c:pt>
                <c:pt idx="8">
                  <c:v>2033-34</c:v>
                </c:pt>
                <c:pt idx="9">
                  <c:v>2034-35</c:v>
                </c:pt>
                <c:pt idx="10">
                  <c:v>2035-36</c:v>
                </c:pt>
              </c:strCache>
            </c:strRef>
          </c:cat>
          <c:val>
            <c:numRef>
              <c:f>'DSCR &amp; Ratios'!$E$16:$O$16</c:f>
              <c:numCache>
                <c:formatCode>0.00</c:formatCode>
                <c:ptCount val="11"/>
                <c:pt idx="0">
                  <c:v>0.79140833650348885</c:v>
                </c:pt>
                <c:pt idx="1">
                  <c:v>3.1214157013424164</c:v>
                </c:pt>
                <c:pt idx="2">
                  <c:v>2.5223111599787993</c:v>
                </c:pt>
                <c:pt idx="3">
                  <c:v>2.5341663868679607</c:v>
                </c:pt>
                <c:pt idx="4">
                  <c:v>2.5401231841897922</c:v>
                </c:pt>
                <c:pt idx="5">
                  <c:v>2.3557950722268077</c:v>
                </c:pt>
                <c:pt idx="6">
                  <c:v>2.8197775730151844</c:v>
                </c:pt>
                <c:pt idx="7">
                  <c:v>2.6070429125620267</c:v>
                </c:pt>
                <c:pt idx="8">
                  <c:v>3.3366985320791813</c:v>
                </c:pt>
                <c:pt idx="9">
                  <c:v>3.8469612435466845</c:v>
                </c:pt>
                <c:pt idx="10">
                  <c:v>41.06069144254964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0043104"/>
        <c:axId val="340043496"/>
      </c:barChart>
      <c:catAx>
        <c:axId val="340043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</a:t>
                </a:r>
                <a:r>
                  <a:rPr lang="en-IN" b="1" i="1" baseline="0"/>
                  <a:t> the Financial Year</a:t>
                </a:r>
                <a:endParaRPr lang="en-IN" b="1" i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043496"/>
        <c:crosses val="autoZero"/>
        <c:auto val="1"/>
        <c:lblAlgn val="ctr"/>
        <c:lblOffset val="100"/>
        <c:noMultiLvlLbl val="0"/>
      </c:catAx>
      <c:valAx>
        <c:axId val="34004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DSCR</a:t>
                </a:r>
              </a:p>
            </c:rich>
          </c:tx>
          <c:layout>
            <c:manualLayout>
              <c:xMode val="edge"/>
              <c:yMode val="edge"/>
              <c:x val="9.8797924232073737E-3"/>
              <c:y val="0.384992370446253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04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jpeg"/><Relationship Id="rId13" Type="http://schemas.openxmlformats.org/officeDocument/2006/relationships/image" Target="../media/image24.jpeg"/><Relationship Id="rId18" Type="http://schemas.openxmlformats.org/officeDocument/2006/relationships/image" Target="../media/image65.jpeg"/><Relationship Id="rId26" Type="http://schemas.openxmlformats.org/officeDocument/2006/relationships/image" Target="../media/image72.jpeg"/><Relationship Id="rId3" Type="http://schemas.openxmlformats.org/officeDocument/2006/relationships/image" Target="../media/image52.jpeg"/><Relationship Id="rId21" Type="http://schemas.openxmlformats.org/officeDocument/2006/relationships/image" Target="../media/image68.jpeg"/><Relationship Id="rId34" Type="http://schemas.openxmlformats.org/officeDocument/2006/relationships/image" Target="../media/image79.jpeg"/><Relationship Id="rId7" Type="http://schemas.openxmlformats.org/officeDocument/2006/relationships/image" Target="../media/image56.jpeg"/><Relationship Id="rId12" Type="http://schemas.openxmlformats.org/officeDocument/2006/relationships/image" Target="../media/image61.jpeg"/><Relationship Id="rId17" Type="http://schemas.openxmlformats.org/officeDocument/2006/relationships/image" Target="../media/image64.jpeg"/><Relationship Id="rId25" Type="http://schemas.openxmlformats.org/officeDocument/2006/relationships/image" Target="../media/image71.jpeg"/><Relationship Id="rId33" Type="http://schemas.openxmlformats.org/officeDocument/2006/relationships/image" Target="../media/image78.jpeg"/><Relationship Id="rId2" Type="http://schemas.openxmlformats.org/officeDocument/2006/relationships/image" Target="../media/image51.jpeg"/><Relationship Id="rId16" Type="http://schemas.openxmlformats.org/officeDocument/2006/relationships/image" Target="../media/image63.jpeg"/><Relationship Id="rId20" Type="http://schemas.openxmlformats.org/officeDocument/2006/relationships/image" Target="../media/image67.jpeg"/><Relationship Id="rId29" Type="http://schemas.openxmlformats.org/officeDocument/2006/relationships/image" Target="../media/image75.jpeg"/><Relationship Id="rId1" Type="http://schemas.openxmlformats.org/officeDocument/2006/relationships/image" Target="../media/image50.jpeg"/><Relationship Id="rId6" Type="http://schemas.openxmlformats.org/officeDocument/2006/relationships/image" Target="../media/image55.jpeg"/><Relationship Id="rId11" Type="http://schemas.openxmlformats.org/officeDocument/2006/relationships/image" Target="../media/image60.jpeg"/><Relationship Id="rId24" Type="http://schemas.openxmlformats.org/officeDocument/2006/relationships/image" Target="../media/image70.jpeg"/><Relationship Id="rId32" Type="http://schemas.openxmlformats.org/officeDocument/2006/relationships/image" Target="../media/image77.jpeg"/><Relationship Id="rId5" Type="http://schemas.openxmlformats.org/officeDocument/2006/relationships/image" Target="../media/image54.jpeg"/><Relationship Id="rId15" Type="http://schemas.openxmlformats.org/officeDocument/2006/relationships/image" Target="../media/image25.jpeg"/><Relationship Id="rId23" Type="http://schemas.openxmlformats.org/officeDocument/2006/relationships/image" Target="../media/image69.png"/><Relationship Id="rId28" Type="http://schemas.openxmlformats.org/officeDocument/2006/relationships/image" Target="../media/image74.jpeg"/><Relationship Id="rId10" Type="http://schemas.openxmlformats.org/officeDocument/2006/relationships/image" Target="../media/image59.jpeg"/><Relationship Id="rId19" Type="http://schemas.openxmlformats.org/officeDocument/2006/relationships/image" Target="../media/image66.jpeg"/><Relationship Id="rId31" Type="http://schemas.openxmlformats.org/officeDocument/2006/relationships/image" Target="../media/image46.jpe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4" Type="http://schemas.openxmlformats.org/officeDocument/2006/relationships/image" Target="../media/image62.jpeg"/><Relationship Id="rId22" Type="http://schemas.openxmlformats.org/officeDocument/2006/relationships/image" Target="../media/image35.jpeg"/><Relationship Id="rId27" Type="http://schemas.openxmlformats.org/officeDocument/2006/relationships/image" Target="../media/image73.jpeg"/><Relationship Id="rId30" Type="http://schemas.openxmlformats.org/officeDocument/2006/relationships/image" Target="../media/image76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3" Type="http://schemas.openxmlformats.org/officeDocument/2006/relationships/image" Target="../media/image21.jpeg"/><Relationship Id="rId7" Type="http://schemas.openxmlformats.org/officeDocument/2006/relationships/image" Target="../media/image85.png"/><Relationship Id="rId2" Type="http://schemas.openxmlformats.org/officeDocument/2006/relationships/image" Target="../media/image81.jpeg"/><Relationship Id="rId1" Type="http://schemas.openxmlformats.org/officeDocument/2006/relationships/image" Target="../media/image80.jpeg"/><Relationship Id="rId6" Type="http://schemas.openxmlformats.org/officeDocument/2006/relationships/image" Target="../media/image84.jpeg"/><Relationship Id="rId5" Type="http://schemas.openxmlformats.org/officeDocument/2006/relationships/image" Target="../media/image83.jpeg"/><Relationship Id="rId4" Type="http://schemas.openxmlformats.org/officeDocument/2006/relationships/image" Target="../media/image82.jpeg"/><Relationship Id="rId9" Type="http://schemas.openxmlformats.org/officeDocument/2006/relationships/image" Target="../media/image4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101601</xdr:colOff>
      <xdr:row>74</xdr:row>
      <xdr:rowOff>90486</xdr:rowOff>
    </xdr:from>
    <xdr:to>
      <xdr:col>8</xdr:col>
      <xdr:colOff>95251</xdr:colOff>
      <xdr:row>91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76199</xdr:colOff>
      <xdr:row>93</xdr:row>
      <xdr:rowOff>71436</xdr:rowOff>
    </xdr:from>
    <xdr:to>
      <xdr:col>8</xdr:col>
      <xdr:colOff>123824</xdr:colOff>
      <xdr:row>110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415925</xdr:colOff>
      <xdr:row>74</xdr:row>
      <xdr:rowOff>80962</xdr:rowOff>
    </xdr:from>
    <xdr:to>
      <xdr:col>17</xdr:col>
      <xdr:colOff>114300</xdr:colOff>
      <xdr:row>90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231775</xdr:colOff>
      <xdr:row>93</xdr:row>
      <xdr:rowOff>90486</xdr:rowOff>
    </xdr:from>
    <xdr:to>
      <xdr:col>17</xdr:col>
      <xdr:colOff>0</xdr:colOff>
      <xdr:row>110</xdr:row>
      <xdr:rowOff>152399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66675</xdr:colOff>
      <xdr:row>111</xdr:row>
      <xdr:rowOff>152400</xdr:rowOff>
    </xdr:from>
    <xdr:to>
      <xdr:col>7</xdr:col>
      <xdr:colOff>333375</xdr:colOff>
      <xdr:row>129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533400</xdr:colOff>
      <xdr:row>0</xdr:row>
      <xdr:rowOff>100011</xdr:rowOff>
    </xdr:from>
    <xdr:to>
      <xdr:col>28</xdr:col>
      <xdr:colOff>85725</xdr:colOff>
      <xdr:row>17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533400</xdr:colOff>
      <xdr:row>0</xdr:row>
      <xdr:rowOff>100011</xdr:rowOff>
    </xdr:from>
    <xdr:to>
      <xdr:col>27</xdr:col>
      <xdr:colOff>85725</xdr:colOff>
      <xdr:row>17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191742</xdr:colOff>
      <xdr:row>77</xdr:row>
      <xdr:rowOff>67090</xdr:rowOff>
    </xdr:from>
    <xdr:to>
      <xdr:col>2</xdr:col>
      <xdr:colOff>1650475</xdr:colOff>
      <xdr:row>83</xdr:row>
      <xdr:rowOff>27720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254112" y="13269568"/>
          <a:ext cx="1458733" cy="954543"/>
          <a:chOff x="6554" y="8600"/>
          <a:chExt cx="2292" cy="1543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56" y="8600"/>
            <a:ext cx="772" cy="7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4" y="9480"/>
            <a:ext cx="1580" cy="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8" y="9412"/>
            <a:ext cx="699" cy="7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295275</xdr:colOff>
      <xdr:row>397</xdr:row>
      <xdr:rowOff>47625</xdr:rowOff>
    </xdr:from>
    <xdr:to>
      <xdr:col>8</xdr:col>
      <xdr:colOff>0</xdr:colOff>
      <xdr:row>404</xdr:row>
      <xdr:rowOff>76200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95275" y="76581000"/>
          <a:ext cx="8503920" cy="1162050"/>
        </a:xfrm>
        <a:prstGeom prst="rect">
          <a:avLst/>
        </a:prstGeom>
        <a:noFill/>
        <a:ln w="9144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4605" marR="0">
            <a:spcBef>
              <a:spcPts val="110"/>
            </a:spcBef>
            <a:spcAft>
              <a:spcPts val="0"/>
            </a:spcAft>
          </a:pPr>
          <a:r>
            <a:rPr lang="en-US" sz="700" b="0" u="sng">
              <a:effectLst/>
              <a:latin typeface="Times New Roman"/>
              <a:ea typeface="Arial"/>
              <a:cs typeface="Arial"/>
            </a:rPr>
            <a:t> </a:t>
          </a:r>
          <a:r>
            <a:rPr lang="en-US" sz="700" b="1" u="sng">
              <a:effectLst/>
              <a:latin typeface="Arial"/>
              <a:ea typeface="Arial"/>
            </a:rPr>
            <a:t>Assumptions of Project Costing:</a:t>
          </a:r>
          <a:endParaRPr lang="en-US" sz="700" b="1">
            <a:effectLst/>
            <a:latin typeface="Arial"/>
            <a:ea typeface="Arial"/>
          </a:endParaRPr>
        </a:p>
        <a:p>
          <a:pPr marL="14605" marR="3597910">
            <a:lnSpc>
              <a:spcPct val="145000"/>
            </a:lnSpc>
            <a:spcBef>
              <a:spcPts val="325"/>
            </a:spcBef>
            <a:spcAft>
              <a:spcPts val="0"/>
            </a:spcAft>
          </a:pPr>
          <a:r>
            <a:rPr lang="en-US" sz="700" b="1">
              <a:effectLst/>
              <a:latin typeface="Arial"/>
              <a:ea typeface="Arial"/>
            </a:rPr>
            <a:t>1.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The</a:t>
          </a:r>
          <a:r>
            <a:rPr lang="en-US" sz="700" b="1" spc="-4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Project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cost</a:t>
          </a:r>
          <a:r>
            <a:rPr lang="en-US" sz="700" b="1" spc="-4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estimates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are</a:t>
          </a:r>
          <a:r>
            <a:rPr lang="en-US" sz="700" b="1" spc="-4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worked-out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with</a:t>
          </a:r>
          <a:r>
            <a:rPr lang="en-US" sz="700" b="1" spc="-4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the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available</a:t>
          </a:r>
          <a:r>
            <a:rPr lang="en-US" sz="700" b="1" spc="-4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information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of</a:t>
          </a:r>
          <a:r>
            <a:rPr lang="en-US" sz="700" b="1" spc="-4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the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Project</a:t>
          </a:r>
          <a:r>
            <a:rPr lang="en-US" sz="700" b="1" spc="-4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as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on</a:t>
          </a:r>
          <a:r>
            <a:rPr lang="en-US" sz="700" b="1" spc="-5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date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&amp;</a:t>
          </a:r>
          <a:r>
            <a:rPr lang="en-US" sz="700" b="1" spc="-4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is</a:t>
          </a:r>
          <a:r>
            <a:rPr lang="en-US" sz="700" b="1" spc="-5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only</a:t>
          </a:r>
          <a:r>
            <a:rPr lang="en-US" sz="700" b="1" spc="-6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budgetary. 2.</a:t>
          </a:r>
          <a:r>
            <a:rPr lang="en-US" sz="700" b="1" spc="-1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This</a:t>
          </a:r>
          <a:r>
            <a:rPr lang="en-US" sz="700" b="1" spc="-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Project</a:t>
          </a:r>
          <a:r>
            <a:rPr lang="en-US" sz="700" b="1" spc="-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cost</a:t>
          </a:r>
          <a:r>
            <a:rPr lang="en-US" sz="700" b="1" spc="-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has</a:t>
          </a:r>
          <a:r>
            <a:rPr lang="en-US" sz="700" b="1" spc="-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been</a:t>
          </a:r>
          <a:r>
            <a:rPr lang="en-US" sz="700" b="1" spc="-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estimated</a:t>
          </a:r>
          <a:r>
            <a:rPr lang="en-US" sz="700" b="1" spc="-2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to</a:t>
          </a:r>
          <a:r>
            <a:rPr lang="en-US" sz="700" b="1" spc="-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an</a:t>
          </a:r>
          <a:r>
            <a:rPr lang="en-US" sz="700" b="1" spc="-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approximation</a:t>
          </a:r>
          <a:r>
            <a:rPr lang="en-US" sz="700" b="1" spc="-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of</a:t>
          </a:r>
          <a:r>
            <a:rPr lang="en-US" sz="700" b="1" spc="-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±</a:t>
          </a:r>
          <a:r>
            <a:rPr lang="en-US" sz="700" b="1" spc="-110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5</a:t>
          </a:r>
          <a:r>
            <a:rPr lang="en-US" sz="700" b="1" spc="-25">
              <a:effectLst/>
              <a:latin typeface="Arial"/>
              <a:ea typeface="Arial"/>
            </a:rPr>
            <a:t> </a:t>
          </a:r>
          <a:r>
            <a:rPr lang="en-US" sz="700" b="1">
              <a:effectLst/>
              <a:latin typeface="Arial"/>
              <a:ea typeface="Arial"/>
            </a:rPr>
            <a:t>%.</a:t>
          </a:r>
        </a:p>
        <a:p>
          <a:pPr marL="14605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US" sz="700" b="1">
              <a:effectLst/>
              <a:latin typeface="Arial"/>
              <a:ea typeface="Arial"/>
            </a:rPr>
            <a:t>3. Sources of Supply of Material Considered from India.</a:t>
          </a:r>
        </a:p>
        <a:p>
          <a:pPr marL="14605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US" sz="700" b="1">
              <a:effectLst/>
              <a:latin typeface="Arial"/>
              <a:ea typeface="Arial"/>
            </a:rPr>
            <a:t> </a:t>
          </a:r>
        </a:p>
      </xdr:txBody>
    </xdr:sp>
    <xdr:clientData/>
  </xdr:twoCellAnchor>
  <xdr:twoCellAnchor>
    <xdr:from>
      <xdr:col>2</xdr:col>
      <xdr:colOff>538369</xdr:colOff>
      <xdr:row>5</xdr:row>
      <xdr:rowOff>140804</xdr:rowOff>
    </xdr:from>
    <xdr:to>
      <xdr:col>2</xdr:col>
      <xdr:colOff>1281319</xdr:colOff>
      <xdr:row>10</xdr:row>
      <xdr:rowOff>108502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739" y="1151282"/>
          <a:ext cx="742950" cy="795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323022</xdr:colOff>
      <xdr:row>20</xdr:row>
      <xdr:rowOff>33130</xdr:rowOff>
    </xdr:from>
    <xdr:to>
      <xdr:col>2</xdr:col>
      <xdr:colOff>2113722</xdr:colOff>
      <xdr:row>27</xdr:row>
      <xdr:rowOff>61705</xdr:rowOff>
    </xdr:to>
    <xdr:pic>
      <xdr:nvPicPr>
        <xdr:cNvPr id="8" name="image2.jpe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392" y="3660913"/>
          <a:ext cx="1790700" cy="118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579783</xdr:colOff>
      <xdr:row>31</xdr:row>
      <xdr:rowOff>0</xdr:rowOff>
    </xdr:from>
    <xdr:to>
      <xdr:col>2</xdr:col>
      <xdr:colOff>1522758</xdr:colOff>
      <xdr:row>37</xdr:row>
      <xdr:rowOff>28575</xdr:rowOff>
    </xdr:to>
    <xdr:pic>
      <xdr:nvPicPr>
        <xdr:cNvPr id="9" name="image3.jpe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2153" y="5449957"/>
          <a:ext cx="942975" cy="1022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389283</xdr:colOff>
      <xdr:row>41</xdr:row>
      <xdr:rowOff>57978</xdr:rowOff>
    </xdr:from>
    <xdr:to>
      <xdr:col>2</xdr:col>
      <xdr:colOff>1427508</xdr:colOff>
      <xdr:row>44</xdr:row>
      <xdr:rowOff>181803</xdr:rowOff>
    </xdr:to>
    <xdr:pic>
      <xdr:nvPicPr>
        <xdr:cNvPr id="10" name="image4.jpe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653" y="7164456"/>
          <a:ext cx="1038225" cy="687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969065</xdr:colOff>
      <xdr:row>51</xdr:row>
      <xdr:rowOff>132521</xdr:rowOff>
    </xdr:from>
    <xdr:to>
      <xdr:col>2</xdr:col>
      <xdr:colOff>1702490</xdr:colOff>
      <xdr:row>54</xdr:row>
      <xdr:rowOff>157369</xdr:rowOff>
    </xdr:to>
    <xdr:pic>
      <xdr:nvPicPr>
        <xdr:cNvPr id="11" name="image8.jpe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435" y="9094304"/>
          <a:ext cx="733425" cy="588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530087</xdr:colOff>
      <xdr:row>56</xdr:row>
      <xdr:rowOff>140805</xdr:rowOff>
    </xdr:from>
    <xdr:to>
      <xdr:col>2</xdr:col>
      <xdr:colOff>1558787</xdr:colOff>
      <xdr:row>60</xdr:row>
      <xdr:rowOff>22777</xdr:rowOff>
    </xdr:to>
    <xdr:pic>
      <xdr:nvPicPr>
        <xdr:cNvPr id="12" name="image9.jpe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457" y="10063370"/>
          <a:ext cx="1028700" cy="54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861392</xdr:colOff>
      <xdr:row>61</xdr:row>
      <xdr:rowOff>24848</xdr:rowOff>
    </xdr:from>
    <xdr:to>
      <xdr:col>2</xdr:col>
      <xdr:colOff>1861517</xdr:colOff>
      <xdr:row>65</xdr:row>
      <xdr:rowOff>101048</xdr:rowOff>
    </xdr:to>
    <xdr:pic>
      <xdr:nvPicPr>
        <xdr:cNvPr id="13" name="image10.jpe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3762" y="10775674"/>
          <a:ext cx="1000125" cy="73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455544</xdr:colOff>
      <xdr:row>68</xdr:row>
      <xdr:rowOff>99392</xdr:rowOff>
    </xdr:from>
    <xdr:to>
      <xdr:col>2</xdr:col>
      <xdr:colOff>1665219</xdr:colOff>
      <xdr:row>72</xdr:row>
      <xdr:rowOff>147017</xdr:rowOff>
    </xdr:to>
    <xdr:pic>
      <xdr:nvPicPr>
        <xdr:cNvPr id="14" name="image11.jpe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914" y="12009783"/>
          <a:ext cx="1209675" cy="710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389282</xdr:colOff>
      <xdr:row>75</xdr:row>
      <xdr:rowOff>115956</xdr:rowOff>
    </xdr:from>
    <xdr:to>
      <xdr:col>2</xdr:col>
      <xdr:colOff>1094132</xdr:colOff>
      <xdr:row>78</xdr:row>
      <xdr:rowOff>36029</xdr:rowOff>
    </xdr:to>
    <xdr:pic>
      <xdr:nvPicPr>
        <xdr:cNvPr id="15" name="image12.jpe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652" y="13185913"/>
          <a:ext cx="704850" cy="41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1656522</xdr:colOff>
      <xdr:row>75</xdr:row>
      <xdr:rowOff>0</xdr:rowOff>
    </xdr:from>
    <xdr:to>
      <xdr:col>2</xdr:col>
      <xdr:colOff>2161347</xdr:colOff>
      <xdr:row>78</xdr:row>
      <xdr:rowOff>95251</xdr:rowOff>
    </xdr:to>
    <xdr:pic>
      <xdr:nvPicPr>
        <xdr:cNvPr id="16" name="image13.jpe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892" y="12871174"/>
          <a:ext cx="504825" cy="592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778565</xdr:colOff>
      <xdr:row>90</xdr:row>
      <xdr:rowOff>107674</xdr:rowOff>
    </xdr:from>
    <xdr:to>
      <xdr:col>2</xdr:col>
      <xdr:colOff>1521515</xdr:colOff>
      <xdr:row>95</xdr:row>
      <xdr:rowOff>75371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935" y="15968870"/>
          <a:ext cx="742950" cy="795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1027044</xdr:colOff>
      <xdr:row>99</xdr:row>
      <xdr:rowOff>149087</xdr:rowOff>
    </xdr:from>
    <xdr:to>
      <xdr:col>2</xdr:col>
      <xdr:colOff>1598544</xdr:colOff>
      <xdr:row>103</xdr:row>
      <xdr:rowOff>12010</xdr:rowOff>
    </xdr:to>
    <xdr:pic>
      <xdr:nvPicPr>
        <xdr:cNvPr id="18" name="image14.jpe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414" y="17567413"/>
          <a:ext cx="571500" cy="64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629478</xdr:colOff>
      <xdr:row>107</xdr:row>
      <xdr:rowOff>190500</xdr:rowOff>
    </xdr:from>
    <xdr:to>
      <xdr:col>2</xdr:col>
      <xdr:colOff>1572453</xdr:colOff>
      <xdr:row>109</xdr:row>
      <xdr:rowOff>115956</xdr:rowOff>
    </xdr:to>
    <xdr:pic>
      <xdr:nvPicPr>
        <xdr:cNvPr id="19" name="image15.jpe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848" y="19190804"/>
          <a:ext cx="942975" cy="61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438978</xdr:colOff>
      <xdr:row>115</xdr:row>
      <xdr:rowOff>99391</xdr:rowOff>
    </xdr:from>
    <xdr:to>
      <xdr:col>2</xdr:col>
      <xdr:colOff>1782003</xdr:colOff>
      <xdr:row>119</xdr:row>
      <xdr:rowOff>38928</xdr:rowOff>
    </xdr:to>
    <xdr:pic>
      <xdr:nvPicPr>
        <xdr:cNvPr id="20" name="image16.jpe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348" y="21435391"/>
          <a:ext cx="1343025" cy="97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646044</xdr:colOff>
      <xdr:row>131</xdr:row>
      <xdr:rowOff>91109</xdr:rowOff>
    </xdr:from>
    <xdr:to>
      <xdr:col>2</xdr:col>
      <xdr:colOff>1750944</xdr:colOff>
      <xdr:row>136</xdr:row>
      <xdr:rowOff>39757</xdr:rowOff>
    </xdr:to>
    <xdr:pic>
      <xdr:nvPicPr>
        <xdr:cNvPr id="21" name="image17.jpe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414" y="24665609"/>
          <a:ext cx="1104900" cy="785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314325</xdr:colOff>
      <xdr:row>140</xdr:row>
      <xdr:rowOff>114300</xdr:rowOff>
    </xdr:from>
    <xdr:to>
      <xdr:col>2</xdr:col>
      <xdr:colOff>1009650</xdr:colOff>
      <xdr:row>145</xdr:row>
      <xdr:rowOff>47625</xdr:rowOff>
    </xdr:to>
    <xdr:pic>
      <xdr:nvPicPr>
        <xdr:cNvPr id="22" name="image1.jpe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26317575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389282</xdr:colOff>
      <xdr:row>160</xdr:row>
      <xdr:rowOff>140805</xdr:rowOff>
    </xdr:from>
    <xdr:to>
      <xdr:col>2</xdr:col>
      <xdr:colOff>2094257</xdr:colOff>
      <xdr:row>165</xdr:row>
      <xdr:rowOff>159854</xdr:rowOff>
    </xdr:to>
    <xdr:pic>
      <xdr:nvPicPr>
        <xdr:cNvPr id="23" name="image20.jpe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652" y="30314348"/>
          <a:ext cx="1704975" cy="1087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57979</xdr:colOff>
      <xdr:row>171</xdr:row>
      <xdr:rowOff>24848</xdr:rowOff>
    </xdr:from>
    <xdr:to>
      <xdr:col>2</xdr:col>
      <xdr:colOff>1505779</xdr:colOff>
      <xdr:row>172</xdr:row>
      <xdr:rowOff>82826</xdr:rowOff>
    </xdr:to>
    <xdr:pic>
      <xdr:nvPicPr>
        <xdr:cNvPr id="24" name="image21.jpe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349" y="32724587"/>
          <a:ext cx="1447800" cy="347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215348</xdr:colOff>
      <xdr:row>174</xdr:row>
      <xdr:rowOff>107673</xdr:rowOff>
    </xdr:from>
    <xdr:to>
      <xdr:col>2</xdr:col>
      <xdr:colOff>843998</xdr:colOff>
      <xdr:row>177</xdr:row>
      <xdr:rowOff>75371</xdr:rowOff>
    </xdr:to>
    <xdr:pic>
      <xdr:nvPicPr>
        <xdr:cNvPr id="25" name="image22.jpe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718" y="33428608"/>
          <a:ext cx="628650" cy="464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1076740</xdr:colOff>
      <xdr:row>174</xdr:row>
      <xdr:rowOff>8282</xdr:rowOff>
    </xdr:from>
    <xdr:to>
      <xdr:col>2</xdr:col>
      <xdr:colOff>2324515</xdr:colOff>
      <xdr:row>178</xdr:row>
      <xdr:rowOff>109331</xdr:rowOff>
    </xdr:to>
    <xdr:pic>
      <xdr:nvPicPr>
        <xdr:cNvPr id="26" name="image23.jpe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110" y="32865391"/>
          <a:ext cx="1247775" cy="763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182218</xdr:colOff>
      <xdr:row>181</xdr:row>
      <xdr:rowOff>1</xdr:rowOff>
    </xdr:from>
    <xdr:to>
      <xdr:col>2</xdr:col>
      <xdr:colOff>2172943</xdr:colOff>
      <xdr:row>185</xdr:row>
      <xdr:rowOff>290306</xdr:rowOff>
    </xdr:to>
    <xdr:pic>
      <xdr:nvPicPr>
        <xdr:cNvPr id="27" name="image24.jpeg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4588" y="34770392"/>
          <a:ext cx="1990725" cy="148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66261</xdr:colOff>
      <xdr:row>195</xdr:row>
      <xdr:rowOff>165652</xdr:rowOff>
    </xdr:from>
    <xdr:to>
      <xdr:col>2</xdr:col>
      <xdr:colOff>1884901</xdr:colOff>
      <xdr:row>199</xdr:row>
      <xdr:rowOff>65322</xdr:rowOff>
    </xdr:to>
    <xdr:grpSp>
      <xdr:nvGrpSpPr>
        <xdr:cNvPr id="28" name="Group 27"/>
        <xdr:cNvGrpSpPr>
          <a:grpSpLocks/>
        </xdr:cNvGrpSpPr>
      </xdr:nvGrpSpPr>
      <xdr:grpSpPr bwMode="auto">
        <a:xfrm>
          <a:off x="2128631" y="38315348"/>
          <a:ext cx="1818640" cy="1390539"/>
          <a:chOff x="0" y="0"/>
          <a:chExt cx="2864" cy="2362"/>
        </a:xfrm>
      </xdr:grpSpPr>
      <xdr:pic>
        <xdr:nvPicPr>
          <xdr:cNvPr id="29" name="Picture 28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864" cy="1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0" name="Picture 29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43" y="1185"/>
            <a:ext cx="1316" cy="11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447261</xdr:colOff>
      <xdr:row>199</xdr:row>
      <xdr:rowOff>314739</xdr:rowOff>
    </xdr:from>
    <xdr:to>
      <xdr:col>2</xdr:col>
      <xdr:colOff>1885536</xdr:colOff>
      <xdr:row>202</xdr:row>
      <xdr:rowOff>104775</xdr:rowOff>
    </xdr:to>
    <xdr:pic>
      <xdr:nvPicPr>
        <xdr:cNvPr id="31" name="image27.jpe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9631" y="40137522"/>
          <a:ext cx="1438275" cy="527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</xdr:colOff>
      <xdr:row>207</xdr:row>
      <xdr:rowOff>41413</xdr:rowOff>
    </xdr:from>
    <xdr:to>
      <xdr:col>2</xdr:col>
      <xdr:colOff>819150</xdr:colOff>
      <xdr:row>208</xdr:row>
      <xdr:rowOff>241438</xdr:rowOff>
    </xdr:to>
    <xdr:pic>
      <xdr:nvPicPr>
        <xdr:cNvPr id="32" name="image28.jpe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870" y="41321935"/>
          <a:ext cx="628650" cy="431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1068457</xdr:colOff>
      <xdr:row>206</xdr:row>
      <xdr:rowOff>207064</xdr:rowOff>
    </xdr:from>
    <xdr:to>
      <xdr:col>2</xdr:col>
      <xdr:colOff>2399417</xdr:colOff>
      <xdr:row>208</xdr:row>
      <xdr:rowOff>96795</xdr:rowOff>
    </xdr:to>
    <xdr:grpSp>
      <xdr:nvGrpSpPr>
        <xdr:cNvPr id="33" name="Group 32"/>
        <xdr:cNvGrpSpPr>
          <a:grpSpLocks/>
        </xdr:cNvGrpSpPr>
      </xdr:nvGrpSpPr>
      <xdr:grpSpPr bwMode="auto">
        <a:xfrm>
          <a:off x="3130827" y="41603542"/>
          <a:ext cx="1330960" cy="353557"/>
          <a:chOff x="0" y="0"/>
          <a:chExt cx="2096" cy="562"/>
        </a:xfrm>
      </xdr:grpSpPr>
      <xdr:pic>
        <xdr:nvPicPr>
          <xdr:cNvPr id="34" name="Picture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98"/>
            <a:ext cx="968" cy="3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5" name="Picture 34"/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6" y="0"/>
            <a:ext cx="1220" cy="5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753718</xdr:colOff>
      <xdr:row>208</xdr:row>
      <xdr:rowOff>323022</xdr:rowOff>
    </xdr:from>
    <xdr:to>
      <xdr:col>2</xdr:col>
      <xdr:colOff>1420468</xdr:colOff>
      <xdr:row>211</xdr:row>
      <xdr:rowOff>103533</xdr:rowOff>
    </xdr:to>
    <xdr:pic>
      <xdr:nvPicPr>
        <xdr:cNvPr id="36" name="image31.jpe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88" y="41835457"/>
          <a:ext cx="666750" cy="97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546652</xdr:colOff>
      <xdr:row>211</xdr:row>
      <xdr:rowOff>149087</xdr:rowOff>
    </xdr:from>
    <xdr:to>
      <xdr:col>2</xdr:col>
      <xdr:colOff>1575352</xdr:colOff>
      <xdr:row>215</xdr:row>
      <xdr:rowOff>88210</xdr:rowOff>
    </xdr:to>
    <xdr:pic>
      <xdr:nvPicPr>
        <xdr:cNvPr id="37" name="image32.jpe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022" y="42854217"/>
          <a:ext cx="1028700" cy="841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770283</xdr:colOff>
      <xdr:row>220</xdr:row>
      <xdr:rowOff>91108</xdr:rowOff>
    </xdr:from>
    <xdr:to>
      <xdr:col>2</xdr:col>
      <xdr:colOff>1999008</xdr:colOff>
      <xdr:row>223</xdr:row>
      <xdr:rowOff>5798</xdr:rowOff>
    </xdr:to>
    <xdr:pic>
      <xdr:nvPicPr>
        <xdr:cNvPr id="38" name="image33.jpe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653" y="44527304"/>
          <a:ext cx="1228725" cy="70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695739</xdr:colOff>
      <xdr:row>224</xdr:row>
      <xdr:rowOff>356153</xdr:rowOff>
    </xdr:from>
    <xdr:to>
      <xdr:col>2</xdr:col>
      <xdr:colOff>1410114</xdr:colOff>
      <xdr:row>226</xdr:row>
      <xdr:rowOff>30646</xdr:rowOff>
    </xdr:to>
    <xdr:pic>
      <xdr:nvPicPr>
        <xdr:cNvPr id="39" name="image34.pn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109" y="45918783"/>
          <a:ext cx="7143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82826</xdr:colOff>
      <xdr:row>231</xdr:row>
      <xdr:rowOff>16565</xdr:rowOff>
    </xdr:from>
    <xdr:to>
      <xdr:col>2</xdr:col>
      <xdr:colOff>1140101</xdr:colOff>
      <xdr:row>233</xdr:row>
      <xdr:rowOff>16979</xdr:rowOff>
    </xdr:to>
    <xdr:pic>
      <xdr:nvPicPr>
        <xdr:cNvPr id="40" name="image35.pn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196" y="48279326"/>
          <a:ext cx="1057275" cy="397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198782</xdr:colOff>
      <xdr:row>233</xdr:row>
      <xdr:rowOff>149087</xdr:rowOff>
    </xdr:from>
    <xdr:to>
      <xdr:col>2</xdr:col>
      <xdr:colOff>1046507</xdr:colOff>
      <xdr:row>239</xdr:row>
      <xdr:rowOff>31060</xdr:rowOff>
    </xdr:to>
    <xdr:pic>
      <xdr:nvPicPr>
        <xdr:cNvPr id="41" name="image36.jpeg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1152" y="48809413"/>
          <a:ext cx="847725" cy="875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198782</xdr:colOff>
      <xdr:row>239</xdr:row>
      <xdr:rowOff>66261</xdr:rowOff>
    </xdr:from>
    <xdr:to>
      <xdr:col>2</xdr:col>
      <xdr:colOff>1237007</xdr:colOff>
      <xdr:row>242</xdr:row>
      <xdr:rowOff>75785</xdr:rowOff>
    </xdr:to>
    <xdr:pic>
      <xdr:nvPicPr>
        <xdr:cNvPr id="42" name="image37.jpe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1152" y="49720500"/>
          <a:ext cx="1038225" cy="5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173935</xdr:colOff>
      <xdr:row>246</xdr:row>
      <xdr:rowOff>298173</xdr:rowOff>
    </xdr:from>
    <xdr:to>
      <xdr:col>2</xdr:col>
      <xdr:colOff>916885</xdr:colOff>
      <xdr:row>250</xdr:row>
      <xdr:rowOff>223629</xdr:rowOff>
    </xdr:to>
    <xdr:pic>
      <xdr:nvPicPr>
        <xdr:cNvPr id="43" name="image38.jpe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305" y="51111977"/>
          <a:ext cx="742950" cy="828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74544</xdr:colOff>
      <xdr:row>243</xdr:row>
      <xdr:rowOff>49696</xdr:rowOff>
    </xdr:from>
    <xdr:to>
      <xdr:col>2</xdr:col>
      <xdr:colOff>827019</xdr:colOff>
      <xdr:row>246</xdr:row>
      <xdr:rowOff>163996</xdr:rowOff>
    </xdr:to>
    <xdr:pic>
      <xdr:nvPicPr>
        <xdr:cNvPr id="44" name="image39.jpe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914" y="50366544"/>
          <a:ext cx="752475" cy="611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496956</xdr:colOff>
      <xdr:row>259</xdr:row>
      <xdr:rowOff>66260</xdr:rowOff>
    </xdr:from>
    <xdr:to>
      <xdr:col>2</xdr:col>
      <xdr:colOff>1868556</xdr:colOff>
      <xdr:row>263</xdr:row>
      <xdr:rowOff>151985</xdr:rowOff>
    </xdr:to>
    <xdr:pic>
      <xdr:nvPicPr>
        <xdr:cNvPr id="45" name="image40.jpeg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326" y="53406260"/>
          <a:ext cx="1371600" cy="74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521805</xdr:colOff>
      <xdr:row>267</xdr:row>
      <xdr:rowOff>33131</xdr:rowOff>
    </xdr:from>
    <xdr:to>
      <xdr:col>2</xdr:col>
      <xdr:colOff>1531455</xdr:colOff>
      <xdr:row>271</xdr:row>
      <xdr:rowOff>42656</xdr:rowOff>
    </xdr:to>
    <xdr:pic>
      <xdr:nvPicPr>
        <xdr:cNvPr id="46" name="image41.jpeg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4175" y="54698348"/>
          <a:ext cx="1009650" cy="672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405848</xdr:colOff>
      <xdr:row>275</xdr:row>
      <xdr:rowOff>24848</xdr:rowOff>
    </xdr:from>
    <xdr:to>
      <xdr:col>2</xdr:col>
      <xdr:colOff>2044148</xdr:colOff>
      <xdr:row>280</xdr:row>
      <xdr:rowOff>11595</xdr:rowOff>
    </xdr:to>
    <xdr:pic>
      <xdr:nvPicPr>
        <xdr:cNvPr id="47" name="image42.jpe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218" y="56015283"/>
          <a:ext cx="1638300" cy="815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629478</xdr:colOff>
      <xdr:row>291</xdr:row>
      <xdr:rowOff>82827</xdr:rowOff>
    </xdr:from>
    <xdr:to>
      <xdr:col>2</xdr:col>
      <xdr:colOff>1562928</xdr:colOff>
      <xdr:row>296</xdr:row>
      <xdr:rowOff>2899</xdr:rowOff>
    </xdr:to>
    <xdr:pic>
      <xdr:nvPicPr>
        <xdr:cNvPr id="48" name="image43.jpe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848" y="58135631"/>
          <a:ext cx="933450" cy="748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300</xdr:row>
      <xdr:rowOff>0</xdr:rowOff>
    </xdr:from>
    <xdr:to>
      <xdr:col>2</xdr:col>
      <xdr:colOff>971550</xdr:colOff>
      <xdr:row>300</xdr:row>
      <xdr:rowOff>9525</xdr:rowOff>
    </xdr:to>
    <xdr:pic>
      <xdr:nvPicPr>
        <xdr:cNvPr id="49" name="image44.pn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60788550"/>
          <a:ext cx="9715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629478</xdr:colOff>
      <xdr:row>307</xdr:row>
      <xdr:rowOff>57978</xdr:rowOff>
    </xdr:from>
    <xdr:to>
      <xdr:col>2</xdr:col>
      <xdr:colOff>1581978</xdr:colOff>
      <xdr:row>311</xdr:row>
      <xdr:rowOff>67503</xdr:rowOff>
    </xdr:to>
    <xdr:pic>
      <xdr:nvPicPr>
        <xdr:cNvPr id="50" name="image45.jpe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848" y="60761217"/>
          <a:ext cx="952500" cy="672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819978</xdr:colOff>
      <xdr:row>315</xdr:row>
      <xdr:rowOff>41413</xdr:rowOff>
    </xdr:from>
    <xdr:to>
      <xdr:col>2</xdr:col>
      <xdr:colOff>1810578</xdr:colOff>
      <xdr:row>319</xdr:row>
      <xdr:rowOff>136664</xdr:rowOff>
    </xdr:to>
    <xdr:pic>
      <xdr:nvPicPr>
        <xdr:cNvPr id="51" name="image46.jpe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348" y="62069870"/>
          <a:ext cx="990600" cy="757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480391</xdr:colOff>
      <xdr:row>325</xdr:row>
      <xdr:rowOff>115957</xdr:rowOff>
    </xdr:from>
    <xdr:to>
      <xdr:col>2</xdr:col>
      <xdr:colOff>1490041</xdr:colOff>
      <xdr:row>331</xdr:row>
      <xdr:rowOff>45555</xdr:rowOff>
    </xdr:to>
    <xdr:pic>
      <xdr:nvPicPr>
        <xdr:cNvPr id="52" name="image47.jpe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761" y="63800935"/>
          <a:ext cx="1009650" cy="923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513522</xdr:colOff>
      <xdr:row>345</xdr:row>
      <xdr:rowOff>0</xdr:rowOff>
    </xdr:from>
    <xdr:to>
      <xdr:col>2</xdr:col>
      <xdr:colOff>1961322</xdr:colOff>
      <xdr:row>351</xdr:row>
      <xdr:rowOff>57150</xdr:rowOff>
    </xdr:to>
    <xdr:pic>
      <xdr:nvPicPr>
        <xdr:cNvPr id="53" name="image48.jpe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892" y="67793152"/>
          <a:ext cx="1447800" cy="105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331305</xdr:colOff>
      <xdr:row>355</xdr:row>
      <xdr:rowOff>49696</xdr:rowOff>
    </xdr:from>
    <xdr:to>
      <xdr:col>2</xdr:col>
      <xdr:colOff>2293455</xdr:colOff>
      <xdr:row>361</xdr:row>
      <xdr:rowOff>68746</xdr:rowOff>
    </xdr:to>
    <xdr:pic>
      <xdr:nvPicPr>
        <xdr:cNvPr id="54" name="image49.jpe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3675" y="69507653"/>
          <a:ext cx="1962150" cy="101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629478</xdr:colOff>
      <xdr:row>376</xdr:row>
      <xdr:rowOff>8283</xdr:rowOff>
    </xdr:from>
    <xdr:to>
      <xdr:col>2</xdr:col>
      <xdr:colOff>2277303</xdr:colOff>
      <xdr:row>381</xdr:row>
      <xdr:rowOff>141633</xdr:rowOff>
    </xdr:to>
    <xdr:pic>
      <xdr:nvPicPr>
        <xdr:cNvPr id="55" name="image50.jpe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848" y="72812413"/>
          <a:ext cx="1647825" cy="961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315</xdr:row>
      <xdr:rowOff>114300</xdr:rowOff>
    </xdr:from>
    <xdr:to>
      <xdr:col>10</xdr:col>
      <xdr:colOff>504825</xdr:colOff>
      <xdr:row>318</xdr:row>
      <xdr:rowOff>123825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295275" y="150256875"/>
          <a:ext cx="6305550" cy="495300"/>
        </a:xfrm>
        <a:prstGeom prst="rect">
          <a:avLst/>
        </a:prstGeom>
        <a:noFill/>
        <a:ln w="9144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750" b="1" i="0" u="sng" strike="noStrike" baseline="0">
              <a:solidFill>
                <a:srgbClr val="000000"/>
              </a:solidFill>
              <a:latin typeface="Yu Gothic"/>
              <a:ea typeface="Yu Gothic"/>
            </a:rPr>
            <a:t>Assumptions of Project Costing</a:t>
          </a:r>
          <a:r>
            <a:rPr lang="en-US" sz="75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:</a:t>
          </a:r>
        </a:p>
        <a:p>
          <a:pPr algn="l" rtl="0">
            <a:lnSpc>
              <a:spcPts val="1000"/>
            </a:lnSpc>
            <a:defRPr sz="1000"/>
          </a:pPr>
          <a:r>
            <a:rPr lang="en-US" sz="75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1. The Project cost estimates are worked-out with the available information of the Project as on date &amp; is only budgetary. 2. This Project cost has been estimated to an approximation of ± 15 %.</a:t>
          </a:r>
        </a:p>
        <a:p>
          <a:pPr algn="l" rtl="0">
            <a:defRPr sz="1000"/>
          </a:pPr>
          <a:r>
            <a:rPr lang="en-US" sz="75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3. Sources of Supply of Material Considered from India.</a:t>
          </a:r>
        </a:p>
      </xdr:txBody>
    </xdr:sp>
    <xdr:clientData/>
  </xdr:twoCellAnchor>
  <xdr:twoCellAnchor>
    <xdr:from>
      <xdr:col>2</xdr:col>
      <xdr:colOff>704850</xdr:colOff>
      <xdr:row>5</xdr:row>
      <xdr:rowOff>295275</xdr:rowOff>
    </xdr:from>
    <xdr:to>
      <xdr:col>2</xdr:col>
      <xdr:colOff>1666875</xdr:colOff>
      <xdr:row>8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57475"/>
          <a:ext cx="96202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285750</xdr:colOff>
      <xdr:row>13</xdr:row>
      <xdr:rowOff>19050</xdr:rowOff>
    </xdr:from>
    <xdr:to>
      <xdr:col>2</xdr:col>
      <xdr:colOff>2190750</xdr:colOff>
      <xdr:row>16</xdr:row>
      <xdr:rowOff>266700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038725"/>
          <a:ext cx="1905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276226</xdr:colOff>
      <xdr:row>18</xdr:row>
      <xdr:rowOff>9525</xdr:rowOff>
    </xdr:from>
    <xdr:to>
      <xdr:col>2</xdr:col>
      <xdr:colOff>1933576</xdr:colOff>
      <xdr:row>19</xdr:row>
      <xdr:rowOff>781050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6" y="6334125"/>
          <a:ext cx="16573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438151</xdr:colOff>
      <xdr:row>32</xdr:row>
      <xdr:rowOff>142875</xdr:rowOff>
    </xdr:from>
    <xdr:to>
      <xdr:col>2</xdr:col>
      <xdr:colOff>1676401</xdr:colOff>
      <xdr:row>34</xdr:row>
      <xdr:rowOff>247650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1" y="13649325"/>
          <a:ext cx="12382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666750</xdr:colOff>
      <xdr:row>40</xdr:row>
      <xdr:rowOff>0</xdr:rowOff>
    </xdr:from>
    <xdr:to>
      <xdr:col>2</xdr:col>
      <xdr:colOff>1228725</xdr:colOff>
      <xdr:row>42</xdr:row>
      <xdr:rowOff>152400</xdr:rowOff>
    </xdr:to>
    <xdr:pic>
      <xdr:nvPicPr>
        <xdr:cNvPr id="7" name="image105.jpe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6868775"/>
          <a:ext cx="5619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333375</xdr:colOff>
      <xdr:row>47</xdr:row>
      <xdr:rowOff>9525</xdr:rowOff>
    </xdr:from>
    <xdr:to>
      <xdr:col>2</xdr:col>
      <xdr:colOff>2324100</xdr:colOff>
      <xdr:row>47</xdr:row>
      <xdr:rowOff>628650</xdr:rowOff>
    </xdr:to>
    <xdr:pic>
      <xdr:nvPicPr>
        <xdr:cNvPr id="8" name="image106.jpe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1078825"/>
          <a:ext cx="19907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285750</xdr:colOff>
      <xdr:row>52</xdr:row>
      <xdr:rowOff>57150</xdr:rowOff>
    </xdr:from>
    <xdr:to>
      <xdr:col>2</xdr:col>
      <xdr:colOff>2124075</xdr:colOff>
      <xdr:row>53</xdr:row>
      <xdr:rowOff>552450</xdr:rowOff>
    </xdr:to>
    <xdr:pic>
      <xdr:nvPicPr>
        <xdr:cNvPr id="9" name="image104.jpe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24069675"/>
          <a:ext cx="18383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61</xdr:row>
      <xdr:rowOff>0</xdr:rowOff>
    </xdr:from>
    <xdr:to>
      <xdr:col>2</xdr:col>
      <xdr:colOff>1885951</xdr:colOff>
      <xdr:row>63</xdr:row>
      <xdr:rowOff>38100</xdr:rowOff>
    </xdr:to>
    <xdr:pic>
      <xdr:nvPicPr>
        <xdr:cNvPr id="10" name="image107.jpe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1" y="31203900"/>
          <a:ext cx="18859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409575</xdr:colOff>
      <xdr:row>70</xdr:row>
      <xdr:rowOff>9525</xdr:rowOff>
    </xdr:from>
    <xdr:to>
      <xdr:col>2</xdr:col>
      <xdr:colOff>2085974</xdr:colOff>
      <xdr:row>72</xdr:row>
      <xdr:rowOff>190500</xdr:rowOff>
    </xdr:to>
    <xdr:pic>
      <xdr:nvPicPr>
        <xdr:cNvPr id="11" name="image103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36937950"/>
          <a:ext cx="1676399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2</xdr:col>
      <xdr:colOff>1924050</xdr:colOff>
      <xdr:row>79</xdr:row>
      <xdr:rowOff>752475</xdr:rowOff>
    </xdr:to>
    <xdr:pic>
      <xdr:nvPicPr>
        <xdr:cNvPr id="12" name="image108.jpe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1157525"/>
          <a:ext cx="19240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89</xdr:row>
      <xdr:rowOff>0</xdr:rowOff>
    </xdr:from>
    <xdr:to>
      <xdr:col>2</xdr:col>
      <xdr:colOff>1800225</xdr:colOff>
      <xdr:row>92</xdr:row>
      <xdr:rowOff>123825</xdr:rowOff>
    </xdr:to>
    <xdr:pic>
      <xdr:nvPicPr>
        <xdr:cNvPr id="13" name="image109.jpe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7139225"/>
          <a:ext cx="180022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98</xdr:row>
      <xdr:rowOff>0</xdr:rowOff>
    </xdr:from>
    <xdr:to>
      <xdr:col>2</xdr:col>
      <xdr:colOff>2124075</xdr:colOff>
      <xdr:row>98</xdr:row>
      <xdr:rowOff>666750</xdr:rowOff>
    </xdr:to>
    <xdr:pic>
      <xdr:nvPicPr>
        <xdr:cNvPr id="14" name="image110.jpe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0844450"/>
          <a:ext cx="21240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323850</xdr:colOff>
      <xdr:row>103</xdr:row>
      <xdr:rowOff>1009650</xdr:rowOff>
    </xdr:from>
    <xdr:to>
      <xdr:col>2</xdr:col>
      <xdr:colOff>2247900</xdr:colOff>
      <xdr:row>104</xdr:row>
      <xdr:rowOff>314325</xdr:rowOff>
    </xdr:to>
    <xdr:pic>
      <xdr:nvPicPr>
        <xdr:cNvPr id="20" name="image116.jpe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63931800"/>
          <a:ext cx="19240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200025</xdr:colOff>
      <xdr:row>108</xdr:row>
      <xdr:rowOff>209550</xdr:rowOff>
    </xdr:from>
    <xdr:to>
      <xdr:col>2</xdr:col>
      <xdr:colOff>2266950</xdr:colOff>
      <xdr:row>109</xdr:row>
      <xdr:rowOff>904875</xdr:rowOff>
    </xdr:to>
    <xdr:grpSp>
      <xdr:nvGrpSpPr>
        <xdr:cNvPr id="18459" name="Group 27"/>
        <xdr:cNvGrpSpPr>
          <a:grpSpLocks/>
        </xdr:cNvGrpSpPr>
      </xdr:nvGrpSpPr>
      <xdr:grpSpPr bwMode="auto">
        <a:xfrm>
          <a:off x="1419225" y="51939825"/>
          <a:ext cx="2066925" cy="1562100"/>
          <a:chOff x="0" y="0"/>
          <a:chExt cx="3084" cy="2460"/>
        </a:xfrm>
      </xdr:grpSpPr>
      <xdr:pic>
        <xdr:nvPicPr>
          <xdr:cNvPr id="22" name="Picture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" y="0"/>
            <a:ext cx="2981" cy="13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394"/>
            <a:ext cx="1541" cy="91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8" y="1236"/>
            <a:ext cx="1371" cy="12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161925</xdr:colOff>
      <xdr:row>111</xdr:row>
      <xdr:rowOff>1066800</xdr:rowOff>
    </xdr:from>
    <xdr:to>
      <xdr:col>2</xdr:col>
      <xdr:colOff>2219325</xdr:colOff>
      <xdr:row>112</xdr:row>
      <xdr:rowOff>9525</xdr:rowOff>
    </xdr:to>
    <xdr:pic>
      <xdr:nvPicPr>
        <xdr:cNvPr id="25" name="image120.jpe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76257150"/>
          <a:ext cx="20574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352425</xdr:colOff>
      <xdr:row>120</xdr:row>
      <xdr:rowOff>0</xdr:rowOff>
    </xdr:from>
    <xdr:to>
      <xdr:col>2</xdr:col>
      <xdr:colOff>2286001</xdr:colOff>
      <xdr:row>121</xdr:row>
      <xdr:rowOff>0</xdr:rowOff>
    </xdr:to>
    <xdr:grpSp>
      <xdr:nvGrpSpPr>
        <xdr:cNvPr id="18454" name="Group 22"/>
        <xdr:cNvGrpSpPr>
          <a:grpSpLocks/>
        </xdr:cNvGrpSpPr>
      </xdr:nvGrpSpPr>
      <xdr:grpSpPr bwMode="auto">
        <a:xfrm>
          <a:off x="1571625" y="62312550"/>
          <a:ext cx="1933576" cy="495300"/>
          <a:chOff x="0" y="0"/>
          <a:chExt cx="3269" cy="778"/>
        </a:xfrm>
      </xdr:grpSpPr>
      <xdr:pic>
        <xdr:nvPicPr>
          <xdr:cNvPr id="27" name="Picture 26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76"/>
            <a:ext cx="1020" cy="7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7" y="204"/>
            <a:ext cx="1008" cy="32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9" y="0"/>
            <a:ext cx="1270" cy="5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209550</xdr:colOff>
      <xdr:row>122</xdr:row>
      <xdr:rowOff>0</xdr:rowOff>
    </xdr:from>
    <xdr:to>
      <xdr:col>2</xdr:col>
      <xdr:colOff>2028825</xdr:colOff>
      <xdr:row>123</xdr:row>
      <xdr:rowOff>800100</xdr:rowOff>
    </xdr:to>
    <xdr:pic>
      <xdr:nvPicPr>
        <xdr:cNvPr id="30" name="image124.jpe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84286725"/>
          <a:ext cx="18192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171450</xdr:colOff>
      <xdr:row>123</xdr:row>
      <xdr:rowOff>942975</xdr:rowOff>
    </xdr:from>
    <xdr:to>
      <xdr:col>2</xdr:col>
      <xdr:colOff>2095500</xdr:colOff>
      <xdr:row>123</xdr:row>
      <xdr:rowOff>1828800</xdr:rowOff>
    </xdr:to>
    <xdr:pic>
      <xdr:nvPicPr>
        <xdr:cNvPr id="31" name="image125.jpe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85477350"/>
          <a:ext cx="19240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552450</xdr:colOff>
      <xdr:row>130</xdr:row>
      <xdr:rowOff>209550</xdr:rowOff>
    </xdr:from>
    <xdr:to>
      <xdr:col>2</xdr:col>
      <xdr:colOff>2047875</xdr:colOff>
      <xdr:row>134</xdr:row>
      <xdr:rowOff>123825</xdr:rowOff>
    </xdr:to>
    <xdr:grpSp>
      <xdr:nvGrpSpPr>
        <xdr:cNvPr id="18447" name="Group 15"/>
        <xdr:cNvGrpSpPr>
          <a:grpSpLocks/>
        </xdr:cNvGrpSpPr>
      </xdr:nvGrpSpPr>
      <xdr:grpSpPr bwMode="auto">
        <a:xfrm>
          <a:off x="1771650" y="69618225"/>
          <a:ext cx="1495425" cy="942975"/>
          <a:chOff x="0" y="0"/>
          <a:chExt cx="3183" cy="1481"/>
        </a:xfrm>
      </xdr:grpSpPr>
      <xdr:pic>
        <xdr:nvPicPr>
          <xdr:cNvPr id="35" name="Picture 34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7" y="0"/>
            <a:ext cx="1385" cy="14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64"/>
            <a:ext cx="1731" cy="6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409574</xdr:colOff>
      <xdr:row>137</xdr:row>
      <xdr:rowOff>38100</xdr:rowOff>
    </xdr:from>
    <xdr:to>
      <xdr:col>2</xdr:col>
      <xdr:colOff>1819275</xdr:colOff>
      <xdr:row>139</xdr:row>
      <xdr:rowOff>152400</xdr:rowOff>
    </xdr:to>
    <xdr:pic>
      <xdr:nvPicPr>
        <xdr:cNvPr id="37" name="image130.jpe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4" y="102165150"/>
          <a:ext cx="140970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371475</xdr:colOff>
      <xdr:row>140</xdr:row>
      <xdr:rowOff>95250</xdr:rowOff>
    </xdr:from>
    <xdr:to>
      <xdr:col>2</xdr:col>
      <xdr:colOff>1971675</xdr:colOff>
      <xdr:row>142</xdr:row>
      <xdr:rowOff>352425</xdr:rowOff>
    </xdr:to>
    <xdr:pic>
      <xdr:nvPicPr>
        <xdr:cNvPr id="38" name="image131.jpeg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02908100"/>
          <a:ext cx="16002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542925</xdr:colOff>
      <xdr:row>144</xdr:row>
      <xdr:rowOff>38100</xdr:rowOff>
    </xdr:from>
    <xdr:to>
      <xdr:col>2</xdr:col>
      <xdr:colOff>1771651</xdr:colOff>
      <xdr:row>144</xdr:row>
      <xdr:rowOff>666750</xdr:rowOff>
    </xdr:to>
    <xdr:pic>
      <xdr:nvPicPr>
        <xdr:cNvPr id="39" name="image132.jpe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04251125"/>
          <a:ext cx="122872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333375</xdr:colOff>
      <xdr:row>152</xdr:row>
      <xdr:rowOff>76200</xdr:rowOff>
    </xdr:from>
    <xdr:to>
      <xdr:col>2</xdr:col>
      <xdr:colOff>2019300</xdr:colOff>
      <xdr:row>157</xdr:row>
      <xdr:rowOff>95250</xdr:rowOff>
    </xdr:to>
    <xdr:pic>
      <xdr:nvPicPr>
        <xdr:cNvPr id="42" name="image135.jpe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13557050"/>
          <a:ext cx="16859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161925</xdr:colOff>
      <xdr:row>177</xdr:row>
      <xdr:rowOff>28575</xdr:rowOff>
    </xdr:from>
    <xdr:to>
      <xdr:col>2</xdr:col>
      <xdr:colOff>2276475</xdr:colOff>
      <xdr:row>181</xdr:row>
      <xdr:rowOff>142875</xdr:rowOff>
    </xdr:to>
    <xdr:pic>
      <xdr:nvPicPr>
        <xdr:cNvPr id="43" name="image136.jpeg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1319925"/>
          <a:ext cx="21145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419100</xdr:colOff>
      <xdr:row>185</xdr:row>
      <xdr:rowOff>0</xdr:rowOff>
    </xdr:from>
    <xdr:to>
      <xdr:col>2</xdr:col>
      <xdr:colOff>1914525</xdr:colOff>
      <xdr:row>190</xdr:row>
      <xdr:rowOff>142875</xdr:rowOff>
    </xdr:to>
    <xdr:pic>
      <xdr:nvPicPr>
        <xdr:cNvPr id="44" name="image137.jpe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22605800"/>
          <a:ext cx="14954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590550</xdr:colOff>
      <xdr:row>224</xdr:row>
      <xdr:rowOff>114300</xdr:rowOff>
    </xdr:from>
    <xdr:to>
      <xdr:col>2</xdr:col>
      <xdr:colOff>1914525</xdr:colOff>
      <xdr:row>227</xdr:row>
      <xdr:rowOff>19050</xdr:rowOff>
    </xdr:to>
    <xdr:pic>
      <xdr:nvPicPr>
        <xdr:cNvPr id="45" name="image138.jpe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9663825"/>
          <a:ext cx="132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571500</xdr:colOff>
      <xdr:row>232</xdr:row>
      <xdr:rowOff>0</xdr:rowOff>
    </xdr:from>
    <xdr:to>
      <xdr:col>2</xdr:col>
      <xdr:colOff>2095500</xdr:colOff>
      <xdr:row>237</xdr:row>
      <xdr:rowOff>123825</xdr:rowOff>
    </xdr:to>
    <xdr:pic>
      <xdr:nvPicPr>
        <xdr:cNvPr id="46" name="image139.jpeg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31940300"/>
          <a:ext cx="15240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609600</xdr:colOff>
      <xdr:row>247</xdr:row>
      <xdr:rowOff>0</xdr:rowOff>
    </xdr:from>
    <xdr:to>
      <xdr:col>2</xdr:col>
      <xdr:colOff>1895475</xdr:colOff>
      <xdr:row>253</xdr:row>
      <xdr:rowOff>114300</xdr:rowOff>
    </xdr:to>
    <xdr:pic>
      <xdr:nvPicPr>
        <xdr:cNvPr id="47" name="image140.jpe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4654925"/>
          <a:ext cx="1285875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409575</xdr:colOff>
      <xdr:row>270</xdr:row>
      <xdr:rowOff>0</xdr:rowOff>
    </xdr:from>
    <xdr:to>
      <xdr:col>2</xdr:col>
      <xdr:colOff>2190751</xdr:colOff>
      <xdr:row>276</xdr:row>
      <xdr:rowOff>66675</xdr:rowOff>
    </xdr:to>
    <xdr:pic>
      <xdr:nvPicPr>
        <xdr:cNvPr id="48" name="image141.jpe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38817350"/>
          <a:ext cx="1781176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600074</xdr:colOff>
      <xdr:row>291</xdr:row>
      <xdr:rowOff>0</xdr:rowOff>
    </xdr:from>
    <xdr:to>
      <xdr:col>2</xdr:col>
      <xdr:colOff>1981199</xdr:colOff>
      <xdr:row>297</xdr:row>
      <xdr:rowOff>0</xdr:rowOff>
    </xdr:to>
    <xdr:pic>
      <xdr:nvPicPr>
        <xdr:cNvPr id="49" name="image142.jpe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4" y="145913475"/>
          <a:ext cx="138112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161926</xdr:colOff>
      <xdr:row>4</xdr:row>
      <xdr:rowOff>238125</xdr:rowOff>
    </xdr:from>
    <xdr:to>
      <xdr:col>2</xdr:col>
      <xdr:colOff>2276476</xdr:colOff>
      <xdr:row>6</xdr:row>
      <xdr:rowOff>390525</xdr:rowOff>
    </xdr:to>
    <xdr:pic>
      <xdr:nvPicPr>
        <xdr:cNvPr id="2" name="image111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6" y="51320700"/>
          <a:ext cx="21145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85726</xdr:colOff>
      <xdr:row>9</xdr:row>
      <xdr:rowOff>142875</xdr:rowOff>
    </xdr:from>
    <xdr:to>
      <xdr:col>2</xdr:col>
      <xdr:colOff>2085976</xdr:colOff>
      <xdr:row>10</xdr:row>
      <xdr:rowOff>28575</xdr:rowOff>
    </xdr:to>
    <xdr:pic>
      <xdr:nvPicPr>
        <xdr:cNvPr id="3" name="image112.jpe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52111275"/>
          <a:ext cx="2000250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285750</xdr:colOff>
      <xdr:row>12</xdr:row>
      <xdr:rowOff>847725</xdr:rowOff>
    </xdr:from>
    <xdr:to>
      <xdr:col>2</xdr:col>
      <xdr:colOff>2305050</xdr:colOff>
      <xdr:row>15</xdr:row>
      <xdr:rowOff>457200</xdr:rowOff>
    </xdr:to>
    <xdr:pic>
      <xdr:nvPicPr>
        <xdr:cNvPr id="4" name="image113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2616100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209550</xdr:colOff>
      <xdr:row>12</xdr:row>
      <xdr:rowOff>85725</xdr:rowOff>
    </xdr:from>
    <xdr:to>
      <xdr:col>2</xdr:col>
      <xdr:colOff>2209800</xdr:colOff>
      <xdr:row>12</xdr:row>
      <xdr:rowOff>857250</xdr:rowOff>
    </xdr:to>
    <xdr:pic>
      <xdr:nvPicPr>
        <xdr:cNvPr id="5" name="image114.jpe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52539900"/>
          <a:ext cx="20002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18</xdr:row>
      <xdr:rowOff>0</xdr:rowOff>
    </xdr:from>
    <xdr:to>
      <xdr:col>2</xdr:col>
      <xdr:colOff>2219325</xdr:colOff>
      <xdr:row>18</xdr:row>
      <xdr:rowOff>1095375</xdr:rowOff>
    </xdr:to>
    <xdr:pic>
      <xdr:nvPicPr>
        <xdr:cNvPr id="6" name="image115.jpe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3425725"/>
          <a:ext cx="19812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666750</xdr:colOff>
      <xdr:row>24</xdr:row>
      <xdr:rowOff>371475</xdr:rowOff>
    </xdr:from>
    <xdr:to>
      <xdr:col>2</xdr:col>
      <xdr:colOff>2228850</xdr:colOff>
      <xdr:row>24</xdr:row>
      <xdr:rowOff>885825</xdr:rowOff>
    </xdr:to>
    <xdr:pic>
      <xdr:nvPicPr>
        <xdr:cNvPr id="7" name="image126.jpe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72504300"/>
          <a:ext cx="15621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323850</xdr:colOff>
      <xdr:row>26</xdr:row>
      <xdr:rowOff>371475</xdr:rowOff>
    </xdr:from>
    <xdr:to>
      <xdr:col>2</xdr:col>
      <xdr:colOff>2028826</xdr:colOff>
      <xdr:row>26</xdr:row>
      <xdr:rowOff>752475</xdr:rowOff>
    </xdr:to>
    <xdr:pic>
      <xdr:nvPicPr>
        <xdr:cNvPr id="8" name="image127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72828150"/>
          <a:ext cx="170497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647700</xdr:colOff>
      <xdr:row>35</xdr:row>
      <xdr:rowOff>57150</xdr:rowOff>
    </xdr:from>
    <xdr:to>
      <xdr:col>2</xdr:col>
      <xdr:colOff>1809750</xdr:colOff>
      <xdr:row>40</xdr:row>
      <xdr:rowOff>9525</xdr:rowOff>
    </xdr:to>
    <xdr:pic>
      <xdr:nvPicPr>
        <xdr:cNvPr id="9" name="image133.jpe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79676625"/>
          <a:ext cx="11620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361950</xdr:colOff>
      <xdr:row>43</xdr:row>
      <xdr:rowOff>9525</xdr:rowOff>
    </xdr:from>
    <xdr:to>
      <xdr:col>2</xdr:col>
      <xdr:colOff>1924050</xdr:colOff>
      <xdr:row>47</xdr:row>
      <xdr:rowOff>47625</xdr:rowOff>
    </xdr:to>
    <xdr:pic>
      <xdr:nvPicPr>
        <xdr:cNvPr id="10" name="image134.jpe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80924400"/>
          <a:ext cx="15621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N%20Jha/Kedar%20Ganga/Project%20Report%20Format%20DSCR%20Kedar%20Ganga%20Final%2013.06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TRO 2"/>
      <sheetName val="INTRO3"/>
      <sheetName val="Cost of Project &amp; means of fina"/>
      <sheetName val="REVENUE"/>
      <sheetName val="furniture PM"/>
      <sheetName val="manpower"/>
      <sheetName val="Projected profitibilty"/>
      <sheetName val="Sheet2"/>
      <sheetName val="proposed term loan quater"/>
      <sheetName val="proposed term loan"/>
      <sheetName val="DSCR "/>
      <sheetName val="BEP"/>
      <sheetName val="sheet"/>
      <sheetName val="Sheet1"/>
      <sheetName val="BS"/>
      <sheetName val="IRR"/>
      <sheetName val="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C23">
            <v>862.17341141375005</v>
          </cell>
          <cell r="D23">
            <v>822.80202773788756</v>
          </cell>
          <cell r="E23">
            <v>775.7137717097844</v>
          </cell>
          <cell r="F23">
            <v>724.60764084863877</v>
          </cell>
          <cell r="G23">
            <v>648.41097393315272</v>
          </cell>
          <cell r="H23">
            <v>570.63403399619915</v>
          </cell>
          <cell r="I23">
            <v>488.91580607612468</v>
          </cell>
          <cell r="J23">
            <v>390.07010690479296</v>
          </cell>
          <cell r="K23">
            <v>313.45697727951995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zoomScaleNormal="100" workbookViewId="0">
      <selection activeCell="B9" sqref="B9"/>
    </sheetView>
  </sheetViews>
  <sheetFormatPr defaultColWidth="9.140625" defaultRowHeight="15" x14ac:dyDescent="0.25"/>
  <cols>
    <col min="1" max="1" width="4.42578125" style="216" customWidth="1"/>
    <col min="2" max="2" width="27.140625" style="216" bestFit="1" customWidth="1"/>
    <col min="3" max="3" width="9.140625" style="243"/>
    <col min="4" max="4" width="10" style="243" bestFit="1" customWidth="1"/>
    <col min="5" max="14" width="9.140625" style="243"/>
    <col min="15" max="15" width="0" style="216" hidden="1" customWidth="1"/>
    <col min="16" max="16384" width="9.140625" style="216"/>
  </cols>
  <sheetData>
    <row r="2" spans="2:15" x14ac:dyDescent="0.25">
      <c r="B2" s="505" t="s">
        <v>708</v>
      </c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</row>
    <row r="3" spans="2:15" x14ac:dyDescent="0.25">
      <c r="B3" s="427" t="s">
        <v>709</v>
      </c>
      <c r="C3" s="250"/>
      <c r="D3" s="250" t="s">
        <v>51</v>
      </c>
      <c r="E3" s="250" t="s">
        <v>52</v>
      </c>
      <c r="F3" s="250" t="s">
        <v>53</v>
      </c>
      <c r="G3" s="250" t="s">
        <v>54</v>
      </c>
      <c r="H3" s="250" t="s">
        <v>55</v>
      </c>
      <c r="I3" s="250" t="s">
        <v>56</v>
      </c>
      <c r="J3" s="250" t="s">
        <v>57</v>
      </c>
      <c r="K3" s="250" t="s">
        <v>62</v>
      </c>
      <c r="L3" s="250" t="s">
        <v>63</v>
      </c>
      <c r="M3" s="250" t="s">
        <v>64</v>
      </c>
      <c r="N3" s="250" t="s">
        <v>65</v>
      </c>
      <c r="O3" s="400" t="s">
        <v>69</v>
      </c>
    </row>
    <row r="4" spans="2:15" x14ac:dyDescent="0.25">
      <c r="B4" s="237" t="s">
        <v>711</v>
      </c>
      <c r="C4" s="416"/>
      <c r="D4" s="401">
        <f>Capacity!D33</f>
        <v>0.35</v>
      </c>
      <c r="E4" s="401">
        <f>Capacity!E33</f>
        <v>0.45</v>
      </c>
      <c r="F4" s="401">
        <f>Capacity!F33</f>
        <v>0.5</v>
      </c>
      <c r="G4" s="401">
        <f>Capacity!G33</f>
        <v>0.55000000000000004</v>
      </c>
      <c r="H4" s="401">
        <f>Capacity!H33</f>
        <v>0.60000000000000009</v>
      </c>
      <c r="I4" s="401">
        <f>Capacity!I33</f>
        <v>0.65000000000000013</v>
      </c>
      <c r="J4" s="401">
        <f>Capacity!J33</f>
        <v>0.70000000000000018</v>
      </c>
      <c r="K4" s="401">
        <f>Capacity!K33</f>
        <v>0.75000000000000022</v>
      </c>
      <c r="L4" s="401">
        <f>Capacity!L33</f>
        <v>0.80000000000000027</v>
      </c>
      <c r="M4" s="401">
        <f>Capacity!M33</f>
        <v>0.85000000000000031</v>
      </c>
      <c r="N4" s="401">
        <f>Capacity!N33</f>
        <v>0.90000000000000036</v>
      </c>
      <c r="O4" s="401">
        <f>Capacity!O33</f>
        <v>0</v>
      </c>
    </row>
    <row r="5" spans="2:15" x14ac:dyDescent="0.25">
      <c r="B5" s="237" t="s">
        <v>712</v>
      </c>
      <c r="C5" s="416"/>
      <c r="D5" s="248">
        <f>'P&amp;L(Proposed)'!G11</f>
        <v>354.17971874999995</v>
      </c>
      <c r="E5" s="248">
        <f>'P&amp;L(Proposed)'!H11</f>
        <v>5421.5013749999998</v>
      </c>
      <c r="F5" s="248">
        <f>'P&amp;L(Proposed)'!I11</f>
        <v>6023.8537500000002</v>
      </c>
      <c r="G5" s="248">
        <f>'P&amp;L(Proposed)'!J11</f>
        <v>6626.2391250000001</v>
      </c>
      <c r="H5" s="248">
        <f>'P&amp;L(Proposed)'!K11</f>
        <v>7228.6608000000015</v>
      </c>
      <c r="I5" s="248">
        <f>'P&amp;L(Proposed)'!L11</f>
        <v>7831.1224050000019</v>
      </c>
      <c r="J5" s="248">
        <f>'P&amp;L(Proposed)'!M11</f>
        <v>8433.6279330000034</v>
      </c>
      <c r="K5" s="248">
        <f>'P&amp;L(Proposed)'!N11</f>
        <v>9036.1817763000017</v>
      </c>
      <c r="L5" s="248">
        <f>'P&amp;L(Proposed)'!O11</f>
        <v>9638.7887664300033</v>
      </c>
      <c r="M5" s="248">
        <f>'P&amp;L(Proposed)'!P11</f>
        <v>10241.454218073004</v>
      </c>
      <c r="N5" s="248">
        <f>'P&amp;L(Proposed)'!Q11</f>
        <v>10844.183977380304</v>
      </c>
      <c r="O5" s="239" t="e">
        <f>'P&amp;L(Proposed)'!#REF!</f>
        <v>#REF!</v>
      </c>
    </row>
    <row r="6" spans="2:15" x14ac:dyDescent="0.25">
      <c r="B6" s="237" t="s">
        <v>713</v>
      </c>
      <c r="C6" s="416"/>
      <c r="D6" s="248">
        <f>'P&amp;L(Proposed)'!G27</f>
        <v>10</v>
      </c>
      <c r="E6" s="248">
        <f>'P&amp;L(Proposed)'!H27</f>
        <v>151.70963849999998</v>
      </c>
      <c r="F6" s="248">
        <f>'P&amp;L(Proposed)'!I27</f>
        <v>202.27951800000002</v>
      </c>
      <c r="G6" s="248">
        <f>'P&amp;L(Proposed)'!J27</f>
        <v>241.04975894999998</v>
      </c>
      <c r="H6" s="248">
        <f>'P&amp;L(Proposed)'!K27</f>
        <v>262.96337340000008</v>
      </c>
      <c r="I6" s="248">
        <f>'P&amp;L(Proposed)'!L27</f>
        <v>241.04975895000007</v>
      </c>
      <c r="J6" s="248">
        <f>'P&amp;L(Proposed)'!M27</f>
        <v>259.59204810000011</v>
      </c>
      <c r="K6" s="248">
        <f>'P&amp;L(Proposed)'!N27</f>
        <v>252.84939750000004</v>
      </c>
      <c r="L6" s="248">
        <f>'P&amp;L(Proposed)'!O27</f>
        <v>269.70602400000013</v>
      </c>
      <c r="M6" s="248">
        <f>'P&amp;L(Proposed)'!P27</f>
        <v>286.56265050000013</v>
      </c>
      <c r="N6" s="248">
        <f>'P&amp;L(Proposed)'!Q27</f>
        <v>303.41927700000014</v>
      </c>
      <c r="O6" s="239" t="e">
        <f>'P&amp;L(Proposed)'!#REF!</f>
        <v>#REF!</v>
      </c>
    </row>
    <row r="7" spans="2:15" x14ac:dyDescent="0.25">
      <c r="B7" s="237" t="s">
        <v>714</v>
      </c>
      <c r="C7" s="416"/>
      <c r="D7" s="248">
        <f>'P&amp;L(Proposed)'!G28</f>
        <v>15</v>
      </c>
      <c r="E7" s="248">
        <f>'P&amp;L(Proposed)'!H28</f>
        <v>227.56445774999997</v>
      </c>
      <c r="F7" s="248">
        <f>'P&amp;L(Proposed)'!I28</f>
        <v>303.41927699999997</v>
      </c>
      <c r="G7" s="248">
        <f>'P&amp;L(Proposed)'!J28</f>
        <v>361.57463842499993</v>
      </c>
      <c r="H7" s="248">
        <f>'P&amp;L(Proposed)'!K28</f>
        <v>394.44506010000003</v>
      </c>
      <c r="I7" s="248">
        <f>'P&amp;L(Proposed)'!L28</f>
        <v>361.5746384250001</v>
      </c>
      <c r="J7" s="248">
        <f>'P&amp;L(Proposed)'!M28</f>
        <v>389.38807215000014</v>
      </c>
      <c r="K7" s="248">
        <f>'P&amp;L(Proposed)'!N28</f>
        <v>379.27409625000001</v>
      </c>
      <c r="L7" s="248">
        <f>'P&amp;L(Proposed)'!O28</f>
        <v>404.55903600000016</v>
      </c>
      <c r="M7" s="248">
        <f>'P&amp;L(Proposed)'!P28</f>
        <v>429.84397575000014</v>
      </c>
      <c r="N7" s="248">
        <f>'P&amp;L(Proposed)'!Q28</f>
        <v>455.12891550000023</v>
      </c>
      <c r="O7" s="239" t="e">
        <f>'P&amp;L(Proposed)'!#REF!</f>
        <v>#REF!</v>
      </c>
    </row>
    <row r="8" spans="2:15" x14ac:dyDescent="0.25">
      <c r="B8" s="428" t="s">
        <v>715</v>
      </c>
      <c r="C8" s="429"/>
      <c r="D8" s="430">
        <f>SUM(D5:D7)</f>
        <v>379.17971874999995</v>
      </c>
      <c r="E8" s="430">
        <f t="shared" ref="E8:O8" si="0">SUM(E5:E7)</f>
        <v>5800.77547125</v>
      </c>
      <c r="F8" s="430">
        <f t="shared" si="0"/>
        <v>6529.5525450000005</v>
      </c>
      <c r="G8" s="430">
        <f t="shared" si="0"/>
        <v>7228.8635223749998</v>
      </c>
      <c r="H8" s="430">
        <f t="shared" si="0"/>
        <v>7886.0692335000012</v>
      </c>
      <c r="I8" s="430">
        <f t="shared" si="0"/>
        <v>8433.7468023750025</v>
      </c>
      <c r="J8" s="430">
        <f t="shared" si="0"/>
        <v>9082.6080532500036</v>
      </c>
      <c r="K8" s="430">
        <f t="shared" si="0"/>
        <v>9668.3052700500011</v>
      </c>
      <c r="L8" s="430">
        <f t="shared" si="0"/>
        <v>10313.053826430005</v>
      </c>
      <c r="M8" s="430">
        <f t="shared" si="0"/>
        <v>10957.860844323004</v>
      </c>
      <c r="N8" s="430">
        <f t="shared" si="0"/>
        <v>11602.732169880304</v>
      </c>
      <c r="O8" s="239" t="e">
        <f t="shared" si="0"/>
        <v>#REF!</v>
      </c>
    </row>
    <row r="9" spans="2:15" x14ac:dyDescent="0.25">
      <c r="B9" s="254" t="s">
        <v>716</v>
      </c>
      <c r="C9" s="416"/>
      <c r="D9" s="248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253"/>
    </row>
    <row r="10" spans="2:15" x14ac:dyDescent="0.25">
      <c r="B10" s="237" t="s">
        <v>717</v>
      </c>
      <c r="C10" s="416"/>
      <c r="D10" s="248">
        <f>'P&amp;L(Proposed)'!G25</f>
        <v>5</v>
      </c>
      <c r="E10" s="248">
        <f>'P&amp;L(Proposed)'!H25</f>
        <v>303.41927699999997</v>
      </c>
      <c r="F10" s="248">
        <f>'P&amp;L(Proposed)'!I25</f>
        <v>404.55903600000005</v>
      </c>
      <c r="G10" s="248">
        <f>'P&amp;L(Proposed)'!J25</f>
        <v>482.09951789999997</v>
      </c>
      <c r="H10" s="248">
        <f>'P&amp;L(Proposed)'!K25</f>
        <v>525.92674680000016</v>
      </c>
      <c r="I10" s="248">
        <f>'P&amp;L(Proposed)'!L25</f>
        <v>482.09951790000014</v>
      </c>
      <c r="J10" s="248">
        <f>'P&amp;L(Proposed)'!M25</f>
        <v>519.18409620000023</v>
      </c>
      <c r="K10" s="248">
        <f>'P&amp;L(Proposed)'!N25</f>
        <v>379.27409625000001</v>
      </c>
      <c r="L10" s="248">
        <f>'P&amp;L(Proposed)'!O25</f>
        <v>404.55903600000016</v>
      </c>
      <c r="M10" s="248">
        <f>'P&amp;L(Proposed)'!P25</f>
        <v>429.84397575000014</v>
      </c>
      <c r="N10" s="248">
        <f>'P&amp;L(Proposed)'!Q25</f>
        <v>455.12891550000023</v>
      </c>
      <c r="O10" s="239" t="e">
        <f>'P&amp;L(Proposed)'!#REF!</f>
        <v>#REF!</v>
      </c>
    </row>
    <row r="11" spans="2:15" x14ac:dyDescent="0.25">
      <c r="B11" s="237" t="s">
        <v>718</v>
      </c>
      <c r="C11" s="321">
        <v>0.8</v>
      </c>
      <c r="D11" s="248">
        <f>'P&amp;L(Proposed)'!G26*0.8</f>
        <v>4</v>
      </c>
      <c r="E11" s="248">
        <f>'P&amp;L(Proposed)'!H26*0.8</f>
        <v>60.683855399999999</v>
      </c>
      <c r="F11" s="248">
        <f>'P&amp;L(Proposed)'!I26*0.8</f>
        <v>80.911807200000013</v>
      </c>
      <c r="G11" s="248">
        <f>'P&amp;L(Proposed)'!J26*0.8</f>
        <v>96.419903579999996</v>
      </c>
      <c r="H11" s="248">
        <f>'P&amp;L(Proposed)'!K26*0.8</f>
        <v>105.18534936000003</v>
      </c>
      <c r="I11" s="248">
        <f>'P&amp;L(Proposed)'!L26*0.8</f>
        <v>96.419903580000039</v>
      </c>
      <c r="J11" s="248">
        <f>'P&amp;L(Proposed)'!M26*0.8</f>
        <v>103.83681924000005</v>
      </c>
      <c r="K11" s="248">
        <f>'P&amp;L(Proposed)'!N26*0.8</f>
        <v>101.13975900000003</v>
      </c>
      <c r="L11" s="248">
        <f>'P&amp;L(Proposed)'!O26*0.8</f>
        <v>107.88240960000006</v>
      </c>
      <c r="M11" s="248">
        <f>'P&amp;L(Proposed)'!P26*0.8</f>
        <v>114.62506020000006</v>
      </c>
      <c r="N11" s="248">
        <f>'P&amp;L(Proposed)'!Q26*0.8</f>
        <v>121.36771080000005</v>
      </c>
      <c r="O11" s="239" t="e">
        <f>'P&amp;L(Proposed)'!#REF!*0.8</f>
        <v>#REF!</v>
      </c>
    </row>
    <row r="12" spans="2:15" x14ac:dyDescent="0.25">
      <c r="B12" s="237" t="s">
        <v>719</v>
      </c>
      <c r="C12" s="321">
        <v>0.8</v>
      </c>
      <c r="D12" s="248">
        <f>'P&amp;L(Proposed)'!G16*0.8</f>
        <v>7.0235943749999992</v>
      </c>
      <c r="E12" s="248">
        <f>'P&amp;L(Proposed)'!H16*0.8</f>
        <v>108.36402750000001</v>
      </c>
      <c r="F12" s="248">
        <f>'P&amp;L(Proposed)'!I16*0.8</f>
        <v>120.40447500000001</v>
      </c>
      <c r="G12" s="248">
        <f>'P&amp;L(Proposed)'!J16*0.8</f>
        <v>132.44492250000002</v>
      </c>
      <c r="H12" s="248">
        <f>'P&amp;L(Proposed)'!K16*0.8</f>
        <v>144.48537000000005</v>
      </c>
      <c r="I12" s="248">
        <f>'P&amp;L(Proposed)'!L16*0.8</f>
        <v>156.52581750000004</v>
      </c>
      <c r="J12" s="248">
        <f>'P&amp;L(Proposed)'!M16*0.8</f>
        <v>168.56626500000007</v>
      </c>
      <c r="K12" s="248">
        <f>'P&amp;L(Proposed)'!N16*0.8</f>
        <v>180.60671250000007</v>
      </c>
      <c r="L12" s="248">
        <f>'P&amp;L(Proposed)'!O16*0.8</f>
        <v>192.6471600000001</v>
      </c>
      <c r="M12" s="248">
        <f>'P&amp;L(Proposed)'!P16*0.8</f>
        <v>204.68760750000013</v>
      </c>
      <c r="N12" s="248">
        <f>'P&amp;L(Proposed)'!Q16*0.8</f>
        <v>216.7280550000001</v>
      </c>
      <c r="O12" s="239" t="e">
        <f>'P&amp;L(Proposed)'!#REF!*0.8</f>
        <v>#REF!</v>
      </c>
    </row>
    <row r="13" spans="2:15" x14ac:dyDescent="0.25">
      <c r="B13" s="237" t="s">
        <v>720</v>
      </c>
      <c r="C13" s="321">
        <v>0.8</v>
      </c>
      <c r="D13" s="248">
        <f>'P&amp;L(Proposed)'!G15*0.8</f>
        <v>11.3764</v>
      </c>
      <c r="E13" s="248">
        <f>'P&amp;L(Proposed)'!H15*0.8</f>
        <v>187.98363360000002</v>
      </c>
      <c r="F13" s="248">
        <f>'P&amp;L(Proposed)'!I15*0.8</f>
        <v>202.90296960000001</v>
      </c>
      <c r="G13" s="248">
        <f>'P&amp;L(Proposed)'!J15*0.8</f>
        <v>239.03998848576003</v>
      </c>
      <c r="H13" s="248">
        <f>'P&amp;L(Proposed)'!K15*0.8</f>
        <v>265.98631446051849</v>
      </c>
      <c r="I13" s="248">
        <f>'P&amp;L(Proposed)'!L15*0.8</f>
        <v>293.91487747887288</v>
      </c>
      <c r="J13" s="248">
        <f>'P&amp;L(Proposed)'!M15*0.8</f>
        <v>322.85418849217734</v>
      </c>
      <c r="K13" s="248">
        <f>'P&amp;L(Proposed)'!N15*0.8</f>
        <v>352.83350599502245</v>
      </c>
      <c r="L13" s="248">
        <f>'P&amp;L(Proposed)'!O15*0.8</f>
        <v>383.88285452258441</v>
      </c>
      <c r="M13" s="248">
        <f>'P&amp;L(Proposed)'!P15*0.8</f>
        <v>416.03304358885083</v>
      </c>
      <c r="N13" s="248">
        <f>'P&amp;L(Proposed)'!Q15*0.8</f>
        <v>449.31568707595898</v>
      </c>
      <c r="O13" s="239" t="e">
        <f>'P&amp;L(Proposed)'!#REF!*0.8</f>
        <v>#REF!</v>
      </c>
    </row>
    <row r="14" spans="2:15" x14ac:dyDescent="0.25">
      <c r="B14" s="237" t="s">
        <v>721</v>
      </c>
      <c r="C14" s="321">
        <v>0.6</v>
      </c>
      <c r="D14" s="248">
        <f>'P&amp;L(Proposed)'!G17*0.3*0.8</f>
        <v>0.84283132499999991</v>
      </c>
      <c r="E14" s="248">
        <f>'P&amp;L(Proposed)'!H17*0.3*0.8</f>
        <v>13.653867464999999</v>
      </c>
      <c r="F14" s="248">
        <f>'P&amp;L(Proposed)'!I17*0.3*0.8</f>
        <v>15.170963850000001</v>
      </c>
      <c r="G14" s="248">
        <f>'P&amp;L(Proposed)'!J17*0.3*0.8</f>
        <v>16.688060234999998</v>
      </c>
      <c r="H14" s="248">
        <f>'P&amp;L(Proposed)'!K17*0.3*0.8</f>
        <v>18.20515662</v>
      </c>
      <c r="I14" s="248">
        <f>'P&amp;L(Proposed)'!L17*0.3*0.8</f>
        <v>19.72225300500001</v>
      </c>
      <c r="J14" s="248">
        <f>'P&amp;L(Proposed)'!M17*0.3*0.8</f>
        <v>21.239349390000012</v>
      </c>
      <c r="K14" s="248">
        <f>'P&amp;L(Proposed)'!N17*0.3*0.8</f>
        <v>22.756445775000007</v>
      </c>
      <c r="L14" s="248">
        <f>'P&amp;L(Proposed)'!O17*0.3*0.8</f>
        <v>24.273542160000009</v>
      </c>
      <c r="M14" s="248">
        <f>'P&amp;L(Proposed)'!P17*0.3*0.8</f>
        <v>25.790638545000014</v>
      </c>
      <c r="N14" s="248">
        <f>'P&amp;L(Proposed)'!Q17*0.3*0.8</f>
        <v>27.307734930000017</v>
      </c>
      <c r="O14" s="239" t="e">
        <f>'P&amp;L(Proposed)'!#REF!*0.3*0.8</f>
        <v>#REF!</v>
      </c>
    </row>
    <row r="15" spans="2:15" x14ac:dyDescent="0.25">
      <c r="B15" s="237" t="s">
        <v>722</v>
      </c>
      <c r="C15" s="416"/>
      <c r="D15" s="248">
        <f>'P&amp;L(Proposed)'!G38</f>
        <v>3.1999999999999997</v>
      </c>
      <c r="E15" s="248">
        <f>'P&amp;L(Proposed)'!H38</f>
        <v>38.4</v>
      </c>
      <c r="F15" s="248">
        <f>'P&amp;L(Proposed)'!I38</f>
        <v>38.4</v>
      </c>
      <c r="G15" s="248">
        <f>'P&amp;L(Proposed)'!J38</f>
        <v>38.4</v>
      </c>
      <c r="H15" s="248">
        <f>'P&amp;L(Proposed)'!K38</f>
        <v>38.4</v>
      </c>
      <c r="I15" s="248">
        <f>'P&amp;L(Proposed)'!L38</f>
        <v>38.4</v>
      </c>
      <c r="J15" s="248">
        <f>'P&amp;L(Proposed)'!M38</f>
        <v>38.4</v>
      </c>
      <c r="K15" s="248">
        <f>'P&amp;L(Proposed)'!N38</f>
        <v>38.4</v>
      </c>
      <c r="L15" s="248">
        <f>'P&amp;L(Proposed)'!O38</f>
        <v>38.4</v>
      </c>
      <c r="M15" s="248">
        <f>'P&amp;L(Proposed)'!P38</f>
        <v>38.4</v>
      </c>
      <c r="N15" s="248">
        <f>'P&amp;L(Proposed)'!Q38</f>
        <v>38.4</v>
      </c>
      <c r="O15" s="239" t="e">
        <f>'P&amp;L(Proposed)'!#REF!</f>
        <v>#REF!</v>
      </c>
    </row>
    <row r="16" spans="2:15" x14ac:dyDescent="0.25">
      <c r="B16" s="237" t="s">
        <v>723</v>
      </c>
      <c r="C16" s="321">
        <v>0.01</v>
      </c>
      <c r="D16" s="248">
        <f>D5*$C$16</f>
        <v>3.5417971874999994</v>
      </c>
      <c r="E16" s="416">
        <v>10</v>
      </c>
      <c r="F16" s="416">
        <v>11</v>
      </c>
      <c r="G16" s="416">
        <v>12.1</v>
      </c>
      <c r="H16" s="416">
        <v>13.31</v>
      </c>
      <c r="I16" s="416">
        <v>14.64</v>
      </c>
      <c r="J16" s="416">
        <v>16.11</v>
      </c>
      <c r="K16" s="416">
        <v>17.72</v>
      </c>
      <c r="L16" s="416">
        <v>19.489999999999998</v>
      </c>
      <c r="M16" s="248">
        <f>L16*1.1</f>
        <v>21.439</v>
      </c>
      <c r="N16" s="248">
        <f t="shared" ref="N16:O16" si="1">M16*1.1</f>
        <v>23.582900000000002</v>
      </c>
      <c r="O16" s="257">
        <f t="shared" si="1"/>
        <v>25.941190000000006</v>
      </c>
    </row>
    <row r="17" spans="2:15" x14ac:dyDescent="0.25">
      <c r="B17" s="237" t="s">
        <v>724</v>
      </c>
      <c r="C17" s="321">
        <v>0.8</v>
      </c>
      <c r="D17" s="248">
        <f>'P&amp;L(Proposed)'!G29*0.8</f>
        <v>405.45227462499997</v>
      </c>
      <c r="E17" s="248">
        <f>'P&amp;L(Proposed)'!H29*0.8</f>
        <v>3199.6415586499998</v>
      </c>
      <c r="F17" s="248">
        <f>'P&amp;L(Proposed)'!I29*0.8</f>
        <v>3891.8253455999993</v>
      </c>
      <c r="G17" s="248">
        <f>'P&amp;L(Proposed)'!J29*0.8</f>
        <v>4283.2110694107587</v>
      </c>
      <c r="H17" s="248">
        <f>'P&amp;L(Proposed)'!K29*0.8</f>
        <v>4691.9454721992688</v>
      </c>
      <c r="I17" s="248">
        <f>'P&amp;L(Proposed)'!L29*0.8</f>
        <v>5214.9707839188113</v>
      </c>
      <c r="J17" s="248">
        <f>'P&amp;L(Proposed)'!M29*0.8</f>
        <v>5406.5420362684272</v>
      </c>
      <c r="K17" s="248">
        <f>'P&amp;L(Proposed)'!N29*0.8</f>
        <v>5967.2738514691537</v>
      </c>
      <c r="L17" s="248">
        <f>'P&amp;L(Proposed)'!O29*0.8</f>
        <v>6141.4616470114834</v>
      </c>
      <c r="M17" s="248">
        <f>'P&amp;L(Proposed)'!P29*0.8</f>
        <v>6508.5256177664678</v>
      </c>
      <c r="N17" s="248">
        <f>'P&amp;L(Proposed)'!Q29*0.8</f>
        <v>6879.2923408722754</v>
      </c>
      <c r="O17" s="239" t="e">
        <f>'P&amp;L(Proposed)'!#REF!*0.8</f>
        <v>#REF!</v>
      </c>
    </row>
    <row r="18" spans="2:15" x14ac:dyDescent="0.25">
      <c r="B18" s="237" t="s">
        <v>725</v>
      </c>
      <c r="C18" s="416"/>
      <c r="D18" s="248">
        <f>'P&amp;L(Proposed)'!G43</f>
        <v>0</v>
      </c>
      <c r="E18" s="248">
        <f>'P&amp;L(Proposed)'!H43</f>
        <v>261.36068378875007</v>
      </c>
      <c r="F18" s="248">
        <f>'P&amp;L(Proposed)'!I43</f>
        <v>194.44973418000038</v>
      </c>
      <c r="G18" s="248">
        <f>'P&amp;L(Proposed)'!J43</f>
        <v>226.4049750915035</v>
      </c>
      <c r="H18" s="248">
        <f>'P&amp;L(Proposed)'!K43</f>
        <v>253.33037333523819</v>
      </c>
      <c r="I18" s="248">
        <f>'P&amp;L(Proposed)'!L43</f>
        <v>243.72064797638697</v>
      </c>
      <c r="J18" s="248">
        <f>'P&amp;L(Proposed)'!M43</f>
        <v>342.4439518927623</v>
      </c>
      <c r="K18" s="248">
        <f>'P&amp;L(Proposed)'!N43</f>
        <v>321.80167486052562</v>
      </c>
      <c r="L18" s="248">
        <f>'P&amp;L(Proposed)'!O43</f>
        <v>427.3990623930689</v>
      </c>
      <c r="M18" s="248">
        <f>'P&amp;L(Proposed)'!P43</f>
        <v>470.65137297487911</v>
      </c>
      <c r="N18" s="248">
        <f>'P&amp;L(Proposed)'!Q43</f>
        <v>507.08852903538957</v>
      </c>
      <c r="O18" s="239" t="e">
        <f>'P&amp;L(Proposed)'!#REF!</f>
        <v>#REF!</v>
      </c>
    </row>
    <row r="19" spans="2:15" x14ac:dyDescent="0.25">
      <c r="B19" s="428" t="s">
        <v>726</v>
      </c>
      <c r="C19" s="429"/>
      <c r="D19" s="430">
        <f>SUM(D10:D18)</f>
        <v>440.43689751249997</v>
      </c>
      <c r="E19" s="430">
        <f t="shared" ref="E19:O19" si="2">SUM(E10:E18)</f>
        <v>4183.5069034037497</v>
      </c>
      <c r="F19" s="430">
        <f t="shared" si="2"/>
        <v>4959.62433143</v>
      </c>
      <c r="G19" s="430">
        <f t="shared" si="2"/>
        <v>5526.8084372030225</v>
      </c>
      <c r="H19" s="430">
        <f t="shared" si="2"/>
        <v>6056.7747827750263</v>
      </c>
      <c r="I19" s="430">
        <f t="shared" si="2"/>
        <v>6560.4138013590718</v>
      </c>
      <c r="J19" s="430">
        <f t="shared" si="2"/>
        <v>6939.1767064833666</v>
      </c>
      <c r="K19" s="430">
        <f t="shared" si="2"/>
        <v>7381.8060458497021</v>
      </c>
      <c r="L19" s="430">
        <f t="shared" si="2"/>
        <v>7739.9957116871365</v>
      </c>
      <c r="M19" s="430">
        <f t="shared" si="2"/>
        <v>8229.9963163251978</v>
      </c>
      <c r="N19" s="430">
        <f t="shared" si="2"/>
        <v>8718.2118732136241</v>
      </c>
      <c r="O19" s="239" t="e">
        <f t="shared" si="2"/>
        <v>#REF!</v>
      </c>
    </row>
    <row r="20" spans="2:15" x14ac:dyDescent="0.25">
      <c r="B20" s="311" t="s">
        <v>727</v>
      </c>
      <c r="C20" s="246"/>
      <c r="D20" s="431">
        <f>D8-D19</f>
        <v>-61.257178762500018</v>
      </c>
      <c r="E20" s="431">
        <f t="shared" ref="E20:O20" si="3">E8-E19</f>
        <v>1617.2685678462503</v>
      </c>
      <c r="F20" s="431">
        <f t="shared" si="3"/>
        <v>1569.9282135700005</v>
      </c>
      <c r="G20" s="431">
        <f t="shared" si="3"/>
        <v>1702.0550851719772</v>
      </c>
      <c r="H20" s="431">
        <f t="shared" si="3"/>
        <v>1829.2944507249749</v>
      </c>
      <c r="I20" s="431">
        <f t="shared" si="3"/>
        <v>1873.3330010159307</v>
      </c>
      <c r="J20" s="431">
        <f t="shared" si="3"/>
        <v>2143.431346766637</v>
      </c>
      <c r="K20" s="431">
        <f t="shared" si="3"/>
        <v>2286.4992242002991</v>
      </c>
      <c r="L20" s="431">
        <f t="shared" si="3"/>
        <v>2573.0581147428684</v>
      </c>
      <c r="M20" s="431">
        <f t="shared" si="3"/>
        <v>2727.8645279978064</v>
      </c>
      <c r="N20" s="431">
        <f t="shared" si="3"/>
        <v>2884.5202966666802</v>
      </c>
      <c r="O20" s="258" t="e">
        <f t="shared" si="3"/>
        <v>#REF!</v>
      </c>
    </row>
    <row r="21" spans="2:15" x14ac:dyDescent="0.25">
      <c r="B21" s="254" t="s">
        <v>728</v>
      </c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253"/>
    </row>
    <row r="22" spans="2:15" x14ac:dyDescent="0.25">
      <c r="B22" s="237" t="s">
        <v>718</v>
      </c>
      <c r="C22" s="321">
        <v>0.2</v>
      </c>
      <c r="D22" s="248">
        <f>'P&amp;L(Proposed)'!G26-'BEP(Proposed)'!D11</f>
        <v>1</v>
      </c>
      <c r="E22" s="248">
        <f>'P&amp;L(Proposed)'!H26-'BEP(Proposed)'!E11</f>
        <v>15.170963849999993</v>
      </c>
      <c r="F22" s="248">
        <f>'P&amp;L(Proposed)'!I26-'BEP(Proposed)'!F11</f>
        <v>20.2279518</v>
      </c>
      <c r="G22" s="248">
        <f>'P&amp;L(Proposed)'!J26-'BEP(Proposed)'!G11</f>
        <v>24.104975894999995</v>
      </c>
      <c r="H22" s="248">
        <f>'P&amp;L(Proposed)'!K26-'BEP(Proposed)'!H11</f>
        <v>26.296337340000008</v>
      </c>
      <c r="I22" s="248">
        <f>'P&amp;L(Proposed)'!L26-'BEP(Proposed)'!I11</f>
        <v>24.104975894999995</v>
      </c>
      <c r="J22" s="248">
        <f>'P&amp;L(Proposed)'!M26-'BEP(Proposed)'!J11</f>
        <v>25.959204810000003</v>
      </c>
      <c r="K22" s="248">
        <f>'P&amp;L(Proposed)'!N26-'BEP(Proposed)'!K11</f>
        <v>25.284939749999992</v>
      </c>
      <c r="L22" s="248">
        <f>'P&amp;L(Proposed)'!O26-'BEP(Proposed)'!L11</f>
        <v>26.970602400000004</v>
      </c>
      <c r="M22" s="248">
        <f>'P&amp;L(Proposed)'!P26-'BEP(Proposed)'!M11</f>
        <v>28.656265050000002</v>
      </c>
      <c r="N22" s="248">
        <f>'P&amp;L(Proposed)'!Q26-'BEP(Proposed)'!N11</f>
        <v>30.341927700000014</v>
      </c>
      <c r="O22" s="239" t="e">
        <f>'P&amp;L(Proposed)'!#REF!-'BEP(Proposed)'!O11</f>
        <v>#REF!</v>
      </c>
    </row>
    <row r="23" spans="2:15" x14ac:dyDescent="0.25">
      <c r="B23" s="237" t="s">
        <v>719</v>
      </c>
      <c r="C23" s="321">
        <v>0.2</v>
      </c>
      <c r="D23" s="248">
        <f>'P&amp;L(Proposed)'!G16-'BEP(Proposed)'!D12</f>
        <v>1.7558985937499996</v>
      </c>
      <c r="E23" s="248">
        <f>'P&amp;L(Proposed)'!H16-'BEP(Proposed)'!E12</f>
        <v>27.091006874999991</v>
      </c>
      <c r="F23" s="248">
        <f>'P&amp;L(Proposed)'!I16-'BEP(Proposed)'!F12</f>
        <v>30.101118749999998</v>
      </c>
      <c r="G23" s="248">
        <f>'P&amp;L(Proposed)'!J16-'BEP(Proposed)'!G12</f>
        <v>33.11123062499999</v>
      </c>
      <c r="H23" s="248">
        <f>'P&amp;L(Proposed)'!K16-'BEP(Proposed)'!H12</f>
        <v>36.121342499999997</v>
      </c>
      <c r="I23" s="248">
        <f>'P&amp;L(Proposed)'!L16-'BEP(Proposed)'!I12</f>
        <v>39.131454375000004</v>
      </c>
      <c r="J23" s="248">
        <f>'P&amp;L(Proposed)'!M16-'BEP(Proposed)'!J12</f>
        <v>42.141566250000011</v>
      </c>
      <c r="K23" s="248">
        <f>'P&amp;L(Proposed)'!N16-'BEP(Proposed)'!K12</f>
        <v>45.151678124999989</v>
      </c>
      <c r="L23" s="248">
        <f>'P&amp;L(Proposed)'!O16-'BEP(Proposed)'!L12</f>
        <v>48.161789999999996</v>
      </c>
      <c r="M23" s="248">
        <f>'P&amp;L(Proposed)'!P16-'BEP(Proposed)'!M12</f>
        <v>51.171901875000003</v>
      </c>
      <c r="N23" s="248">
        <f>'P&amp;L(Proposed)'!Q16-'BEP(Proposed)'!N12</f>
        <v>54.18201375000001</v>
      </c>
      <c r="O23" s="239" t="e">
        <f>'P&amp;L(Proposed)'!#REF!-'BEP(Proposed)'!O12</f>
        <v>#REF!</v>
      </c>
    </row>
    <row r="24" spans="2:15" x14ac:dyDescent="0.25">
      <c r="B24" s="237" t="s">
        <v>720</v>
      </c>
      <c r="C24" s="321">
        <v>0.2</v>
      </c>
      <c r="D24" s="248">
        <f>'P&amp;L(Proposed)'!G15-'BEP(Proposed)'!D13</f>
        <v>2.8440999999999992</v>
      </c>
      <c r="E24" s="248">
        <f>'P&amp;L(Proposed)'!H15-'BEP(Proposed)'!E13</f>
        <v>46.99590839999999</v>
      </c>
      <c r="F24" s="248">
        <f>'P&amp;L(Proposed)'!I15-'BEP(Proposed)'!F13</f>
        <v>50.725742399999973</v>
      </c>
      <c r="G24" s="248">
        <f>'P&amp;L(Proposed)'!J15-'BEP(Proposed)'!G13</f>
        <v>59.759997121439994</v>
      </c>
      <c r="H24" s="248">
        <f>'P&amp;L(Proposed)'!K15-'BEP(Proposed)'!H13</f>
        <v>66.496578615129636</v>
      </c>
      <c r="I24" s="248">
        <f>'P&amp;L(Proposed)'!L15-'BEP(Proposed)'!I13</f>
        <v>73.478719369718192</v>
      </c>
      <c r="J24" s="248">
        <f>'P&amp;L(Proposed)'!M15-'BEP(Proposed)'!J13</f>
        <v>80.713547123044293</v>
      </c>
      <c r="K24" s="248">
        <f>'P&amp;L(Proposed)'!N15-'BEP(Proposed)'!K13</f>
        <v>88.20837649875557</v>
      </c>
      <c r="L24" s="248">
        <f>'P&amp;L(Proposed)'!O15-'BEP(Proposed)'!L13</f>
        <v>95.97071363064606</v>
      </c>
      <c r="M24" s="248">
        <f>'P&amp;L(Proposed)'!P15-'BEP(Proposed)'!M13</f>
        <v>104.00826089721266</v>
      </c>
      <c r="N24" s="248">
        <f>'P&amp;L(Proposed)'!Q15-'BEP(Proposed)'!N13</f>
        <v>112.32892176898974</v>
      </c>
      <c r="O24" s="239" t="e">
        <f>'P&amp;L(Proposed)'!#REF!-'BEP(Proposed)'!O13</f>
        <v>#REF!</v>
      </c>
    </row>
    <row r="25" spans="2:15" x14ac:dyDescent="0.25">
      <c r="B25" s="237" t="s">
        <v>721</v>
      </c>
      <c r="C25" s="321">
        <v>0.4</v>
      </c>
      <c r="D25" s="248">
        <f>'P&amp;L(Proposed)'!G17*0.3*0.2</f>
        <v>0.21070783124999998</v>
      </c>
      <c r="E25" s="248">
        <f>'P&amp;L(Proposed)'!H17*0.3*0.2</f>
        <v>3.4134668662499998</v>
      </c>
      <c r="F25" s="248">
        <f>'P&amp;L(Proposed)'!I17*0.3*0.2</f>
        <v>3.7927409625000004</v>
      </c>
      <c r="G25" s="248">
        <f>'P&amp;L(Proposed)'!J17*0.3*0.2</f>
        <v>4.1720150587499996</v>
      </c>
      <c r="H25" s="248">
        <f>'P&amp;L(Proposed)'!K17*0.3*0.2</f>
        <v>4.5512891550000001</v>
      </c>
      <c r="I25" s="248">
        <f>'P&amp;L(Proposed)'!L17*0.3*0.2</f>
        <v>4.9305632512500024</v>
      </c>
      <c r="J25" s="248">
        <f>'P&amp;L(Proposed)'!M17*0.3*0.2</f>
        <v>5.3098373475000029</v>
      </c>
      <c r="K25" s="248">
        <f>'P&amp;L(Proposed)'!N17*0.3*0.2</f>
        <v>5.6891114437500017</v>
      </c>
      <c r="L25" s="248">
        <f>'P&amp;L(Proposed)'!O17*0.3*0.2</f>
        <v>6.0683855400000022</v>
      </c>
      <c r="M25" s="248">
        <f>'P&amp;L(Proposed)'!P17*0.3*0.2</f>
        <v>6.4476596362500036</v>
      </c>
      <c r="N25" s="248">
        <f>'P&amp;L(Proposed)'!Q17*0.3*0.2</f>
        <v>6.8269337325000041</v>
      </c>
      <c r="O25" s="239" t="e">
        <f>'P&amp;L(Proposed)'!#REF!*0.3*0.2</f>
        <v>#REF!</v>
      </c>
    </row>
    <row r="26" spans="2:15" x14ac:dyDescent="0.25">
      <c r="B26" s="237" t="s">
        <v>0</v>
      </c>
      <c r="C26" s="416"/>
      <c r="D26" s="248">
        <f>'P&amp;L(Proposed)'!G18</f>
        <v>269.47775000000001</v>
      </c>
      <c r="E26" s="248">
        <f>'P&amp;L(Proposed)'!H18</f>
        <v>503.03348749999998</v>
      </c>
      <c r="F26" s="248">
        <f>'P&amp;L(Proposed)'!I18</f>
        <v>436.127799375</v>
      </c>
      <c r="G26" s="248">
        <f>'P&amp;L(Proposed)'!J18</f>
        <v>378.40303096875004</v>
      </c>
      <c r="H26" s="248">
        <f>'P&amp;L(Proposed)'!K18</f>
        <v>328.56753767343753</v>
      </c>
      <c r="I26" s="248">
        <f>'P&amp;L(Proposed)'!L18</f>
        <v>285.51487223742186</v>
      </c>
      <c r="J26" s="248">
        <f>'P&amp;L(Proposed)'!M18</f>
        <v>248.2968600953086</v>
      </c>
      <c r="K26" s="248">
        <f>'P&amp;L(Proposed)'!N18</f>
        <v>216.10062790516233</v>
      </c>
      <c r="L26" s="248">
        <f>'P&amp;L(Proposed)'!O18</f>
        <v>188.22900086112298</v>
      </c>
      <c r="M26" s="248">
        <f>'P&amp;L(Proposed)'!P18</f>
        <v>164.08377115951606</v>
      </c>
      <c r="N26" s="248">
        <f>'P&amp;L(Proposed)'!Q18</f>
        <v>143.15141387039398</v>
      </c>
      <c r="O26" s="239" t="e">
        <f>'P&amp;L(Proposed)'!#REF!</f>
        <v>#REF!</v>
      </c>
    </row>
    <row r="27" spans="2:15" x14ac:dyDescent="0.25">
      <c r="B27" s="237" t="s">
        <v>135</v>
      </c>
      <c r="C27" s="416"/>
      <c r="D27" s="248">
        <f>'P&amp;L(Proposed)'!G36</f>
        <v>22.720000000000002</v>
      </c>
      <c r="E27" s="248">
        <f>'P&amp;L(Proposed)'!H36</f>
        <v>269.95200000000006</v>
      </c>
      <c r="F27" s="248">
        <f>'P&amp;L(Proposed)'!I36</f>
        <v>252.38399999999996</v>
      </c>
      <c r="G27" s="248">
        <f>'P&amp;L(Proposed)'!J36</f>
        <v>230.59199999999998</v>
      </c>
      <c r="H27" s="248">
        <f>'P&amp;L(Proposed)'!K36</f>
        <v>206.49599999999998</v>
      </c>
      <c r="I27" s="248">
        <f>'P&amp;L(Proposed)'!L36</f>
        <v>180.09599999999998</v>
      </c>
      <c r="J27" s="248">
        <f>'P&amp;L(Proposed)'!M36</f>
        <v>151.392</v>
      </c>
      <c r="K27" s="248">
        <f>'P&amp;L(Proposed)'!N36</f>
        <v>120.38399999999999</v>
      </c>
      <c r="L27" s="248">
        <f>'P&amp;L(Proposed)'!O36</f>
        <v>87.071999999999974</v>
      </c>
      <c r="M27" s="248">
        <f>'P&amp;L(Proposed)'!P36</f>
        <v>52.511999999999979</v>
      </c>
      <c r="N27" s="248">
        <f>'P&amp;L(Proposed)'!Q36</f>
        <v>39.599999999999966</v>
      </c>
      <c r="O27" s="239" t="e">
        <f>'P&amp;L(Proposed)'!#REF!</f>
        <v>#REF!</v>
      </c>
    </row>
    <row r="28" spans="2:15" x14ac:dyDescent="0.25">
      <c r="B28" s="237" t="s">
        <v>724</v>
      </c>
      <c r="C28" s="321">
        <v>0.2</v>
      </c>
      <c r="D28" s="349">
        <f>'P&amp;L(Proposed)'!G29-'BEP(Proposed)'!D17</f>
        <v>101.36306865624999</v>
      </c>
      <c r="E28" s="349">
        <f>'P&amp;L(Proposed)'!H29-'BEP(Proposed)'!E17</f>
        <v>799.91038966249971</v>
      </c>
      <c r="F28" s="349">
        <f>'P&amp;L(Proposed)'!I29-'BEP(Proposed)'!F17</f>
        <v>972.9563363999996</v>
      </c>
      <c r="G28" s="349">
        <f>'P&amp;L(Proposed)'!J29-'BEP(Proposed)'!G17</f>
        <v>1070.8027673526894</v>
      </c>
      <c r="H28" s="349">
        <f>'P&amp;L(Proposed)'!K29-'BEP(Proposed)'!H17</f>
        <v>1172.9863680498165</v>
      </c>
      <c r="I28" s="349">
        <f>'P&amp;L(Proposed)'!L29-'BEP(Proposed)'!I17</f>
        <v>1303.7426959797021</v>
      </c>
      <c r="J28" s="349">
        <f>'P&amp;L(Proposed)'!M29-'BEP(Proposed)'!J17</f>
        <v>1351.6355090671059</v>
      </c>
      <c r="K28" s="349">
        <f>'P&amp;L(Proposed)'!N29-'BEP(Proposed)'!K17</f>
        <v>1491.818462867288</v>
      </c>
      <c r="L28" s="349">
        <f>'P&amp;L(Proposed)'!O29-'BEP(Proposed)'!L17</f>
        <v>1535.3654117528704</v>
      </c>
      <c r="M28" s="349">
        <f>'P&amp;L(Proposed)'!P29-'BEP(Proposed)'!M17</f>
        <v>1627.1314044416167</v>
      </c>
      <c r="N28" s="349">
        <f>'P&amp;L(Proposed)'!Q29-'BEP(Proposed)'!N17</f>
        <v>1719.8230852180686</v>
      </c>
      <c r="O28" s="258" t="e">
        <f>'P&amp;L(Proposed)'!#REF!-'BEP(Proposed)'!O17</f>
        <v>#REF!</v>
      </c>
    </row>
    <row r="29" spans="2:15" x14ac:dyDescent="0.25">
      <c r="B29" s="311" t="s">
        <v>729</v>
      </c>
      <c r="C29" s="250"/>
      <c r="D29" s="431">
        <f>SUM(D22:D28)</f>
        <v>399.37152508125001</v>
      </c>
      <c r="E29" s="431">
        <f t="shared" ref="E29:O29" si="4">SUM(E22:E28)</f>
        <v>1665.5672231537496</v>
      </c>
      <c r="F29" s="431">
        <f t="shared" si="4"/>
        <v>1766.3156896874996</v>
      </c>
      <c r="G29" s="431">
        <f t="shared" si="4"/>
        <v>1800.9460170216294</v>
      </c>
      <c r="H29" s="431">
        <f t="shared" si="4"/>
        <v>1841.5154533333837</v>
      </c>
      <c r="I29" s="431">
        <f t="shared" si="4"/>
        <v>1910.9992811080922</v>
      </c>
      <c r="J29" s="431">
        <f t="shared" si="4"/>
        <v>1905.4485246929587</v>
      </c>
      <c r="K29" s="431">
        <f t="shared" si="4"/>
        <v>1992.6371965899557</v>
      </c>
      <c r="L29" s="431">
        <f t="shared" si="4"/>
        <v>1987.8379041846395</v>
      </c>
      <c r="M29" s="431">
        <f t="shared" si="4"/>
        <v>2034.0112630595954</v>
      </c>
      <c r="N29" s="431">
        <f t="shared" si="4"/>
        <v>2106.2542960399524</v>
      </c>
      <c r="O29" s="258" t="e">
        <f t="shared" si="4"/>
        <v>#REF!</v>
      </c>
    </row>
    <row r="30" spans="2:15" x14ac:dyDescent="0.25">
      <c r="B30" s="432" t="s">
        <v>730</v>
      </c>
      <c r="C30" s="433"/>
      <c r="D30" s="434">
        <f>D29/D5</f>
        <v>1.1275956920705248</v>
      </c>
      <c r="E30" s="434">
        <f t="shared" ref="E30:O30" si="5">E29/E5</f>
        <v>0.30721512510060917</v>
      </c>
      <c r="F30" s="434">
        <f t="shared" si="5"/>
        <v>0.29322021466532111</v>
      </c>
      <c r="G30" s="434">
        <f t="shared" si="5"/>
        <v>0.27179007322975673</v>
      </c>
      <c r="H30" s="434">
        <f t="shared" si="5"/>
        <v>0.25475195257929151</v>
      </c>
      <c r="I30" s="434">
        <f t="shared" si="5"/>
        <v>0.24402623050406677</v>
      </c>
      <c r="J30" s="434">
        <f t="shared" si="5"/>
        <v>0.22593462028803943</v>
      </c>
      <c r="K30" s="434">
        <f t="shared" si="5"/>
        <v>0.22051760864486178</v>
      </c>
      <c r="L30" s="434">
        <f t="shared" si="5"/>
        <v>0.20623316397469837</v>
      </c>
      <c r="M30" s="434">
        <f t="shared" si="5"/>
        <v>0.19860570771972927</v>
      </c>
      <c r="N30" s="434">
        <f t="shared" si="5"/>
        <v>0.19422893418567519</v>
      </c>
      <c r="O30" s="259" t="e">
        <f t="shared" si="5"/>
        <v>#REF!</v>
      </c>
    </row>
    <row r="31" spans="2:15" x14ac:dyDescent="0.25">
      <c r="B31" s="432" t="s">
        <v>731</v>
      </c>
      <c r="C31" s="433"/>
      <c r="D31" s="434">
        <f>D29/D19</f>
        <v>0.90676218849242873</v>
      </c>
      <c r="E31" s="434">
        <f t="shared" ref="E31:O31" si="6">E29/E19</f>
        <v>0.39812704068890742</v>
      </c>
      <c r="F31" s="434">
        <f t="shared" si="6"/>
        <v>0.35613900804826093</v>
      </c>
      <c r="G31" s="434">
        <f t="shared" si="6"/>
        <v>0.32585642102208312</v>
      </c>
      <c r="H31" s="434">
        <f t="shared" si="6"/>
        <v>0.30404225340696234</v>
      </c>
      <c r="I31" s="434">
        <f t="shared" si="6"/>
        <v>0.29129249144500685</v>
      </c>
      <c r="J31" s="434">
        <f t="shared" si="6"/>
        <v>0.27459288115730968</v>
      </c>
      <c r="K31" s="434">
        <f t="shared" si="6"/>
        <v>0.26993898027302993</v>
      </c>
      <c r="L31" s="434">
        <f t="shared" si="6"/>
        <v>0.25682674490155988</v>
      </c>
      <c r="M31" s="434">
        <f t="shared" si="6"/>
        <v>0.24714607211000653</v>
      </c>
      <c r="N31" s="434">
        <f t="shared" si="6"/>
        <v>0.24159246490800929</v>
      </c>
      <c r="O31" s="259" t="e">
        <f t="shared" si="6"/>
        <v>#REF!</v>
      </c>
    </row>
    <row r="32" spans="2:15" x14ac:dyDescent="0.25">
      <c r="B32" s="432" t="s">
        <v>732</v>
      </c>
      <c r="C32" s="433"/>
      <c r="D32" s="435">
        <f>D5*D30</f>
        <v>399.37152508125001</v>
      </c>
      <c r="E32" s="435">
        <f t="shared" ref="E32:O32" si="7">E5*E30</f>
        <v>1665.5672231537496</v>
      </c>
      <c r="F32" s="435">
        <f t="shared" si="7"/>
        <v>1766.3156896874996</v>
      </c>
      <c r="G32" s="435">
        <f t="shared" si="7"/>
        <v>1800.9460170216291</v>
      </c>
      <c r="H32" s="435">
        <f t="shared" si="7"/>
        <v>1841.5154533333837</v>
      </c>
      <c r="I32" s="435">
        <f t="shared" si="7"/>
        <v>1910.9992811080922</v>
      </c>
      <c r="J32" s="435">
        <f t="shared" si="7"/>
        <v>1905.4485246929587</v>
      </c>
      <c r="K32" s="435">
        <f t="shared" si="7"/>
        <v>1992.6371965899557</v>
      </c>
      <c r="L32" s="435">
        <f t="shared" si="7"/>
        <v>1987.8379041846395</v>
      </c>
      <c r="M32" s="435">
        <f t="shared" si="7"/>
        <v>2034.0112630595954</v>
      </c>
      <c r="N32" s="435">
        <f t="shared" si="7"/>
        <v>2106.2542960399524</v>
      </c>
      <c r="O32" s="239" t="e">
        <f t="shared" si="7"/>
        <v>#REF!</v>
      </c>
    </row>
  </sheetData>
  <mergeCells count="1">
    <mergeCell ref="B2:N2"/>
  </mergeCells>
  <pageMargins left="0.7" right="0.7" top="0.75" bottom="0.75" header="0.3" footer="0.3"/>
  <pageSetup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6"/>
  <sheetViews>
    <sheetView showGridLines="0" topLeftCell="A25" workbookViewId="0">
      <selection activeCell="D34" sqref="D34"/>
    </sheetView>
  </sheetViews>
  <sheetFormatPr defaultColWidth="9.140625" defaultRowHeight="15" x14ac:dyDescent="0.25"/>
  <cols>
    <col min="1" max="1" width="4.140625" style="216" customWidth="1"/>
    <col min="2" max="2" width="7.85546875" style="243" customWidth="1"/>
    <col min="3" max="5" width="19.140625" style="243" customWidth="1"/>
    <col min="6" max="6" width="15.28515625" style="243" customWidth="1"/>
    <col min="7" max="7" width="16.85546875" style="243" bestFit="1" customWidth="1"/>
    <col min="8" max="8" width="15.28515625" style="243" bestFit="1" customWidth="1"/>
    <col min="9" max="9" width="16.28515625" style="243" bestFit="1" customWidth="1"/>
    <col min="10" max="10" width="15.85546875" style="243" customWidth="1"/>
    <col min="11" max="11" width="16.28515625" style="243" bestFit="1" customWidth="1"/>
    <col min="12" max="12" width="17.85546875" style="243" bestFit="1" customWidth="1"/>
    <col min="13" max="13" width="17.5703125" style="243" bestFit="1" customWidth="1"/>
    <col min="14" max="14" width="15.85546875" style="243" customWidth="1"/>
    <col min="15" max="15" width="17.5703125" style="243" bestFit="1" customWidth="1"/>
    <col min="16" max="17" width="11.7109375" style="216" customWidth="1"/>
    <col min="18" max="16384" width="9.140625" style="216"/>
  </cols>
  <sheetData>
    <row r="2" spans="2:15" ht="15" customHeight="1" x14ac:dyDescent="0.25">
      <c r="B2" s="222" t="str">
        <f>'P&amp;L(Proposed)'!B2</f>
        <v>MANCARE LABORATORIES PVT. LTD. Plot  No. -11, Pharma City, Selaqui Industrial Area, Dehradun, Uttarakhand- 248011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2:15" ht="12.75" customHeight="1" x14ac:dyDescent="0.25"/>
    <row r="4" spans="2:15" ht="17.25" customHeight="1" x14ac:dyDescent="0.25">
      <c r="B4" s="265" t="s">
        <v>771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</row>
    <row r="6" spans="2:15" x14ac:dyDescent="0.25">
      <c r="B6" s="264" t="s">
        <v>487</v>
      </c>
      <c r="C6" s="262"/>
      <c r="D6" s="262"/>
      <c r="E6" s="262"/>
      <c r="F6" s="262"/>
    </row>
    <row r="7" spans="2:15" ht="45" x14ac:dyDescent="0.25">
      <c r="B7" s="267" t="s">
        <v>446</v>
      </c>
      <c r="C7" s="267" t="s">
        <v>447</v>
      </c>
      <c r="D7" s="267" t="s">
        <v>472</v>
      </c>
      <c r="E7" s="267" t="s">
        <v>474</v>
      </c>
      <c r="F7" s="267" t="s">
        <v>475</v>
      </c>
      <c r="G7" s="267" t="s">
        <v>473</v>
      </c>
      <c r="H7" s="267" t="s">
        <v>486</v>
      </c>
      <c r="I7" s="267" t="s">
        <v>476</v>
      </c>
      <c r="J7" s="267" t="s">
        <v>448</v>
      </c>
      <c r="K7" s="267" t="s">
        <v>477</v>
      </c>
      <c r="L7" s="267" t="s">
        <v>32</v>
      </c>
      <c r="M7" s="267" t="s">
        <v>479</v>
      </c>
      <c r="N7" s="267" t="s">
        <v>760</v>
      </c>
      <c r="O7" s="267" t="s">
        <v>478</v>
      </c>
    </row>
    <row r="8" spans="2:15" ht="30" x14ac:dyDescent="0.25">
      <c r="B8" s="260">
        <v>1</v>
      </c>
      <c r="C8" s="260" t="s">
        <v>452</v>
      </c>
      <c r="D8" s="260" t="s">
        <v>863</v>
      </c>
      <c r="E8" s="240">
        <f>110*60</f>
        <v>6600</v>
      </c>
      <c r="F8" s="240">
        <v>1</v>
      </c>
      <c r="G8" s="240">
        <v>6</v>
      </c>
      <c r="H8" s="266">
        <f t="shared" ref="H8:H10" si="0">E8*G8</f>
        <v>39600</v>
      </c>
      <c r="I8" s="266">
        <f t="shared" ref="I8:J11" si="1">G8*330</f>
        <v>1980</v>
      </c>
      <c r="J8" s="266">
        <f t="shared" si="1"/>
        <v>13068000</v>
      </c>
      <c r="K8" s="268">
        <v>8.5</v>
      </c>
      <c r="L8" s="266">
        <f>J8*K8</f>
        <v>111078000</v>
      </c>
      <c r="M8" s="266">
        <f t="shared" ref="M8:M11" si="2">L8*78%</f>
        <v>86640840</v>
      </c>
      <c r="N8" s="266">
        <f t="shared" ref="N8" si="3">L8*9%</f>
        <v>9997020</v>
      </c>
      <c r="O8" s="266">
        <f t="shared" ref="O8:O10" si="4">M8+N8</f>
        <v>96637860</v>
      </c>
    </row>
    <row r="9" spans="2:15" x14ac:dyDescent="0.25">
      <c r="B9" s="261">
        <v>2</v>
      </c>
      <c r="C9" s="261" t="s">
        <v>483</v>
      </c>
      <c r="D9" s="261" t="s">
        <v>862</v>
      </c>
      <c r="E9" s="240">
        <f>255*60</f>
        <v>15300</v>
      </c>
      <c r="F9" s="240">
        <v>1</v>
      </c>
      <c r="G9" s="240">
        <v>6</v>
      </c>
      <c r="H9" s="266">
        <f t="shared" si="0"/>
        <v>91800</v>
      </c>
      <c r="I9" s="266">
        <f t="shared" si="1"/>
        <v>1980</v>
      </c>
      <c r="J9" s="266">
        <f t="shared" si="1"/>
        <v>30294000</v>
      </c>
      <c r="K9" s="268">
        <v>8.375</v>
      </c>
      <c r="L9" s="266">
        <f>J9*K9</f>
        <v>253712250</v>
      </c>
      <c r="M9" s="266">
        <f t="shared" si="2"/>
        <v>197895555</v>
      </c>
      <c r="N9" s="266">
        <f>L9*9.5%</f>
        <v>24102663.75</v>
      </c>
      <c r="O9" s="266">
        <f t="shared" si="4"/>
        <v>221998218.75</v>
      </c>
    </row>
    <row r="10" spans="2:15" x14ac:dyDescent="0.25">
      <c r="B10" s="240">
        <v>3</v>
      </c>
      <c r="C10" s="261" t="s">
        <v>485</v>
      </c>
      <c r="D10" s="261" t="s">
        <v>861</v>
      </c>
      <c r="E10" s="240">
        <f>260*60</f>
        <v>15600</v>
      </c>
      <c r="F10" s="240">
        <v>1</v>
      </c>
      <c r="G10" s="240">
        <v>6</v>
      </c>
      <c r="H10" s="266">
        <f t="shared" si="0"/>
        <v>93600</v>
      </c>
      <c r="I10" s="266">
        <f t="shared" si="1"/>
        <v>1980</v>
      </c>
      <c r="J10" s="266">
        <f t="shared" si="1"/>
        <v>30888000</v>
      </c>
      <c r="K10" s="268">
        <v>8.375</v>
      </c>
      <c r="L10" s="266">
        <f>J10*K10</f>
        <v>258687000</v>
      </c>
      <c r="M10" s="266">
        <f t="shared" si="2"/>
        <v>201775860</v>
      </c>
      <c r="N10" s="266">
        <f>L10*9.5%</f>
        <v>24575265</v>
      </c>
      <c r="O10" s="266">
        <f t="shared" si="4"/>
        <v>226351125</v>
      </c>
    </row>
    <row r="11" spans="2:15" x14ac:dyDescent="0.25">
      <c r="B11" s="240">
        <v>4</v>
      </c>
      <c r="C11" s="261" t="s">
        <v>489</v>
      </c>
      <c r="D11" s="261" t="s">
        <v>860</v>
      </c>
      <c r="E11" s="240">
        <f>275*60</f>
        <v>16500</v>
      </c>
      <c r="F11" s="240">
        <v>1</v>
      </c>
      <c r="G11" s="240">
        <v>6</v>
      </c>
      <c r="H11" s="266">
        <f t="shared" ref="H11" si="5">E11*G11</f>
        <v>99000</v>
      </c>
      <c r="I11" s="266">
        <f t="shared" si="1"/>
        <v>1980</v>
      </c>
      <c r="J11" s="266">
        <f t="shared" si="1"/>
        <v>32670000</v>
      </c>
      <c r="K11" s="268">
        <v>32.69</v>
      </c>
      <c r="L11" s="266">
        <f>J11*K11</f>
        <v>1067982299.9999999</v>
      </c>
      <c r="M11" s="266">
        <f t="shared" si="2"/>
        <v>833026193.99999988</v>
      </c>
      <c r="N11" s="266">
        <f>L11*9.6%</f>
        <v>102526300.8</v>
      </c>
      <c r="O11" s="266">
        <f t="shared" ref="O11" si="6">M11+N11</f>
        <v>935552494.79999983</v>
      </c>
    </row>
    <row r="12" spans="2:15" x14ac:dyDescent="0.25">
      <c r="B12" s="250"/>
      <c r="C12" s="250" t="s">
        <v>5</v>
      </c>
      <c r="D12" s="250"/>
      <c r="E12" s="269"/>
      <c r="F12" s="269"/>
      <c r="G12" s="269"/>
      <c r="H12" s="269"/>
      <c r="I12" s="269"/>
      <c r="J12" s="269">
        <f t="shared" ref="J12:O12" si="7">SUM(J8:J11)</f>
        <v>106920000</v>
      </c>
      <c r="K12" s="269">
        <f t="shared" si="7"/>
        <v>57.94</v>
      </c>
      <c r="L12" s="269">
        <f t="shared" si="7"/>
        <v>1691459550</v>
      </c>
      <c r="M12" s="269">
        <f t="shared" si="7"/>
        <v>1319338449</v>
      </c>
      <c r="N12" s="269">
        <f t="shared" si="7"/>
        <v>161201249.55000001</v>
      </c>
      <c r="O12" s="269">
        <f t="shared" si="7"/>
        <v>1480539698.5499997</v>
      </c>
    </row>
    <row r="13" spans="2:15" x14ac:dyDescent="0.25">
      <c r="I13" s="243">
        <v>2021</v>
      </c>
      <c r="J13" s="243">
        <v>2022</v>
      </c>
      <c r="K13" s="243">
        <v>2023</v>
      </c>
      <c r="L13" s="243">
        <v>2024</v>
      </c>
      <c r="M13" s="243">
        <v>2025</v>
      </c>
    </row>
    <row r="14" spans="2:15" x14ac:dyDescent="0.25">
      <c r="I14" s="243">
        <v>439754000</v>
      </c>
      <c r="J14" s="243">
        <v>545578000</v>
      </c>
      <c r="K14" s="409">
        <f>L12*0.3</f>
        <v>507437865</v>
      </c>
      <c r="L14" s="409">
        <f>L12*0.355</f>
        <v>600468140.25</v>
      </c>
      <c r="M14" s="409">
        <f>L12*0.3902</f>
        <v>660007516.40999997</v>
      </c>
    </row>
    <row r="15" spans="2:15" x14ac:dyDescent="0.25">
      <c r="G15" s="243" t="s">
        <v>864</v>
      </c>
      <c r="I15" s="411">
        <f>I14/K12</f>
        <v>7589817.0521228863</v>
      </c>
      <c r="J15" s="411">
        <f>J14/K12</f>
        <v>9416258.1981360037</v>
      </c>
      <c r="K15" s="243">
        <f>K14/K12</f>
        <v>8757988.6952019334</v>
      </c>
      <c r="L15" s="243">
        <f>L14/K12</f>
        <v>10363619.955988955</v>
      </c>
      <c r="M15" s="243">
        <f>M14/K12</f>
        <v>11391223.962892648</v>
      </c>
    </row>
    <row r="16" spans="2:15" ht="14.25" customHeight="1" x14ac:dyDescent="0.25">
      <c r="I16" s="410">
        <f>I14/L12</f>
        <v>0.25998493431309072</v>
      </c>
      <c r="J16" s="412">
        <f>J14/L12</f>
        <v>0.32254865332132832</v>
      </c>
      <c r="K16" s="412">
        <f>K14/L12</f>
        <v>0.3</v>
      </c>
      <c r="L16" s="412">
        <f>L14/L12</f>
        <v>0.35499999999999998</v>
      </c>
      <c r="M16" s="412">
        <f>M14/L12</f>
        <v>0.39019999999999999</v>
      </c>
    </row>
    <row r="17" spans="2:17" ht="14.25" customHeight="1" x14ac:dyDescent="0.25">
      <c r="G17" s="243" t="s">
        <v>865</v>
      </c>
      <c r="I17" s="227">
        <f>O12*I16</f>
        <v>384918016.27544481</v>
      </c>
      <c r="J17" s="413">
        <f>O12*J16</f>
        <v>477546085.9560678</v>
      </c>
      <c r="K17" s="413">
        <f>O12*K16</f>
        <v>444161909.56499988</v>
      </c>
      <c r="L17" s="413">
        <f>O12*L16</f>
        <v>525591592.98524988</v>
      </c>
      <c r="M17" s="413">
        <f>O12*M16</f>
        <v>577706590.37420988</v>
      </c>
    </row>
    <row r="18" spans="2:17" x14ac:dyDescent="0.25">
      <c r="B18" s="513" t="s">
        <v>488</v>
      </c>
      <c r="C18" s="513"/>
      <c r="D18" s="513"/>
      <c r="E18" s="513"/>
      <c r="F18" s="513"/>
      <c r="I18" s="411"/>
      <c r="J18" s="411"/>
      <c r="K18" s="411"/>
      <c r="L18" s="411"/>
      <c r="M18" s="263">
        <v>0.7</v>
      </c>
    </row>
    <row r="19" spans="2:17" ht="45" x14ac:dyDescent="0.25">
      <c r="B19" s="267" t="s">
        <v>446</v>
      </c>
      <c r="C19" s="267" t="s">
        <v>447</v>
      </c>
      <c r="D19" s="267" t="s">
        <v>472</v>
      </c>
      <c r="E19" s="267" t="s">
        <v>474</v>
      </c>
      <c r="F19" s="267" t="s">
        <v>475</v>
      </c>
      <c r="G19" s="267" t="s">
        <v>473</v>
      </c>
      <c r="H19" s="267" t="s">
        <v>490</v>
      </c>
      <c r="I19" s="267" t="s">
        <v>476</v>
      </c>
      <c r="J19" s="267" t="s">
        <v>448</v>
      </c>
      <c r="K19" s="267" t="s">
        <v>477</v>
      </c>
      <c r="L19" s="267" t="s">
        <v>32</v>
      </c>
      <c r="M19" s="267" t="s">
        <v>479</v>
      </c>
      <c r="N19" s="267" t="s">
        <v>759</v>
      </c>
      <c r="O19" s="267" t="s">
        <v>478</v>
      </c>
    </row>
    <row r="20" spans="2:17" ht="45" x14ac:dyDescent="0.25">
      <c r="B20" s="260">
        <v>2</v>
      </c>
      <c r="C20" s="260" t="s">
        <v>450</v>
      </c>
      <c r="D20" s="260" t="s">
        <v>753</v>
      </c>
      <c r="E20" s="270">
        <f>31.25*60</f>
        <v>1875</v>
      </c>
      <c r="F20" s="268">
        <v>3</v>
      </c>
      <c r="G20" s="268">
        <v>7.5</v>
      </c>
      <c r="H20" s="268">
        <f t="shared" ref="H20:H27" si="8">F20*G20</f>
        <v>22.5</v>
      </c>
      <c r="I20" s="268">
        <f t="shared" ref="I20:I27" si="9">H20*300</f>
        <v>6750</v>
      </c>
      <c r="J20" s="268">
        <f t="shared" ref="J20:J27" si="10">E20*I20</f>
        <v>12656250</v>
      </c>
      <c r="K20" s="299">
        <v>5</v>
      </c>
      <c r="L20" s="268">
        <f t="shared" ref="L20:L27" si="11">J20*K20</f>
        <v>63281250</v>
      </c>
      <c r="M20" s="268">
        <f t="shared" ref="M20:M27" si="12">L20*$M$18</f>
        <v>44296875</v>
      </c>
      <c r="N20" s="268">
        <f t="shared" ref="N20:N27" si="13">L20*7%</f>
        <v>4429687.5</v>
      </c>
      <c r="O20" s="268">
        <f t="shared" ref="O20:O27" si="14">M20+N20</f>
        <v>48726562.5</v>
      </c>
    </row>
    <row r="21" spans="2:17" ht="30" x14ac:dyDescent="0.25">
      <c r="B21" s="260"/>
      <c r="C21" s="260"/>
      <c r="D21" s="260" t="s">
        <v>754</v>
      </c>
      <c r="E21" s="270">
        <f>18.75*60</f>
        <v>1125</v>
      </c>
      <c r="F21" s="268">
        <v>3</v>
      </c>
      <c r="G21" s="268">
        <v>7.5</v>
      </c>
      <c r="H21" s="268">
        <f t="shared" si="8"/>
        <v>22.5</v>
      </c>
      <c r="I21" s="268">
        <f t="shared" si="9"/>
        <v>6750</v>
      </c>
      <c r="J21" s="268">
        <f t="shared" si="10"/>
        <v>7593750</v>
      </c>
      <c r="K21" s="299">
        <v>7</v>
      </c>
      <c r="L21" s="268">
        <f t="shared" si="11"/>
        <v>53156250</v>
      </c>
      <c r="M21" s="268">
        <f t="shared" si="12"/>
        <v>37209375</v>
      </c>
      <c r="N21" s="268">
        <f t="shared" si="13"/>
        <v>3720937.5000000005</v>
      </c>
      <c r="O21" s="268">
        <f t="shared" si="14"/>
        <v>40930312.5</v>
      </c>
    </row>
    <row r="22" spans="2:17" ht="30" x14ac:dyDescent="0.25">
      <c r="B22" s="260"/>
      <c r="C22" s="260"/>
      <c r="D22" s="260" t="s">
        <v>755</v>
      </c>
      <c r="E22" s="270">
        <f>12.55*60</f>
        <v>753</v>
      </c>
      <c r="F22" s="268">
        <v>3</v>
      </c>
      <c r="G22" s="268">
        <v>7.5</v>
      </c>
      <c r="H22" s="268">
        <f t="shared" si="8"/>
        <v>22.5</v>
      </c>
      <c r="I22" s="268">
        <f t="shared" si="9"/>
        <v>6750</v>
      </c>
      <c r="J22" s="268">
        <f t="shared" si="10"/>
        <v>5082750</v>
      </c>
      <c r="K22" s="299">
        <v>9</v>
      </c>
      <c r="L22" s="268">
        <f t="shared" si="11"/>
        <v>45744750</v>
      </c>
      <c r="M22" s="268">
        <f t="shared" si="12"/>
        <v>32021324.999999996</v>
      </c>
      <c r="N22" s="268">
        <f t="shared" si="13"/>
        <v>3202132.5000000005</v>
      </c>
      <c r="O22" s="268">
        <f t="shared" si="14"/>
        <v>35223457.5</v>
      </c>
    </row>
    <row r="23" spans="2:17" ht="30" x14ac:dyDescent="0.25">
      <c r="B23" s="260">
        <v>3</v>
      </c>
      <c r="C23" s="260" t="s">
        <v>451</v>
      </c>
      <c r="D23" s="260" t="s">
        <v>756</v>
      </c>
      <c r="E23" s="270">
        <f>25*60</f>
        <v>1500</v>
      </c>
      <c r="F23" s="268">
        <v>3</v>
      </c>
      <c r="G23" s="268">
        <v>7.5</v>
      </c>
      <c r="H23" s="268">
        <f t="shared" si="8"/>
        <v>22.5</v>
      </c>
      <c r="I23" s="268">
        <f t="shared" si="9"/>
        <v>6750</v>
      </c>
      <c r="J23" s="268">
        <f t="shared" si="10"/>
        <v>10125000</v>
      </c>
      <c r="K23" s="299">
        <v>12</v>
      </c>
      <c r="L23" s="268">
        <f t="shared" si="11"/>
        <v>121500000</v>
      </c>
      <c r="M23" s="268">
        <f t="shared" si="12"/>
        <v>85050000</v>
      </c>
      <c r="N23" s="268">
        <f t="shared" si="13"/>
        <v>8505000</v>
      </c>
      <c r="O23" s="268">
        <f t="shared" si="14"/>
        <v>93555000</v>
      </c>
    </row>
    <row r="24" spans="2:17" ht="30" x14ac:dyDescent="0.25">
      <c r="B24" s="260"/>
      <c r="C24" s="260"/>
      <c r="D24" s="260" t="s">
        <v>758</v>
      </c>
      <c r="E24" s="270">
        <f>18.75*60</f>
        <v>1125</v>
      </c>
      <c r="F24" s="268">
        <v>3</v>
      </c>
      <c r="G24" s="268">
        <v>7.5</v>
      </c>
      <c r="H24" s="268">
        <f t="shared" si="8"/>
        <v>22.5</v>
      </c>
      <c r="I24" s="268">
        <f t="shared" si="9"/>
        <v>6750</v>
      </c>
      <c r="J24" s="268">
        <f t="shared" si="10"/>
        <v>7593750</v>
      </c>
      <c r="K24" s="299">
        <v>16</v>
      </c>
      <c r="L24" s="268">
        <f t="shared" si="11"/>
        <v>121500000</v>
      </c>
      <c r="M24" s="268">
        <f t="shared" si="12"/>
        <v>85050000</v>
      </c>
      <c r="N24" s="268">
        <f t="shared" si="13"/>
        <v>8505000</v>
      </c>
      <c r="O24" s="268">
        <f t="shared" si="14"/>
        <v>93555000</v>
      </c>
    </row>
    <row r="25" spans="2:17" ht="30" x14ac:dyDescent="0.25">
      <c r="B25" s="260"/>
      <c r="C25" s="260"/>
      <c r="D25" s="260" t="s">
        <v>757</v>
      </c>
      <c r="E25" s="270">
        <f>7.5*60</f>
        <v>450</v>
      </c>
      <c r="F25" s="268">
        <v>3</v>
      </c>
      <c r="G25" s="268">
        <v>7.5</v>
      </c>
      <c r="H25" s="268">
        <f t="shared" si="8"/>
        <v>22.5</v>
      </c>
      <c r="I25" s="268">
        <f t="shared" si="9"/>
        <v>6750</v>
      </c>
      <c r="J25" s="268">
        <f t="shared" si="10"/>
        <v>3037500</v>
      </c>
      <c r="K25" s="299">
        <v>23</v>
      </c>
      <c r="L25" s="268">
        <f t="shared" si="11"/>
        <v>69862500</v>
      </c>
      <c r="M25" s="268">
        <f t="shared" si="12"/>
        <v>48903750</v>
      </c>
      <c r="N25" s="268">
        <f t="shared" si="13"/>
        <v>4890375</v>
      </c>
      <c r="O25" s="268">
        <f t="shared" si="14"/>
        <v>53794125</v>
      </c>
    </row>
    <row r="26" spans="2:17" x14ac:dyDescent="0.25">
      <c r="B26" s="261">
        <v>5</v>
      </c>
      <c r="C26" s="261" t="s">
        <v>483</v>
      </c>
      <c r="D26" s="261" t="s">
        <v>484</v>
      </c>
      <c r="E26" s="270">
        <f>75*60</f>
        <v>4500</v>
      </c>
      <c r="F26" s="271">
        <v>3</v>
      </c>
      <c r="G26" s="268">
        <v>7.5</v>
      </c>
      <c r="H26" s="268">
        <f t="shared" si="8"/>
        <v>22.5</v>
      </c>
      <c r="I26" s="268">
        <f t="shared" si="9"/>
        <v>6750</v>
      </c>
      <c r="J26" s="268">
        <f t="shared" si="10"/>
        <v>30375000</v>
      </c>
      <c r="K26" s="299">
        <v>11</v>
      </c>
      <c r="L26" s="268">
        <f t="shared" si="11"/>
        <v>334125000</v>
      </c>
      <c r="M26" s="268">
        <f t="shared" si="12"/>
        <v>233887500</v>
      </c>
      <c r="N26" s="268">
        <f t="shared" si="13"/>
        <v>23388750.000000004</v>
      </c>
      <c r="O26" s="268">
        <f t="shared" si="14"/>
        <v>257276250</v>
      </c>
    </row>
    <row r="27" spans="2:17" x14ac:dyDescent="0.25">
      <c r="B27" s="240"/>
      <c r="C27" s="261" t="s">
        <v>485</v>
      </c>
      <c r="D27" s="261" t="s">
        <v>484</v>
      </c>
      <c r="E27" s="270">
        <f>75*60</f>
        <v>4500</v>
      </c>
      <c r="F27" s="271">
        <v>3</v>
      </c>
      <c r="G27" s="268">
        <v>7.5</v>
      </c>
      <c r="H27" s="268">
        <f t="shared" si="8"/>
        <v>22.5</v>
      </c>
      <c r="I27" s="268">
        <f t="shared" si="9"/>
        <v>6750</v>
      </c>
      <c r="J27" s="268">
        <f t="shared" si="10"/>
        <v>30375000</v>
      </c>
      <c r="K27" s="299">
        <v>13</v>
      </c>
      <c r="L27" s="268">
        <f t="shared" si="11"/>
        <v>394875000</v>
      </c>
      <c r="M27" s="268">
        <f t="shared" si="12"/>
        <v>276412500</v>
      </c>
      <c r="N27" s="268">
        <f t="shared" si="13"/>
        <v>27641250.000000004</v>
      </c>
      <c r="O27" s="268">
        <f t="shared" si="14"/>
        <v>304053750</v>
      </c>
    </row>
    <row r="28" spans="2:17" x14ac:dyDescent="0.25">
      <c r="B28" s="250"/>
      <c r="C28" s="250" t="s">
        <v>5</v>
      </c>
      <c r="D28" s="250"/>
      <c r="E28" s="272"/>
      <c r="F28" s="272"/>
      <c r="G28" s="272"/>
      <c r="H28" s="272"/>
      <c r="I28" s="272"/>
      <c r="J28" s="272"/>
      <c r="K28" s="272"/>
      <c r="L28" s="272">
        <f>SUM(L20:L27)</f>
        <v>1204044750</v>
      </c>
      <c r="M28" s="272">
        <f>SUM(M20:M27)</f>
        <v>842831325</v>
      </c>
      <c r="N28" s="272">
        <f>SUM(N20:N27)</f>
        <v>84283132.5</v>
      </c>
      <c r="O28" s="272">
        <f>SUM(O20:O27)</f>
        <v>927114457.5</v>
      </c>
    </row>
    <row r="30" spans="2:17" x14ac:dyDescent="0.25">
      <c r="P30" s="243"/>
      <c r="Q30" s="243"/>
    </row>
    <row r="31" spans="2:17" x14ac:dyDescent="0.25">
      <c r="P31" s="243"/>
      <c r="Q31" s="243"/>
    </row>
    <row r="32" spans="2:17" x14ac:dyDescent="0.25">
      <c r="C32" s="250" t="s">
        <v>491</v>
      </c>
      <c r="D32" s="267" t="s">
        <v>852</v>
      </c>
      <c r="E32" s="250" t="s">
        <v>52</v>
      </c>
      <c r="F32" s="250" t="s">
        <v>53</v>
      </c>
      <c r="G32" s="250" t="s">
        <v>54</v>
      </c>
      <c r="H32" s="250" t="s">
        <v>55</v>
      </c>
      <c r="I32" s="250" t="s">
        <v>56</v>
      </c>
      <c r="J32" s="250" t="s">
        <v>57</v>
      </c>
      <c r="K32" s="250" t="s">
        <v>62</v>
      </c>
      <c r="L32" s="250" t="s">
        <v>63</v>
      </c>
      <c r="M32" s="250" t="s">
        <v>64</v>
      </c>
      <c r="N32" s="250" t="s">
        <v>65</v>
      </c>
      <c r="O32" s="216"/>
    </row>
    <row r="33" spans="3:15" x14ac:dyDescent="0.25">
      <c r="C33" s="320" t="s">
        <v>180</v>
      </c>
      <c r="D33" s="321">
        <v>0.35</v>
      </c>
      <c r="E33" s="322">
        <v>0.45</v>
      </c>
      <c r="F33" s="407">
        <f>E33+5%</f>
        <v>0.5</v>
      </c>
      <c r="G33" s="407">
        <f>F33+5%</f>
        <v>0.55000000000000004</v>
      </c>
      <c r="H33" s="407">
        <f>G33+5%</f>
        <v>0.60000000000000009</v>
      </c>
      <c r="I33" s="407">
        <f t="shared" ref="I33:N33" si="15">H33+5%</f>
        <v>0.65000000000000013</v>
      </c>
      <c r="J33" s="407">
        <f t="shared" si="15"/>
        <v>0.70000000000000018</v>
      </c>
      <c r="K33" s="407">
        <f t="shared" si="15"/>
        <v>0.75000000000000022</v>
      </c>
      <c r="L33" s="407">
        <f t="shared" si="15"/>
        <v>0.80000000000000027</v>
      </c>
      <c r="M33" s="407">
        <f t="shared" si="15"/>
        <v>0.85000000000000031</v>
      </c>
      <c r="N33" s="407">
        <f t="shared" si="15"/>
        <v>0.90000000000000036</v>
      </c>
      <c r="O33" s="216"/>
    </row>
    <row r="34" spans="3:15" x14ac:dyDescent="0.25">
      <c r="C34" s="320" t="s">
        <v>32</v>
      </c>
      <c r="D34" s="248">
        <f>L28*D33/100000/12</f>
        <v>351.17971874999995</v>
      </c>
      <c r="E34" s="248">
        <f>L28*E33/100000</f>
        <v>5418.2013749999996</v>
      </c>
      <c r="F34" s="248">
        <f>L28*F33/100000</f>
        <v>6020.2237500000001</v>
      </c>
      <c r="G34" s="248">
        <f>L28*G33/100000</f>
        <v>6622.2461249999997</v>
      </c>
      <c r="H34" s="248">
        <f>L28*H33/100000</f>
        <v>7224.268500000001</v>
      </c>
      <c r="I34" s="248">
        <f>L28*I33/100000</f>
        <v>7826.2908750000015</v>
      </c>
      <c r="J34" s="248">
        <f>L28*J33/100000</f>
        <v>8428.3132500000029</v>
      </c>
      <c r="K34" s="248">
        <f>L28*K33/100000</f>
        <v>9030.3356250000015</v>
      </c>
      <c r="L34" s="248">
        <f>L28*L33/100000</f>
        <v>9632.3580000000038</v>
      </c>
      <c r="M34" s="318">
        <f>L28*M33/100000</f>
        <v>10234.380375000004</v>
      </c>
      <c r="N34" s="318">
        <f>L28*N33/100000</f>
        <v>10836.402750000005</v>
      </c>
      <c r="O34" s="216"/>
    </row>
    <row r="35" spans="3:15" x14ac:dyDescent="0.25"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253"/>
      <c r="N35" s="253"/>
      <c r="O35" s="216"/>
    </row>
    <row r="36" spans="3:15" ht="30" x14ac:dyDescent="0.25">
      <c r="C36" s="260" t="s">
        <v>816</v>
      </c>
      <c r="D36" s="323">
        <f>M28*D33/100000/12</f>
        <v>245.82580312499999</v>
      </c>
      <c r="E36" s="323">
        <f t="shared" ref="E36:N36" si="16">$M$28*E33/10^5</f>
        <v>3792.7409625</v>
      </c>
      <c r="F36" s="323">
        <f t="shared" si="16"/>
        <v>4214.1566249999996</v>
      </c>
      <c r="G36" s="323">
        <f t="shared" si="16"/>
        <v>4635.572287500001</v>
      </c>
      <c r="H36" s="323">
        <f t="shared" si="16"/>
        <v>5056.9879500000006</v>
      </c>
      <c r="I36" s="323">
        <f t="shared" si="16"/>
        <v>5478.4036125000011</v>
      </c>
      <c r="J36" s="323">
        <f t="shared" si="16"/>
        <v>5899.8192750000007</v>
      </c>
      <c r="K36" s="323">
        <f t="shared" si="16"/>
        <v>6321.2349375000022</v>
      </c>
      <c r="L36" s="323">
        <f t="shared" si="16"/>
        <v>6742.6506000000027</v>
      </c>
      <c r="M36" s="323">
        <f t="shared" si="16"/>
        <v>7164.0662625000023</v>
      </c>
      <c r="N36" s="323">
        <f t="shared" si="16"/>
        <v>7585.4819250000037</v>
      </c>
      <c r="O36" s="216"/>
    </row>
  </sheetData>
  <mergeCells count="1">
    <mergeCell ref="B18:F18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1"/>
  <sheetViews>
    <sheetView topLeftCell="A16" zoomScaleNormal="100" workbookViewId="0">
      <selection activeCell="D33" sqref="D33"/>
    </sheetView>
  </sheetViews>
  <sheetFormatPr defaultColWidth="9.140625" defaultRowHeight="15" x14ac:dyDescent="0.25"/>
  <cols>
    <col min="1" max="1" width="5.42578125" style="216" customWidth="1"/>
    <col min="2" max="2" width="23.28515625" style="216" customWidth="1"/>
    <col min="3" max="3" width="9" style="216" customWidth="1"/>
    <col min="4" max="4" width="9.85546875" style="216" bestFit="1" customWidth="1"/>
    <col min="5" max="15" width="8.42578125" style="216" customWidth="1"/>
    <col min="16" max="17" width="8.7109375" style="216" customWidth="1"/>
    <col min="18" max="16384" width="9.140625" style="216"/>
  </cols>
  <sheetData>
    <row r="1" spans="2:21" x14ac:dyDescent="0.25"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</row>
    <row r="2" spans="2:21" x14ac:dyDescent="0.25">
      <c r="B2" s="220" t="str">
        <f>'P&amp;L(Proposed)'!B2:Q2</f>
        <v>MANCARE LABORATORIES PVT. LTD. Plot  No. -11, Pharma City, Selaqui Industrial Area, Dehradun, Uttarakhand- 248011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346"/>
      <c r="T2" s="346"/>
      <c r="U2" s="346"/>
    </row>
    <row r="3" spans="2:21" x14ac:dyDescent="0.25">
      <c r="B3" s="328"/>
      <c r="G3" s="225">
        <f ca="1">470.18-D12</f>
        <v>28.525454545454579</v>
      </c>
      <c r="H3" s="216">
        <f>73.86-30.81</f>
        <v>43.05</v>
      </c>
      <c r="N3" s="324"/>
      <c r="P3" s="325"/>
      <c r="S3" s="326"/>
    </row>
    <row r="4" spans="2:21" x14ac:dyDescent="0.25">
      <c r="B4" s="217" t="s">
        <v>73</v>
      </c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</row>
    <row r="5" spans="2:21" x14ac:dyDescent="0.25">
      <c r="H5" s="324"/>
      <c r="J5" s="325"/>
      <c r="N5" s="326"/>
    </row>
    <row r="6" spans="2:21" x14ac:dyDescent="0.25">
      <c r="B6" s="328"/>
      <c r="H6" s="324"/>
      <c r="J6" s="325"/>
      <c r="N6" s="326"/>
      <c r="R6" s="329" t="s">
        <v>82</v>
      </c>
    </row>
    <row r="7" spans="2:21" x14ac:dyDescent="0.25">
      <c r="B7" s="327" t="s">
        <v>74</v>
      </c>
      <c r="C7" s="515" t="s">
        <v>75</v>
      </c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</row>
    <row r="8" spans="2:21" ht="15.75" thickBot="1" x14ac:dyDescent="0.3">
      <c r="B8" s="362"/>
      <c r="C8" s="330" t="s">
        <v>126</v>
      </c>
      <c r="D8" s="330" t="s">
        <v>110</v>
      </c>
      <c r="E8" s="330" t="str">
        <f>'P&amp;L(Proposed)'!E6</f>
        <v>2023-24</v>
      </c>
      <c r="F8" s="330" t="str">
        <f>'P&amp;L(Proposed)'!F6</f>
        <v>2024-25</v>
      </c>
      <c r="G8" s="330" t="str">
        <f>'P&amp;L(Proposed)'!G6</f>
        <v>2025-26</v>
      </c>
      <c r="H8" s="330" t="str">
        <f>'P&amp;L(Proposed)'!H6</f>
        <v>2026-27</v>
      </c>
      <c r="I8" s="330" t="str">
        <f>'P&amp;L(Proposed)'!I6</f>
        <v>2027-28</v>
      </c>
      <c r="J8" s="330" t="str">
        <f>'P&amp;L(Proposed)'!J6</f>
        <v>2028-29</v>
      </c>
      <c r="K8" s="330" t="str">
        <f>'P&amp;L(Proposed)'!K6</f>
        <v>2029-30</v>
      </c>
      <c r="L8" s="330" t="str">
        <f>'P&amp;L(Proposed)'!L6</f>
        <v>2030-31</v>
      </c>
      <c r="M8" s="330" t="str">
        <f>'P&amp;L(Proposed)'!M6</f>
        <v>2031-32</v>
      </c>
      <c r="N8" s="330" t="str">
        <f>'P&amp;L(Proposed)'!N6</f>
        <v>2032-33</v>
      </c>
      <c r="O8" s="330" t="str">
        <f>'P&amp;L(Proposed)'!O6</f>
        <v>2033-34</v>
      </c>
      <c r="P8" s="330" t="str">
        <f>'P&amp;L(Proposed)'!P6</f>
        <v>2034-35</v>
      </c>
      <c r="Q8" s="330" t="str">
        <f>'P&amp;L(Proposed)'!Q6</f>
        <v>2035-36</v>
      </c>
      <c r="R8" s="330" t="e">
        <f>'P&amp;L(Proposed)'!#REF!</f>
        <v>#REF!</v>
      </c>
    </row>
    <row r="9" spans="2:21" ht="15.75" thickTop="1" x14ac:dyDescent="0.25">
      <c r="C9" s="225"/>
      <c r="D9" s="225"/>
      <c r="E9" s="225"/>
      <c r="F9" s="225"/>
      <c r="G9" s="225"/>
      <c r="H9" s="225"/>
      <c r="I9" s="225"/>
      <c r="N9" s="326"/>
    </row>
    <row r="10" spans="2:21" x14ac:dyDescent="0.25">
      <c r="B10" s="216" t="s">
        <v>76</v>
      </c>
      <c r="C10" s="225">
        <v>32.71</v>
      </c>
      <c r="D10" s="225">
        <f t="shared" ref="D10:R10" ca="1" si="0">C10+D25-E41</f>
        <v>198.11</v>
      </c>
      <c r="E10" s="225">
        <f ca="1">D10+E25-D25-F41</f>
        <v>32.710000000000008</v>
      </c>
      <c r="F10" s="225">
        <f t="shared" ca="1" si="0"/>
        <v>32.710000000000008</v>
      </c>
      <c r="G10" s="225">
        <f t="shared" ca="1" si="0"/>
        <v>32.710000000000008</v>
      </c>
      <c r="H10" s="225">
        <f t="shared" ca="1" si="0"/>
        <v>32.710000000000008</v>
      </c>
      <c r="I10" s="225">
        <f t="shared" ca="1" si="0"/>
        <v>32.710000000000008</v>
      </c>
      <c r="J10" s="225">
        <f t="shared" ca="1" si="0"/>
        <v>32.710000000000008</v>
      </c>
      <c r="K10" s="225">
        <f t="shared" ca="1" si="0"/>
        <v>32.710000000000008</v>
      </c>
      <c r="L10" s="225">
        <f t="shared" ca="1" si="0"/>
        <v>32.710000000000008</v>
      </c>
      <c r="M10" s="225">
        <f t="shared" ca="1" si="0"/>
        <v>32.710000000000008</v>
      </c>
      <c r="N10" s="225">
        <f t="shared" ca="1" si="0"/>
        <v>32.710000000000008</v>
      </c>
      <c r="O10" s="225">
        <f t="shared" ca="1" si="0"/>
        <v>32.710000000000008</v>
      </c>
      <c r="P10" s="225">
        <f t="shared" ca="1" si="0"/>
        <v>32.710000000000008</v>
      </c>
      <c r="Q10" s="225">
        <f t="shared" ca="1" si="0"/>
        <v>32.710000000000008</v>
      </c>
      <c r="R10" s="225">
        <f t="shared" ca="1" si="0"/>
        <v>32.710000000000008</v>
      </c>
    </row>
    <row r="11" spans="2:21" x14ac:dyDescent="0.25">
      <c r="C11" s="225"/>
      <c r="N11" s="326"/>
    </row>
    <row r="12" spans="2:21" x14ac:dyDescent="0.25">
      <c r="B12" s="216" t="s">
        <v>77</v>
      </c>
      <c r="C12" s="225">
        <v>443.17</v>
      </c>
      <c r="D12" s="225">
        <f ca="1">C12+D27-E43</f>
        <v>441.65454545454543</v>
      </c>
      <c r="E12" s="225">
        <f t="shared" ref="E12:R12" ca="1" si="1">D12+E27-F43</f>
        <v>401.50413223140492</v>
      </c>
      <c r="F12" s="225">
        <f t="shared" ca="1" si="1"/>
        <v>365.00375657400446</v>
      </c>
      <c r="G12" s="225">
        <f t="shared" ca="1" si="1"/>
        <v>331.82159688545858</v>
      </c>
      <c r="H12" s="225">
        <f t="shared" ca="1" si="1"/>
        <v>301.65599716859867</v>
      </c>
      <c r="I12" s="225">
        <f t="shared" ca="1" si="1"/>
        <v>274.23272469872609</v>
      </c>
      <c r="J12" s="225">
        <f t="shared" ca="1" si="1"/>
        <v>249.30247699884188</v>
      </c>
      <c r="K12" s="225">
        <f t="shared" ca="1" si="1"/>
        <v>226.6386154534926</v>
      </c>
      <c r="L12" s="225">
        <f t="shared" ca="1" si="1"/>
        <v>206.03510495772053</v>
      </c>
      <c r="M12" s="225">
        <f t="shared" ca="1" si="1"/>
        <v>187.30464087065502</v>
      </c>
      <c r="N12" s="225">
        <f t="shared" ca="1" si="1"/>
        <v>170.27694624605002</v>
      </c>
      <c r="O12" s="225">
        <f t="shared" ca="1" si="1"/>
        <v>154.79722386004545</v>
      </c>
      <c r="P12" s="225">
        <f t="shared" ca="1" si="1"/>
        <v>140.72474896367768</v>
      </c>
      <c r="Q12" s="225">
        <f t="shared" ca="1" si="1"/>
        <v>127.9315899669797</v>
      </c>
      <c r="R12" s="225">
        <f t="shared" ca="1" si="1"/>
        <v>127.9315899669797</v>
      </c>
    </row>
    <row r="13" spans="2:21" x14ac:dyDescent="0.25">
      <c r="C13" s="225"/>
      <c r="N13" s="326"/>
    </row>
    <row r="14" spans="2:21" x14ac:dyDescent="0.25">
      <c r="B14" s="216" t="s">
        <v>78</v>
      </c>
      <c r="C14" s="225">
        <f>814.71-32.71-443.17-0.55</f>
        <v>338.28</v>
      </c>
      <c r="D14" s="225">
        <f t="shared" ref="D14:R14" ca="1" si="2">C14+D29-E45</f>
        <v>324.68695652173909</v>
      </c>
      <c r="E14" s="225">
        <f t="shared" ca="1" si="2"/>
        <v>282.33648393194704</v>
      </c>
      <c r="F14" s="225">
        <f t="shared" ca="1" si="2"/>
        <v>245.50998602778003</v>
      </c>
      <c r="G14" s="225">
        <f t="shared" ca="1" si="2"/>
        <v>213.48694437198262</v>
      </c>
      <c r="H14" s="225">
        <f t="shared" ca="1" si="2"/>
        <v>185.64082119302836</v>
      </c>
      <c r="I14" s="225">
        <f t="shared" ca="1" si="2"/>
        <v>161.42680103741594</v>
      </c>
      <c r="J14" s="225">
        <f t="shared" ca="1" si="2"/>
        <v>140.37113133688342</v>
      </c>
      <c r="K14" s="225">
        <f t="shared" ca="1" si="2"/>
        <v>122.06185333642036</v>
      </c>
      <c r="L14" s="225">
        <f t="shared" ca="1" si="2"/>
        <v>106.14074203166986</v>
      </c>
      <c r="M14" s="225">
        <f t="shared" ca="1" si="2"/>
        <v>92.296297418843338</v>
      </c>
      <c r="N14" s="225">
        <f t="shared" ca="1" si="2"/>
        <v>80.257649929428965</v>
      </c>
      <c r="O14" s="225">
        <f t="shared" ca="1" si="2"/>
        <v>69.789260808199074</v>
      </c>
      <c r="P14" s="225">
        <f t="shared" ca="1" si="2"/>
        <v>60.686313746260033</v>
      </c>
      <c r="Q14" s="225">
        <f t="shared" ca="1" si="2"/>
        <v>52.770707605443469</v>
      </c>
      <c r="R14" s="225">
        <f t="shared" ca="1" si="2"/>
        <v>52.770707605443469</v>
      </c>
    </row>
    <row r="15" spans="2:21" x14ac:dyDescent="0.25">
      <c r="C15" s="225" t="s">
        <v>40</v>
      </c>
      <c r="N15" s="326"/>
    </row>
    <row r="16" spans="2:21" x14ac:dyDescent="0.25">
      <c r="B16" s="216" t="s">
        <v>127</v>
      </c>
      <c r="C16" s="225">
        <v>0.55000000000000004</v>
      </c>
      <c r="D16" s="225">
        <f t="shared" ref="D16:R16" ca="1" si="3">C16+D31-E47</f>
        <v>0.55000000000000004</v>
      </c>
      <c r="E16" s="225">
        <f t="shared" ca="1" si="3"/>
        <v>0.55000000000000004</v>
      </c>
      <c r="F16" s="225">
        <f t="shared" ca="1" si="3"/>
        <v>0.55000000000000004</v>
      </c>
      <c r="G16" s="225">
        <f t="shared" ca="1" si="3"/>
        <v>0.55000000000000004</v>
      </c>
      <c r="H16" s="225">
        <f t="shared" ca="1" si="3"/>
        <v>0.55000000000000004</v>
      </c>
      <c r="I16" s="225">
        <f t="shared" ca="1" si="3"/>
        <v>0.55000000000000004</v>
      </c>
      <c r="J16" s="225">
        <f t="shared" ca="1" si="3"/>
        <v>0.55000000000000004</v>
      </c>
      <c r="K16" s="225">
        <f t="shared" ca="1" si="3"/>
        <v>0.55000000000000004</v>
      </c>
      <c r="L16" s="225">
        <f t="shared" ca="1" si="3"/>
        <v>0.55000000000000004</v>
      </c>
      <c r="M16" s="225">
        <f t="shared" ca="1" si="3"/>
        <v>0.55000000000000004</v>
      </c>
      <c r="N16" s="225">
        <f t="shared" ca="1" si="3"/>
        <v>0.55000000000000004</v>
      </c>
      <c r="O16" s="225">
        <f t="shared" ca="1" si="3"/>
        <v>0.55000000000000004</v>
      </c>
      <c r="P16" s="225">
        <f t="shared" ca="1" si="3"/>
        <v>0.55000000000000004</v>
      </c>
      <c r="Q16" s="225">
        <f t="shared" ca="1" si="3"/>
        <v>0.55000000000000004</v>
      </c>
      <c r="R16" s="225">
        <f t="shared" ca="1" si="3"/>
        <v>0.55000000000000004</v>
      </c>
    </row>
    <row r="17" spans="2:18" x14ac:dyDescent="0.25">
      <c r="C17" s="225"/>
      <c r="N17" s="326"/>
    </row>
    <row r="18" spans="2:18" ht="15.75" thickBot="1" x14ac:dyDescent="0.3">
      <c r="B18" s="331" t="s">
        <v>80</v>
      </c>
      <c r="C18" s="332">
        <f t="shared" ref="C18:R18" si="4">SUM(C9:C17)</f>
        <v>814.70999999999992</v>
      </c>
      <c r="D18" s="332">
        <f t="shared" ca="1" si="4"/>
        <v>965.00150197628454</v>
      </c>
      <c r="E18" s="332">
        <f t="shared" ca="1" si="4"/>
        <v>717.10061616335202</v>
      </c>
      <c r="F18" s="332">
        <f t="shared" ca="1" si="4"/>
        <v>643.77374260178453</v>
      </c>
      <c r="G18" s="332">
        <f t="shared" ca="1" si="4"/>
        <v>578.56854125744121</v>
      </c>
      <c r="H18" s="332">
        <f t="shared" ca="1" si="4"/>
        <v>520.55681836162705</v>
      </c>
      <c r="I18" s="332">
        <f t="shared" ca="1" si="4"/>
        <v>468.91952573614208</v>
      </c>
      <c r="J18" s="332">
        <f t="shared" ca="1" si="4"/>
        <v>422.9336083357253</v>
      </c>
      <c r="K18" s="332">
        <f t="shared" ca="1" si="4"/>
        <v>381.96046878991297</v>
      </c>
      <c r="L18" s="332">
        <f t="shared" ca="1" si="4"/>
        <v>345.43584698939043</v>
      </c>
      <c r="M18" s="332">
        <f t="shared" ca="1" si="4"/>
        <v>312.86093828949839</v>
      </c>
      <c r="N18" s="332">
        <f t="shared" ca="1" si="4"/>
        <v>283.794596175479</v>
      </c>
      <c r="O18" s="332">
        <f t="shared" ca="1" si="4"/>
        <v>257.84648466824456</v>
      </c>
      <c r="P18" s="332">
        <f t="shared" ca="1" si="4"/>
        <v>234.67106270993773</v>
      </c>
      <c r="Q18" s="332">
        <f t="shared" ca="1" si="4"/>
        <v>213.96229757242321</v>
      </c>
      <c r="R18" s="332">
        <f t="shared" ca="1" si="4"/>
        <v>213.96229757242321</v>
      </c>
    </row>
    <row r="19" spans="2:18" ht="15.75" thickTop="1" x14ac:dyDescent="0.25">
      <c r="B19" s="333"/>
      <c r="C19" s="225"/>
      <c r="D19" s="225"/>
      <c r="E19" s="225"/>
      <c r="F19" s="225"/>
      <c r="G19" s="225"/>
      <c r="H19" s="225"/>
      <c r="I19" s="225"/>
      <c r="N19" s="326"/>
    </row>
    <row r="20" spans="2:18" x14ac:dyDescent="0.25">
      <c r="B20" s="328" t="s">
        <v>81</v>
      </c>
      <c r="C20" s="225"/>
      <c r="J20" s="334"/>
      <c r="N20" s="326"/>
    </row>
    <row r="21" spans="2:18" x14ac:dyDescent="0.25">
      <c r="B21" s="328"/>
      <c r="C21" s="225"/>
      <c r="N21" s="326"/>
      <c r="P21" s="329" t="s">
        <v>82</v>
      </c>
    </row>
    <row r="22" spans="2:18" x14ac:dyDescent="0.25">
      <c r="B22" s="327" t="s">
        <v>74</v>
      </c>
      <c r="C22" s="515" t="s">
        <v>83</v>
      </c>
      <c r="D22" s="515"/>
      <c r="E22" s="515"/>
      <c r="F22" s="515"/>
      <c r="G22" s="515"/>
      <c r="H22" s="515"/>
      <c r="I22" s="515"/>
      <c r="J22" s="515"/>
      <c r="K22" s="515"/>
      <c r="L22" s="515"/>
      <c r="M22" s="515"/>
      <c r="N22" s="515"/>
      <c r="O22" s="515"/>
      <c r="P22" s="515"/>
    </row>
    <row r="23" spans="2:18" ht="15.75" thickBot="1" x14ac:dyDescent="0.3">
      <c r="B23" s="335"/>
      <c r="C23" s="330" t="str">
        <f>C8</f>
        <v>2021-22</v>
      </c>
      <c r="D23" s="330" t="str">
        <f t="shared" ref="D23:R23" si="5">D8</f>
        <v>2022-23</v>
      </c>
      <c r="E23" s="330" t="str">
        <f t="shared" si="5"/>
        <v>2023-24</v>
      </c>
      <c r="F23" s="330" t="str">
        <f t="shared" si="5"/>
        <v>2024-25</v>
      </c>
      <c r="G23" s="330" t="str">
        <f t="shared" si="5"/>
        <v>2025-26</v>
      </c>
      <c r="H23" s="330" t="str">
        <f t="shared" si="5"/>
        <v>2026-27</v>
      </c>
      <c r="I23" s="330" t="str">
        <f t="shared" si="5"/>
        <v>2027-28</v>
      </c>
      <c r="J23" s="330" t="str">
        <f t="shared" si="5"/>
        <v>2028-29</v>
      </c>
      <c r="K23" s="330" t="str">
        <f t="shared" si="5"/>
        <v>2029-30</v>
      </c>
      <c r="L23" s="330" t="str">
        <f t="shared" si="5"/>
        <v>2030-31</v>
      </c>
      <c r="M23" s="330" t="str">
        <f t="shared" si="5"/>
        <v>2031-32</v>
      </c>
      <c r="N23" s="330" t="str">
        <f t="shared" si="5"/>
        <v>2032-33</v>
      </c>
      <c r="O23" s="330" t="str">
        <f t="shared" si="5"/>
        <v>2033-34</v>
      </c>
      <c r="P23" s="330" t="str">
        <f t="shared" si="5"/>
        <v>2034-35</v>
      </c>
      <c r="Q23" s="330" t="str">
        <f t="shared" si="5"/>
        <v>2035-36</v>
      </c>
      <c r="R23" s="330" t="e">
        <f t="shared" si="5"/>
        <v>#REF!</v>
      </c>
    </row>
    <row r="24" spans="2:18" ht="15.75" thickTop="1" x14ac:dyDescent="0.25">
      <c r="C24" s="336"/>
      <c r="N24" s="326"/>
    </row>
    <row r="25" spans="2:18" x14ac:dyDescent="0.25">
      <c r="B25" s="216" t="s">
        <v>76</v>
      </c>
      <c r="C25" s="336">
        <v>0</v>
      </c>
      <c r="D25" s="336">
        <v>165.4</v>
      </c>
      <c r="E25" s="336">
        <v>0</v>
      </c>
      <c r="F25" s="336">
        <v>0</v>
      </c>
      <c r="G25" s="336">
        <v>0</v>
      </c>
      <c r="H25" s="336">
        <v>0</v>
      </c>
      <c r="I25" s="336">
        <v>0</v>
      </c>
      <c r="J25" s="336">
        <v>0</v>
      </c>
      <c r="K25" s="336">
        <v>0</v>
      </c>
      <c r="L25" s="336">
        <v>0</v>
      </c>
      <c r="M25" s="336">
        <v>0</v>
      </c>
      <c r="N25" s="336">
        <v>0</v>
      </c>
      <c r="O25" s="336">
        <v>0</v>
      </c>
      <c r="P25" s="336">
        <v>0</v>
      </c>
      <c r="Q25" s="336">
        <v>0</v>
      </c>
      <c r="R25" s="336">
        <v>0</v>
      </c>
    </row>
    <row r="26" spans="2:18" x14ac:dyDescent="0.25">
      <c r="C26" s="336"/>
      <c r="N26" s="326"/>
    </row>
    <row r="27" spans="2:18" x14ac:dyDescent="0.25">
      <c r="B27" s="216" t="s">
        <v>77</v>
      </c>
      <c r="C27" s="336">
        <v>0</v>
      </c>
      <c r="D27" s="336">
        <f>73.46-30.81</f>
        <v>42.649999999999991</v>
      </c>
      <c r="E27" s="336">
        <v>0</v>
      </c>
      <c r="F27" s="336">
        <v>0</v>
      </c>
      <c r="G27" s="336">
        <v>0</v>
      </c>
      <c r="H27" s="336">
        <v>0</v>
      </c>
      <c r="I27" s="336">
        <v>0</v>
      </c>
      <c r="J27" s="336">
        <v>0</v>
      </c>
      <c r="K27" s="336">
        <v>0</v>
      </c>
      <c r="L27" s="336">
        <v>0</v>
      </c>
      <c r="M27" s="336">
        <v>0</v>
      </c>
      <c r="N27" s="336">
        <v>0</v>
      </c>
      <c r="O27" s="336">
        <v>0</v>
      </c>
      <c r="P27" s="336">
        <v>0</v>
      </c>
      <c r="Q27" s="336">
        <v>0</v>
      </c>
      <c r="R27" s="336">
        <v>0</v>
      </c>
    </row>
    <row r="28" spans="2:18" x14ac:dyDescent="0.25">
      <c r="C28" s="336"/>
      <c r="N28" s="326"/>
    </row>
    <row r="29" spans="2:18" x14ac:dyDescent="0.25">
      <c r="B29" s="216" t="s">
        <v>78</v>
      </c>
      <c r="C29" s="336">
        <v>0</v>
      </c>
      <c r="D29" s="336">
        <v>35.11</v>
      </c>
      <c r="E29" s="336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</row>
    <row r="30" spans="2:18" x14ac:dyDescent="0.25">
      <c r="C30" s="336"/>
      <c r="N30" s="326"/>
    </row>
    <row r="31" spans="2:18" x14ac:dyDescent="0.25">
      <c r="B31" s="216" t="s">
        <v>127</v>
      </c>
      <c r="C31" s="336">
        <v>0</v>
      </c>
      <c r="D31" s="336">
        <v>0</v>
      </c>
      <c r="E31" s="336">
        <v>0</v>
      </c>
      <c r="F31" s="336">
        <v>0</v>
      </c>
      <c r="G31" s="336">
        <v>0</v>
      </c>
      <c r="H31" s="336">
        <v>0</v>
      </c>
      <c r="I31" s="336">
        <v>0</v>
      </c>
      <c r="J31" s="336">
        <v>0</v>
      </c>
      <c r="K31" s="336">
        <v>0</v>
      </c>
      <c r="L31" s="336">
        <v>0</v>
      </c>
      <c r="M31" s="336">
        <v>0</v>
      </c>
      <c r="N31" s="336">
        <v>0</v>
      </c>
      <c r="O31" s="336">
        <v>0</v>
      </c>
      <c r="P31" s="336">
        <v>0</v>
      </c>
      <c r="Q31" s="336">
        <v>0</v>
      </c>
      <c r="R31" s="336">
        <v>0</v>
      </c>
    </row>
    <row r="32" spans="2:18" x14ac:dyDescent="0.25">
      <c r="C32" s="336"/>
      <c r="N32" s="326"/>
    </row>
    <row r="33" spans="2:18" ht="15.75" thickBot="1" x14ac:dyDescent="0.3">
      <c r="B33" s="337" t="s">
        <v>80</v>
      </c>
      <c r="C33" s="332">
        <f>SUM(C24:C32)</f>
        <v>0</v>
      </c>
      <c r="D33" s="338">
        <f>SUM(D25:D32)</f>
        <v>243.16000000000003</v>
      </c>
      <c r="E33" s="338">
        <f t="shared" ref="E33:R33" si="6">SUM(E27:E32)</f>
        <v>0</v>
      </c>
      <c r="F33" s="338">
        <f t="shared" si="6"/>
        <v>0</v>
      </c>
      <c r="G33" s="338">
        <f t="shared" si="6"/>
        <v>0</v>
      </c>
      <c r="H33" s="338">
        <f t="shared" si="6"/>
        <v>0</v>
      </c>
      <c r="I33" s="338">
        <f t="shared" si="6"/>
        <v>0</v>
      </c>
      <c r="J33" s="338">
        <f t="shared" si="6"/>
        <v>0</v>
      </c>
      <c r="K33" s="338">
        <f t="shared" si="6"/>
        <v>0</v>
      </c>
      <c r="L33" s="338">
        <f t="shared" si="6"/>
        <v>0</v>
      </c>
      <c r="M33" s="338">
        <f t="shared" si="6"/>
        <v>0</v>
      </c>
      <c r="N33" s="338">
        <f t="shared" si="6"/>
        <v>0</v>
      </c>
      <c r="O33" s="338">
        <f t="shared" si="6"/>
        <v>0</v>
      </c>
      <c r="P33" s="338">
        <f t="shared" si="6"/>
        <v>0</v>
      </c>
      <c r="Q33" s="338">
        <f t="shared" si="6"/>
        <v>0</v>
      </c>
      <c r="R33" s="338">
        <f t="shared" si="6"/>
        <v>0</v>
      </c>
    </row>
    <row r="34" spans="2:18" ht="15.75" thickTop="1" x14ac:dyDescent="0.25">
      <c r="B34" s="357"/>
      <c r="C34" s="225"/>
      <c r="D34" s="225"/>
      <c r="E34" s="225"/>
      <c r="F34" s="225"/>
      <c r="G34" s="225"/>
      <c r="H34" s="225"/>
      <c r="I34" s="225"/>
      <c r="J34" s="225"/>
      <c r="N34" s="326"/>
    </row>
    <row r="35" spans="2:18" x14ac:dyDescent="0.25">
      <c r="B35" s="333" t="s">
        <v>44</v>
      </c>
      <c r="C35" s="225"/>
      <c r="D35" s="339"/>
      <c r="E35" s="339"/>
      <c r="F35" s="339"/>
      <c r="G35" s="339"/>
      <c r="H35" s="339"/>
      <c r="I35" s="339"/>
      <c r="N35" s="326"/>
    </row>
    <row r="36" spans="2:18" x14ac:dyDescent="0.25">
      <c r="B36" s="328" t="s">
        <v>3</v>
      </c>
      <c r="K36" s="334"/>
      <c r="N36" s="326"/>
    </row>
    <row r="37" spans="2:18" x14ac:dyDescent="0.25">
      <c r="B37" s="328"/>
      <c r="N37" s="326"/>
      <c r="Q37" s="329" t="s">
        <v>82</v>
      </c>
    </row>
    <row r="38" spans="2:18" x14ac:dyDescent="0.25">
      <c r="B38" s="340" t="s">
        <v>74</v>
      </c>
      <c r="C38" s="340" t="s">
        <v>84</v>
      </c>
      <c r="D38" s="515" t="s">
        <v>85</v>
      </c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</row>
    <row r="39" spans="2:18" ht="15.75" thickBot="1" x14ac:dyDescent="0.3">
      <c r="B39" s="335"/>
      <c r="C39" s="341" t="s">
        <v>86</v>
      </c>
      <c r="D39" s="330" t="str">
        <f>D23</f>
        <v>2022-23</v>
      </c>
      <c r="E39" s="330" t="str">
        <f t="shared" ref="E39:R39" si="7">E23</f>
        <v>2023-24</v>
      </c>
      <c r="F39" s="330" t="str">
        <f t="shared" si="7"/>
        <v>2024-25</v>
      </c>
      <c r="G39" s="330" t="str">
        <f t="shared" si="7"/>
        <v>2025-26</v>
      </c>
      <c r="H39" s="330" t="str">
        <f t="shared" si="7"/>
        <v>2026-27</v>
      </c>
      <c r="I39" s="330" t="str">
        <f t="shared" si="7"/>
        <v>2027-28</v>
      </c>
      <c r="J39" s="330" t="str">
        <f t="shared" si="7"/>
        <v>2028-29</v>
      </c>
      <c r="K39" s="330" t="str">
        <f t="shared" si="7"/>
        <v>2029-30</v>
      </c>
      <c r="L39" s="330" t="str">
        <f t="shared" si="7"/>
        <v>2030-31</v>
      </c>
      <c r="M39" s="330" t="str">
        <f t="shared" si="7"/>
        <v>2031-32</v>
      </c>
      <c r="N39" s="330" t="str">
        <f t="shared" si="7"/>
        <v>2032-33</v>
      </c>
      <c r="O39" s="330" t="str">
        <f t="shared" si="7"/>
        <v>2033-34</v>
      </c>
      <c r="P39" s="330" t="str">
        <f t="shared" si="7"/>
        <v>2034-35</v>
      </c>
      <c r="Q39" s="330" t="str">
        <f t="shared" si="7"/>
        <v>2035-36</v>
      </c>
      <c r="R39" s="330" t="e">
        <f t="shared" si="7"/>
        <v>#REF!</v>
      </c>
    </row>
    <row r="40" spans="2:18" ht="15.75" thickTop="1" x14ac:dyDescent="0.25">
      <c r="C40" s="218"/>
      <c r="D40" s="225"/>
      <c r="E40" s="225"/>
      <c r="F40" s="225"/>
      <c r="G40" s="225"/>
      <c r="H40" s="225"/>
      <c r="I40" s="225"/>
      <c r="J40" s="225"/>
      <c r="N40" s="326"/>
    </row>
    <row r="41" spans="2:18" x14ac:dyDescent="0.25">
      <c r="B41" s="216" t="s">
        <v>76</v>
      </c>
      <c r="C41" s="342">
        <v>0</v>
      </c>
      <c r="D41" s="225">
        <f>$C$41*(C10+D25)</f>
        <v>0</v>
      </c>
      <c r="E41" s="225">
        <f t="shared" ref="E41:R41" ca="1" si="8">$C$41*(D10+E25)</f>
        <v>0</v>
      </c>
      <c r="F41" s="225">
        <f t="shared" ca="1" si="8"/>
        <v>0</v>
      </c>
      <c r="G41" s="225">
        <f t="shared" ca="1" si="8"/>
        <v>0</v>
      </c>
      <c r="H41" s="225">
        <f t="shared" ca="1" si="8"/>
        <v>0</v>
      </c>
      <c r="I41" s="225">
        <f t="shared" ca="1" si="8"/>
        <v>0</v>
      </c>
      <c r="J41" s="225">
        <f t="shared" ca="1" si="8"/>
        <v>0</v>
      </c>
      <c r="K41" s="225">
        <f t="shared" ca="1" si="8"/>
        <v>0</v>
      </c>
      <c r="L41" s="225">
        <f t="shared" ca="1" si="8"/>
        <v>0</v>
      </c>
      <c r="M41" s="225">
        <f t="shared" ca="1" si="8"/>
        <v>0</v>
      </c>
      <c r="N41" s="225">
        <f t="shared" ca="1" si="8"/>
        <v>0</v>
      </c>
      <c r="O41" s="225">
        <f t="shared" ca="1" si="8"/>
        <v>0</v>
      </c>
      <c r="P41" s="225">
        <f t="shared" ca="1" si="8"/>
        <v>0</v>
      </c>
      <c r="Q41" s="225">
        <f t="shared" ca="1" si="8"/>
        <v>0</v>
      </c>
      <c r="R41" s="225">
        <f t="shared" ca="1" si="8"/>
        <v>0</v>
      </c>
    </row>
    <row r="42" spans="2:18" x14ac:dyDescent="0.25">
      <c r="C42" s="218"/>
      <c r="D42" s="225"/>
      <c r="E42" s="225"/>
      <c r="F42" s="225"/>
      <c r="G42" s="225"/>
      <c r="H42" s="225"/>
      <c r="I42" s="225"/>
      <c r="J42" s="225"/>
      <c r="N42" s="326"/>
    </row>
    <row r="43" spans="2:18" x14ac:dyDescent="0.25">
      <c r="B43" s="216" t="s">
        <v>77</v>
      </c>
      <c r="C43" s="343">
        <v>0.1</v>
      </c>
      <c r="D43" s="225">
        <f>$C$43*(D27+C12)</f>
        <v>48.582000000000001</v>
      </c>
      <c r="E43" s="225">
        <f t="shared" ref="E43:R43" ca="1" si="9">$C$43*(E27+D12)</f>
        <v>44.165454545454544</v>
      </c>
      <c r="F43" s="225">
        <f t="shared" ca="1" si="9"/>
        <v>40.150413223140497</v>
      </c>
      <c r="G43" s="225">
        <f t="shared" ca="1" si="9"/>
        <v>36.500375657400447</v>
      </c>
      <c r="H43" s="225">
        <f t="shared" ca="1" si="9"/>
        <v>33.182159688545859</v>
      </c>
      <c r="I43" s="225">
        <f t="shared" ca="1" si="9"/>
        <v>30.16559971685987</v>
      </c>
      <c r="J43" s="225">
        <f t="shared" ca="1" si="9"/>
        <v>27.423272469872611</v>
      </c>
      <c r="K43" s="225">
        <f t="shared" ca="1" si="9"/>
        <v>24.930247699884191</v>
      </c>
      <c r="L43" s="225">
        <f t="shared" ca="1" si="9"/>
        <v>22.663861545349263</v>
      </c>
      <c r="M43" s="225">
        <f t="shared" ca="1" si="9"/>
        <v>20.603510495772056</v>
      </c>
      <c r="N43" s="225">
        <f t="shared" ca="1" si="9"/>
        <v>18.730464087065503</v>
      </c>
      <c r="O43" s="225">
        <f t="shared" ca="1" si="9"/>
        <v>17.027694624605001</v>
      </c>
      <c r="P43" s="225">
        <f t="shared" ca="1" si="9"/>
        <v>15.479722386004546</v>
      </c>
      <c r="Q43" s="225">
        <f t="shared" ca="1" si="9"/>
        <v>14.072474896367769</v>
      </c>
      <c r="R43" s="225">
        <f t="shared" ca="1" si="9"/>
        <v>12.79315899669797</v>
      </c>
    </row>
    <row r="44" spans="2:18" x14ac:dyDescent="0.25">
      <c r="D44" s="225"/>
      <c r="E44" s="225"/>
      <c r="F44" s="225"/>
      <c r="G44" s="225"/>
      <c r="H44" s="225"/>
      <c r="I44" s="225"/>
      <c r="J44" s="225"/>
      <c r="L44" s="225"/>
      <c r="M44" s="225"/>
      <c r="N44" s="326"/>
    </row>
    <row r="45" spans="2:18" x14ac:dyDescent="0.25">
      <c r="B45" s="216" t="s">
        <v>78</v>
      </c>
      <c r="C45" s="343">
        <v>0.15</v>
      </c>
      <c r="D45" s="225">
        <f>$C$45*(D29+C14)</f>
        <v>56.008499999999998</v>
      </c>
      <c r="E45" s="225">
        <f t="shared" ref="E45:R45" ca="1" si="10">$C$45*(E29+D14)</f>
        <v>48.703043478260859</v>
      </c>
      <c r="F45" s="225">
        <f t="shared" ca="1" si="10"/>
        <v>42.350472589792055</v>
      </c>
      <c r="G45" s="225">
        <f t="shared" ca="1" si="10"/>
        <v>36.826497904167006</v>
      </c>
      <c r="H45" s="225">
        <f t="shared" ca="1" si="10"/>
        <v>32.023041655797392</v>
      </c>
      <c r="I45" s="225">
        <f t="shared" ca="1" si="10"/>
        <v>27.846123178954254</v>
      </c>
      <c r="J45" s="225">
        <f t="shared" ca="1" si="10"/>
        <v>24.214020155612392</v>
      </c>
      <c r="K45" s="225">
        <f t="shared" ca="1" si="10"/>
        <v>21.055669700532512</v>
      </c>
      <c r="L45" s="225">
        <f t="shared" ca="1" si="10"/>
        <v>18.309278000463053</v>
      </c>
      <c r="M45" s="225">
        <f t="shared" ca="1" si="10"/>
        <v>15.921111304750479</v>
      </c>
      <c r="N45" s="225">
        <f t="shared" ca="1" si="10"/>
        <v>13.8444446128265</v>
      </c>
      <c r="O45" s="225">
        <f t="shared" ca="1" si="10"/>
        <v>12.038647489414345</v>
      </c>
      <c r="P45" s="225">
        <f t="shared" ca="1" si="10"/>
        <v>10.46838912122986</v>
      </c>
      <c r="Q45" s="225">
        <f t="shared" ca="1" si="10"/>
        <v>9.1029470619390054</v>
      </c>
      <c r="R45" s="225">
        <f t="shared" ca="1" si="10"/>
        <v>7.9156061408165197</v>
      </c>
    </row>
    <row r="46" spans="2:18" x14ac:dyDescent="0.25">
      <c r="D46" s="225"/>
      <c r="E46" s="225"/>
      <c r="F46" s="225"/>
      <c r="G46" s="225"/>
      <c r="H46" s="225"/>
      <c r="I46" s="225"/>
      <c r="J46" s="225"/>
      <c r="L46" s="225"/>
      <c r="M46" s="225"/>
      <c r="N46" s="326"/>
    </row>
    <row r="47" spans="2:18" x14ac:dyDescent="0.25">
      <c r="B47" s="216" t="s">
        <v>127</v>
      </c>
      <c r="C47" s="343">
        <v>0</v>
      </c>
      <c r="D47" s="225">
        <f>$C$47*(D31+C16)</f>
        <v>0</v>
      </c>
      <c r="E47" s="225">
        <f t="shared" ref="E47:R47" ca="1" si="11">$C$47*(E31+D16)</f>
        <v>0</v>
      </c>
      <c r="F47" s="225">
        <f t="shared" ca="1" si="11"/>
        <v>0</v>
      </c>
      <c r="G47" s="225">
        <f t="shared" ca="1" si="11"/>
        <v>0</v>
      </c>
      <c r="H47" s="225">
        <f t="shared" ca="1" si="11"/>
        <v>0</v>
      </c>
      <c r="I47" s="225">
        <f t="shared" ca="1" si="11"/>
        <v>0</v>
      </c>
      <c r="J47" s="225">
        <f t="shared" ca="1" si="11"/>
        <v>0</v>
      </c>
      <c r="K47" s="225">
        <f t="shared" ca="1" si="11"/>
        <v>0</v>
      </c>
      <c r="L47" s="225">
        <f t="shared" ca="1" si="11"/>
        <v>0</v>
      </c>
      <c r="M47" s="225">
        <f t="shared" ca="1" si="11"/>
        <v>0</v>
      </c>
      <c r="N47" s="225">
        <f t="shared" ca="1" si="11"/>
        <v>0</v>
      </c>
      <c r="O47" s="225">
        <f t="shared" ca="1" si="11"/>
        <v>0</v>
      </c>
      <c r="P47" s="225">
        <f t="shared" ca="1" si="11"/>
        <v>0</v>
      </c>
      <c r="Q47" s="225">
        <f t="shared" ca="1" si="11"/>
        <v>0</v>
      </c>
      <c r="R47" s="225">
        <f t="shared" ca="1" si="11"/>
        <v>0</v>
      </c>
    </row>
    <row r="48" spans="2:18" x14ac:dyDescent="0.25"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326"/>
    </row>
    <row r="49" spans="2:18" ht="15.75" thickBot="1" x14ac:dyDescent="0.3">
      <c r="B49" s="331" t="s">
        <v>80</v>
      </c>
      <c r="C49" s="344"/>
      <c r="D49" s="332">
        <f t="shared" ref="D49:R49" si="12">SUM(D43:D48)</f>
        <v>104.59049999999999</v>
      </c>
      <c r="E49" s="332">
        <f t="shared" ca="1" si="12"/>
        <v>92.868498023715404</v>
      </c>
      <c r="F49" s="332">
        <f t="shared" ca="1" si="12"/>
        <v>82.500885812932552</v>
      </c>
      <c r="G49" s="332">
        <f t="shared" ca="1" si="12"/>
        <v>73.326873561567453</v>
      </c>
      <c r="H49" s="332">
        <f t="shared" ca="1" si="12"/>
        <v>65.205201344343251</v>
      </c>
      <c r="I49" s="332">
        <f t="shared" ca="1" si="12"/>
        <v>58.011722895814124</v>
      </c>
      <c r="J49" s="332">
        <f t="shared" ca="1" si="12"/>
        <v>51.637292625485003</v>
      </c>
      <c r="K49" s="332">
        <f t="shared" ca="1" si="12"/>
        <v>45.985917400416703</v>
      </c>
      <c r="L49" s="332">
        <f t="shared" ca="1" si="12"/>
        <v>40.973139545812316</v>
      </c>
      <c r="M49" s="332">
        <f t="shared" ca="1" si="12"/>
        <v>36.524621800522539</v>
      </c>
      <c r="N49" s="332">
        <f t="shared" ca="1" si="12"/>
        <v>32.574908699892006</v>
      </c>
      <c r="O49" s="332">
        <f t="shared" ca="1" si="12"/>
        <v>29.066342114019346</v>
      </c>
      <c r="P49" s="332">
        <f t="shared" ca="1" si="12"/>
        <v>25.948111507234408</v>
      </c>
      <c r="Q49" s="332">
        <f t="shared" ca="1" si="12"/>
        <v>23.175421958306774</v>
      </c>
      <c r="R49" s="332">
        <f t="shared" ca="1" si="12"/>
        <v>20.70876513751449</v>
      </c>
    </row>
    <row r="50" spans="2:18" ht="15.75" thickTop="1" x14ac:dyDescent="0.25"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326"/>
    </row>
    <row r="51" spans="2:18" x14ac:dyDescent="0.25"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326"/>
    </row>
  </sheetData>
  <mergeCells count="3">
    <mergeCell ref="D38:Q38"/>
    <mergeCell ref="C7:R7"/>
    <mergeCell ref="C22:P22"/>
  </mergeCells>
  <pageMargins left="0.26" right="0.17" top="0.28999999999999998" bottom="0.42" header="2.93" footer="0.3"/>
  <pageSetup paperSize="9" scale="87" orientation="landscape" r:id="rId1"/>
  <rowBreaks count="1" manualBreakCount="1">
    <brk id="3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3"/>
  <sheetViews>
    <sheetView showGridLines="0" topLeftCell="A13" workbookViewId="0">
      <selection activeCell="B32" sqref="B32"/>
    </sheetView>
  </sheetViews>
  <sheetFormatPr defaultColWidth="9.140625" defaultRowHeight="15" x14ac:dyDescent="0.25"/>
  <cols>
    <col min="1" max="1" width="4.140625" style="216" customWidth="1"/>
    <col min="2" max="2" width="37.42578125" style="216" customWidth="1"/>
    <col min="3" max="3" width="9.28515625" style="216" bestFit="1" customWidth="1"/>
    <col min="4" max="4" width="9.5703125" style="216" bestFit="1" customWidth="1"/>
    <col min="5" max="17" width="9.28515625" style="216" bestFit="1" customWidth="1"/>
    <col min="18" max="16384" width="9.140625" style="216"/>
  </cols>
  <sheetData>
    <row r="1" spans="2:17" ht="12" customHeight="1" x14ac:dyDescent="0.25"/>
    <row r="2" spans="2:17" ht="16.5" customHeight="1" x14ac:dyDescent="0.25">
      <c r="B2" s="516" t="s">
        <v>817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345"/>
    </row>
    <row r="3" spans="2:17" ht="12.75" customHeight="1" x14ac:dyDescent="0.25"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</row>
    <row r="4" spans="2:17" ht="16.5" customHeight="1" x14ac:dyDescent="0.25">
      <c r="B4" s="219" t="s">
        <v>73</v>
      </c>
      <c r="C4" s="313"/>
      <c r="D4" s="313"/>
      <c r="E4" s="313"/>
      <c r="F4" s="313"/>
      <c r="G4" s="313"/>
      <c r="H4" s="347"/>
      <c r="I4" s="313"/>
      <c r="J4" s="348"/>
      <c r="K4" s="313"/>
      <c r="L4" s="313"/>
      <c r="M4" s="313"/>
      <c r="N4" s="313"/>
      <c r="O4" s="313"/>
      <c r="P4" s="313"/>
    </row>
    <row r="5" spans="2:17" ht="16.5" customHeight="1" x14ac:dyDescent="0.25">
      <c r="B5" s="328"/>
      <c r="H5" s="324"/>
      <c r="J5" s="325"/>
      <c r="N5" s="326"/>
      <c r="P5" s="329" t="s">
        <v>82</v>
      </c>
    </row>
    <row r="6" spans="2:17" ht="15" customHeight="1" x14ac:dyDescent="0.25">
      <c r="B6" s="358" t="s">
        <v>74</v>
      </c>
      <c r="C6" s="514" t="s">
        <v>75</v>
      </c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</row>
    <row r="7" spans="2:17" ht="15.75" thickBot="1" x14ac:dyDescent="0.3">
      <c r="B7" s="359"/>
      <c r="C7" s="360" t="str">
        <f>'P&amp;L(Proposed)'!E6</f>
        <v>2023-24</v>
      </c>
      <c r="D7" s="360" t="str">
        <f>'P&amp;L(Proposed)'!F6</f>
        <v>2024-25</v>
      </c>
      <c r="E7" s="360" t="str">
        <f>'P&amp;L(Proposed)'!G6</f>
        <v>2025-26</v>
      </c>
      <c r="F7" s="360" t="str">
        <f>'P&amp;L(Proposed)'!H6</f>
        <v>2026-27</v>
      </c>
      <c r="G7" s="360" t="str">
        <f>'P&amp;L(Proposed)'!I6</f>
        <v>2027-28</v>
      </c>
      <c r="H7" s="360" t="str">
        <f>'P&amp;L(Proposed)'!J6</f>
        <v>2028-29</v>
      </c>
      <c r="I7" s="360" t="str">
        <f>'P&amp;L(Proposed)'!K6</f>
        <v>2029-30</v>
      </c>
      <c r="J7" s="360" t="str">
        <f>'P&amp;L(Proposed)'!L6</f>
        <v>2030-31</v>
      </c>
      <c r="K7" s="360" t="str">
        <f>'P&amp;L(Proposed)'!M6</f>
        <v>2031-32</v>
      </c>
      <c r="L7" s="360" t="str">
        <f>'P&amp;L(Proposed)'!N6</f>
        <v>2032-33</v>
      </c>
      <c r="M7" s="360" t="str">
        <f>'P&amp;L(Proposed)'!O6</f>
        <v>2033-34</v>
      </c>
      <c r="N7" s="360" t="str">
        <f>'P&amp;L(Proposed)'!P6</f>
        <v>2034-35</v>
      </c>
      <c r="O7" s="360" t="str">
        <f>'P&amp;L(Proposed)'!Q6</f>
        <v>2035-36</v>
      </c>
      <c r="P7" s="360" t="e">
        <f>'P&amp;L(Proposed)'!#REF!</f>
        <v>#REF!</v>
      </c>
    </row>
    <row r="8" spans="2:17" ht="15.75" thickTop="1" x14ac:dyDescent="0.25">
      <c r="C8" s="225"/>
      <c r="D8" s="225"/>
      <c r="E8" s="225"/>
      <c r="F8" s="225"/>
      <c r="G8" s="225"/>
      <c r="H8" s="225"/>
      <c r="I8" s="225"/>
      <c r="N8" s="326"/>
    </row>
    <row r="9" spans="2:17" x14ac:dyDescent="0.25">
      <c r="B9" s="216" t="s">
        <v>76</v>
      </c>
      <c r="C9" s="225">
        <f>C24-D40</f>
        <v>165.4</v>
      </c>
      <c r="D9" s="225">
        <f t="shared" ref="D9:P9" si="0">C9+D24-E40</f>
        <v>165.4</v>
      </c>
      <c r="E9" s="225">
        <f t="shared" si="0"/>
        <v>165.4</v>
      </c>
      <c r="F9" s="225">
        <f t="shared" si="0"/>
        <v>165.4</v>
      </c>
      <c r="G9" s="225">
        <f t="shared" si="0"/>
        <v>165.4</v>
      </c>
      <c r="H9" s="225">
        <f t="shared" si="0"/>
        <v>165.4</v>
      </c>
      <c r="I9" s="225">
        <f t="shared" si="0"/>
        <v>165.4</v>
      </c>
      <c r="J9" s="225">
        <f t="shared" si="0"/>
        <v>165.4</v>
      </c>
      <c r="K9" s="225">
        <f t="shared" si="0"/>
        <v>165.4</v>
      </c>
      <c r="L9" s="225">
        <f t="shared" si="0"/>
        <v>165.4</v>
      </c>
      <c r="M9" s="225">
        <f t="shared" si="0"/>
        <v>165.4</v>
      </c>
      <c r="N9" s="225">
        <f t="shared" si="0"/>
        <v>165.4</v>
      </c>
      <c r="O9" s="225">
        <f t="shared" si="0"/>
        <v>165.4</v>
      </c>
      <c r="P9" s="225">
        <f t="shared" si="0"/>
        <v>165.4</v>
      </c>
    </row>
    <row r="10" spans="2:17" x14ac:dyDescent="0.25">
      <c r="C10" s="225"/>
      <c r="N10" s="326"/>
    </row>
    <row r="11" spans="2:17" x14ac:dyDescent="0.25">
      <c r="B11" s="216" t="s">
        <v>77</v>
      </c>
      <c r="C11" s="225">
        <f>C26+C27-D42</f>
        <v>645</v>
      </c>
      <c r="D11" s="225">
        <f>C11+D26+D27-E42</f>
        <v>1695.1399999999999</v>
      </c>
      <c r="E11" s="225">
        <f>D11+E26+E27-F42</f>
        <v>1709.867</v>
      </c>
      <c r="F11" s="225">
        <f>E11+F26+F27-G42</f>
        <v>1538.8803</v>
      </c>
      <c r="G11" s="225">
        <f t="shared" ref="G11:P11" si="1">F11+G26-H42</f>
        <v>1384.99227</v>
      </c>
      <c r="H11" s="225">
        <f t="shared" si="1"/>
        <v>1246.4930429999999</v>
      </c>
      <c r="I11" s="225">
        <f t="shared" si="1"/>
        <v>1121.8437386999999</v>
      </c>
      <c r="J11" s="225">
        <f t="shared" si="1"/>
        <v>1009.65936483</v>
      </c>
      <c r="K11" s="225">
        <f t="shared" si="1"/>
        <v>908.69342834700001</v>
      </c>
      <c r="L11" s="225">
        <f t="shared" si="1"/>
        <v>817.82408551230003</v>
      </c>
      <c r="M11" s="225">
        <f t="shared" si="1"/>
        <v>736.04167696107004</v>
      </c>
      <c r="N11" s="225">
        <f t="shared" si="1"/>
        <v>662.43750926496307</v>
      </c>
      <c r="O11" s="225">
        <f t="shared" si="1"/>
        <v>596.19375833846675</v>
      </c>
      <c r="P11" s="225">
        <f t="shared" si="1"/>
        <v>536.57438250462008</v>
      </c>
    </row>
    <row r="12" spans="2:17" x14ac:dyDescent="0.25">
      <c r="C12" s="225"/>
      <c r="N12" s="326"/>
    </row>
    <row r="13" spans="2:17" x14ac:dyDescent="0.25">
      <c r="B13" s="216" t="s">
        <v>78</v>
      </c>
      <c r="C13" s="225">
        <f>C28+C29-D44</f>
        <v>134.80000000000001</v>
      </c>
      <c r="D13" s="225">
        <f>C13+D28+D29-E44</f>
        <v>1521.3999999999999</v>
      </c>
      <c r="E13" s="225">
        <f>D13+E28+E29-F44</f>
        <v>2213.64525</v>
      </c>
      <c r="F13" s="225">
        <f>E13+F28+F29-G44</f>
        <v>1881.5984625000001</v>
      </c>
      <c r="G13" s="225">
        <f t="shared" ref="G13:P13" si="2">F13+G28-H44</f>
        <v>1599.3586931250002</v>
      </c>
      <c r="H13" s="225">
        <f t="shared" si="2"/>
        <v>1359.4548891562501</v>
      </c>
      <c r="I13" s="225">
        <f t="shared" si="2"/>
        <v>1155.5366557828127</v>
      </c>
      <c r="J13" s="225">
        <f t="shared" si="2"/>
        <v>982.20615741539075</v>
      </c>
      <c r="K13" s="225">
        <f t="shared" si="2"/>
        <v>834.87523380308221</v>
      </c>
      <c r="L13" s="225">
        <f t="shared" si="2"/>
        <v>709.64394873261995</v>
      </c>
      <c r="M13" s="225">
        <f t="shared" si="2"/>
        <v>603.1973564227269</v>
      </c>
      <c r="N13" s="225">
        <f t="shared" si="2"/>
        <v>512.71775295931786</v>
      </c>
      <c r="O13" s="225">
        <f t="shared" si="2"/>
        <v>435.8100900154202</v>
      </c>
      <c r="P13" s="225">
        <f t="shared" si="2"/>
        <v>370.43857651310719</v>
      </c>
    </row>
    <row r="14" spans="2:17" x14ac:dyDescent="0.25">
      <c r="C14" s="225"/>
      <c r="N14" s="326"/>
    </row>
    <row r="15" spans="2:17" x14ac:dyDescent="0.25">
      <c r="B15" s="216" t="s">
        <v>79</v>
      </c>
      <c r="C15" s="225">
        <f>C30-D46</f>
        <v>0</v>
      </c>
      <c r="D15" s="225">
        <f t="shared" ref="D15:P15" si="3">C15+D30-E46</f>
        <v>0</v>
      </c>
      <c r="E15" s="225">
        <f t="shared" si="3"/>
        <v>0</v>
      </c>
      <c r="F15" s="225">
        <f t="shared" si="3"/>
        <v>0</v>
      </c>
      <c r="G15" s="225">
        <f t="shared" si="3"/>
        <v>0</v>
      </c>
      <c r="H15" s="225">
        <f t="shared" si="3"/>
        <v>0</v>
      </c>
      <c r="I15" s="225">
        <f t="shared" si="3"/>
        <v>0</v>
      </c>
      <c r="J15" s="225">
        <f t="shared" si="3"/>
        <v>0</v>
      </c>
      <c r="K15" s="225">
        <f t="shared" si="3"/>
        <v>0</v>
      </c>
      <c r="L15" s="225">
        <f t="shared" si="3"/>
        <v>0</v>
      </c>
      <c r="M15" s="225">
        <f t="shared" si="3"/>
        <v>0</v>
      </c>
      <c r="N15" s="225">
        <f t="shared" si="3"/>
        <v>0</v>
      </c>
      <c r="O15" s="225">
        <f t="shared" si="3"/>
        <v>0</v>
      </c>
      <c r="P15" s="225">
        <f t="shared" si="3"/>
        <v>0</v>
      </c>
    </row>
    <row r="16" spans="2:17" x14ac:dyDescent="0.25">
      <c r="C16" s="225"/>
      <c r="N16" s="326"/>
    </row>
    <row r="17" spans="2:16" ht="15.75" thickBot="1" x14ac:dyDescent="0.3">
      <c r="B17" s="331" t="s">
        <v>80</v>
      </c>
      <c r="C17" s="332">
        <f t="shared" ref="C17:P17" si="4">SUM(C8:C16)</f>
        <v>945.2</v>
      </c>
      <c r="D17" s="332">
        <f t="shared" si="4"/>
        <v>3381.9399999999996</v>
      </c>
      <c r="E17" s="332">
        <f t="shared" si="4"/>
        <v>4088.9122500000003</v>
      </c>
      <c r="F17" s="332">
        <f t="shared" si="4"/>
        <v>3585.8787625000004</v>
      </c>
      <c r="G17" s="332">
        <f t="shared" si="4"/>
        <v>3149.7509631250005</v>
      </c>
      <c r="H17" s="332">
        <f t="shared" si="4"/>
        <v>2771.34793215625</v>
      </c>
      <c r="I17" s="332">
        <f t="shared" si="4"/>
        <v>2442.7803944828129</v>
      </c>
      <c r="J17" s="332">
        <f t="shared" si="4"/>
        <v>2157.2655222453909</v>
      </c>
      <c r="K17" s="332">
        <f t="shared" si="4"/>
        <v>1908.9686621500823</v>
      </c>
      <c r="L17" s="332">
        <f t="shared" si="4"/>
        <v>1692.86803424492</v>
      </c>
      <c r="M17" s="332">
        <f t="shared" si="4"/>
        <v>1504.6390333837969</v>
      </c>
      <c r="N17" s="332">
        <f t="shared" si="4"/>
        <v>1340.5552622242808</v>
      </c>
      <c r="O17" s="332">
        <f t="shared" si="4"/>
        <v>1197.403848353887</v>
      </c>
      <c r="P17" s="332">
        <f t="shared" si="4"/>
        <v>1072.4129590177272</v>
      </c>
    </row>
    <row r="18" spans="2:16" ht="15.75" thickTop="1" x14ac:dyDescent="0.25">
      <c r="B18" s="333"/>
      <c r="C18" s="225"/>
      <c r="D18" s="225"/>
      <c r="E18" s="225"/>
      <c r="F18" s="225"/>
      <c r="G18" s="225"/>
      <c r="H18" s="225"/>
      <c r="I18" s="225"/>
      <c r="N18" s="326"/>
    </row>
    <row r="19" spans="2:16" x14ac:dyDescent="0.25">
      <c r="B19" s="328" t="s">
        <v>81</v>
      </c>
      <c r="C19" s="225"/>
      <c r="J19" s="334"/>
      <c r="N19" s="326"/>
    </row>
    <row r="20" spans="2:16" x14ac:dyDescent="0.25">
      <c r="B20" s="328"/>
      <c r="C20" s="225"/>
      <c r="N20" s="326"/>
      <c r="P20" s="329" t="s">
        <v>82</v>
      </c>
    </row>
    <row r="21" spans="2:16" ht="15" customHeight="1" x14ac:dyDescent="0.25">
      <c r="B21" s="327" t="s">
        <v>74</v>
      </c>
      <c r="C21" s="515" t="s">
        <v>83</v>
      </c>
      <c r="D21" s="515"/>
      <c r="E21" s="515"/>
      <c r="F21" s="515"/>
      <c r="G21" s="515"/>
      <c r="H21" s="515"/>
      <c r="I21" s="515"/>
      <c r="J21" s="515"/>
      <c r="K21" s="515"/>
      <c r="L21" s="515"/>
      <c r="M21" s="515"/>
      <c r="N21" s="515"/>
      <c r="O21" s="515"/>
      <c r="P21" s="515"/>
    </row>
    <row r="22" spans="2:16" ht="15.75" thickBot="1" x14ac:dyDescent="0.3">
      <c r="B22" s="335"/>
      <c r="C22" s="330" t="str">
        <f t="shared" ref="C22:P22" si="5">C7</f>
        <v>2023-24</v>
      </c>
      <c r="D22" s="330" t="str">
        <f t="shared" si="5"/>
        <v>2024-25</v>
      </c>
      <c r="E22" s="330" t="str">
        <f t="shared" si="5"/>
        <v>2025-26</v>
      </c>
      <c r="F22" s="330" t="str">
        <f t="shared" si="5"/>
        <v>2026-27</v>
      </c>
      <c r="G22" s="330" t="str">
        <f t="shared" si="5"/>
        <v>2027-28</v>
      </c>
      <c r="H22" s="330" t="str">
        <f t="shared" si="5"/>
        <v>2028-29</v>
      </c>
      <c r="I22" s="330" t="str">
        <f t="shared" si="5"/>
        <v>2029-30</v>
      </c>
      <c r="J22" s="330" t="str">
        <f t="shared" si="5"/>
        <v>2030-31</v>
      </c>
      <c r="K22" s="330" t="str">
        <f t="shared" si="5"/>
        <v>2031-32</v>
      </c>
      <c r="L22" s="330" t="str">
        <f t="shared" si="5"/>
        <v>2032-33</v>
      </c>
      <c r="M22" s="330" t="str">
        <f t="shared" si="5"/>
        <v>2033-34</v>
      </c>
      <c r="N22" s="330" t="str">
        <f t="shared" si="5"/>
        <v>2034-35</v>
      </c>
      <c r="O22" s="330" t="str">
        <f t="shared" si="5"/>
        <v>2035-36</v>
      </c>
      <c r="P22" s="330" t="e">
        <f t="shared" si="5"/>
        <v>#REF!</v>
      </c>
    </row>
    <row r="23" spans="2:16" ht="15.75" thickTop="1" x14ac:dyDescent="0.25">
      <c r="C23" s="336"/>
      <c r="N23" s="326"/>
    </row>
    <row r="24" spans="2:16" x14ac:dyDescent="0.25">
      <c r="B24" s="216" t="s">
        <v>76</v>
      </c>
      <c r="C24" s="336">
        <v>165.4</v>
      </c>
      <c r="D24" s="336">
        <v>0</v>
      </c>
      <c r="E24" s="336">
        <v>0</v>
      </c>
      <c r="F24" s="336">
        <v>0</v>
      </c>
      <c r="G24" s="336">
        <v>0</v>
      </c>
      <c r="H24" s="336">
        <v>0</v>
      </c>
      <c r="I24" s="336">
        <v>0</v>
      </c>
      <c r="J24" s="336">
        <v>0</v>
      </c>
      <c r="K24" s="336">
        <v>0</v>
      </c>
      <c r="L24" s="336">
        <v>0</v>
      </c>
      <c r="M24" s="336">
        <v>0</v>
      </c>
      <c r="N24" s="336">
        <v>0</v>
      </c>
      <c r="O24" s="336">
        <v>0</v>
      </c>
      <c r="P24" s="336">
        <v>0</v>
      </c>
    </row>
    <row r="25" spans="2:16" x14ac:dyDescent="0.25">
      <c r="C25" s="336"/>
      <c r="N25" s="326"/>
    </row>
    <row r="26" spans="2:16" x14ac:dyDescent="0.25">
      <c r="B26" s="216" t="s">
        <v>77</v>
      </c>
      <c r="C26" s="336">
        <f>133+'Rep(Building)'!D27+'Rep(Building)'!E27</f>
        <v>645</v>
      </c>
      <c r="D26" s="336">
        <f>266.38+'Rep(Building)'!D40+'Rep(Building)'!E40</f>
        <v>1050.1399999999999</v>
      </c>
      <c r="E26" s="336">
        <f>SUM('Rep(Building)'!E41:E51)</f>
        <v>104.72</v>
      </c>
      <c r="F26" s="336">
        <v>0</v>
      </c>
      <c r="G26" s="336">
        <v>0</v>
      </c>
      <c r="H26" s="336">
        <v>0</v>
      </c>
      <c r="I26" s="336">
        <v>0</v>
      </c>
      <c r="J26" s="336">
        <v>0</v>
      </c>
      <c r="K26" s="336">
        <v>0</v>
      </c>
      <c r="L26" s="336">
        <v>0</v>
      </c>
      <c r="M26" s="336">
        <v>0</v>
      </c>
      <c r="N26" s="336">
        <v>0</v>
      </c>
      <c r="O26" s="336">
        <v>0</v>
      </c>
      <c r="P26" s="336">
        <v>0</v>
      </c>
    </row>
    <row r="27" spans="2:16" x14ac:dyDescent="0.25">
      <c r="B27" s="216" t="s">
        <v>41</v>
      </c>
      <c r="C27" s="336">
        <v>0</v>
      </c>
      <c r="D27" s="336">
        <v>0</v>
      </c>
      <c r="E27" s="336">
        <v>0</v>
      </c>
      <c r="F27" s="336">
        <v>0</v>
      </c>
      <c r="N27" s="326"/>
    </row>
    <row r="28" spans="2:16" x14ac:dyDescent="0.25">
      <c r="B28" s="216" t="s">
        <v>78</v>
      </c>
      <c r="C28" s="336">
        <f>34+'Rep(P&amp;M)'!D27+'Rep(P&amp;M)'!E27</f>
        <v>134.80000000000001</v>
      </c>
      <c r="D28" s="336">
        <f>333+'Rep(P&amp;M)'!D40+'Rep(P&amp;M)'!E40</f>
        <v>1386.6</v>
      </c>
      <c r="E28" s="336">
        <f>201.33+'Rep(P&amp;M)'!D53+SUM('Rep(P&amp;M)'!E41:E51)</f>
        <v>871.73</v>
      </c>
      <c r="F28" s="336">
        <v>0</v>
      </c>
      <c r="G28" s="336">
        <v>0</v>
      </c>
      <c r="H28" s="336">
        <v>0</v>
      </c>
      <c r="I28" s="336">
        <v>0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</row>
    <row r="29" spans="2:16" x14ac:dyDescent="0.25">
      <c r="B29" s="216" t="s">
        <v>41</v>
      </c>
      <c r="C29" s="336">
        <v>0</v>
      </c>
      <c r="D29" s="336">
        <v>0</v>
      </c>
      <c r="E29" s="336">
        <v>0</v>
      </c>
      <c r="F29" s="336">
        <v>0</v>
      </c>
      <c r="N29" s="326"/>
    </row>
    <row r="30" spans="2:16" x14ac:dyDescent="0.25">
      <c r="B30" s="216" t="s">
        <v>79</v>
      </c>
      <c r="C30" s="336">
        <v>0</v>
      </c>
      <c r="D30" s="336">
        <v>0</v>
      </c>
      <c r="E30" s="336">
        <v>0</v>
      </c>
      <c r="F30" s="336">
        <v>0</v>
      </c>
      <c r="G30" s="336">
        <v>0</v>
      </c>
      <c r="H30" s="336">
        <v>0</v>
      </c>
      <c r="I30" s="336">
        <v>0</v>
      </c>
      <c r="J30" s="336">
        <v>0</v>
      </c>
      <c r="K30" s="336">
        <v>0</v>
      </c>
      <c r="L30" s="336">
        <v>0</v>
      </c>
      <c r="M30" s="336">
        <v>0</v>
      </c>
      <c r="N30" s="336">
        <v>0</v>
      </c>
      <c r="O30" s="336">
        <v>0</v>
      </c>
      <c r="P30" s="336">
        <v>0</v>
      </c>
    </row>
    <row r="31" spans="2:16" x14ac:dyDescent="0.25">
      <c r="C31" s="336"/>
      <c r="N31" s="326"/>
    </row>
    <row r="32" spans="2:16" ht="15.75" thickBot="1" x14ac:dyDescent="0.3">
      <c r="B32" s="337" t="s">
        <v>80</v>
      </c>
      <c r="C32" s="332">
        <f>SUM(C23:C31)</f>
        <v>945.2</v>
      </c>
      <c r="D32" s="338">
        <f t="shared" ref="D32:P32" si="6">SUM(D26:D31)</f>
        <v>2436.7399999999998</v>
      </c>
      <c r="E32" s="338">
        <f t="shared" si="6"/>
        <v>976.45</v>
      </c>
      <c r="F32" s="338">
        <f t="shared" si="6"/>
        <v>0</v>
      </c>
      <c r="G32" s="338">
        <f t="shared" si="6"/>
        <v>0</v>
      </c>
      <c r="H32" s="338">
        <f t="shared" si="6"/>
        <v>0</v>
      </c>
      <c r="I32" s="338">
        <f t="shared" si="6"/>
        <v>0</v>
      </c>
      <c r="J32" s="338">
        <f t="shared" si="6"/>
        <v>0</v>
      </c>
      <c r="K32" s="338">
        <f t="shared" si="6"/>
        <v>0</v>
      </c>
      <c r="L32" s="338">
        <f t="shared" si="6"/>
        <v>0</v>
      </c>
      <c r="M32" s="338">
        <f t="shared" si="6"/>
        <v>0</v>
      </c>
      <c r="N32" s="338">
        <f t="shared" si="6"/>
        <v>0</v>
      </c>
      <c r="O32" s="338">
        <f t="shared" si="6"/>
        <v>0</v>
      </c>
      <c r="P32" s="338">
        <f t="shared" si="6"/>
        <v>0</v>
      </c>
    </row>
    <row r="33" spans="2:17" ht="15.75" thickTop="1" x14ac:dyDescent="0.25">
      <c r="B33" s="303"/>
      <c r="C33" s="225"/>
      <c r="D33" s="225"/>
      <c r="E33" s="225"/>
      <c r="F33" s="225"/>
      <c r="G33" s="225"/>
      <c r="H33" s="225"/>
      <c r="I33" s="225"/>
      <c r="J33" s="225"/>
      <c r="N33" s="326"/>
    </row>
    <row r="34" spans="2:17" x14ac:dyDescent="0.25">
      <c r="B34" s="333" t="s">
        <v>44</v>
      </c>
      <c r="C34" s="225"/>
      <c r="D34" s="339"/>
      <c r="E34" s="339"/>
      <c r="F34" s="339"/>
      <c r="G34" s="339"/>
      <c r="H34" s="339"/>
      <c r="I34" s="339"/>
      <c r="N34" s="326"/>
    </row>
    <row r="35" spans="2:17" x14ac:dyDescent="0.25">
      <c r="B35" s="328" t="s">
        <v>3</v>
      </c>
      <c r="K35" s="334"/>
      <c r="N35" s="326"/>
    </row>
    <row r="36" spans="2:17" x14ac:dyDescent="0.25">
      <c r="B36" s="328"/>
      <c r="N36" s="326"/>
      <c r="Q36" s="329" t="s">
        <v>82</v>
      </c>
    </row>
    <row r="37" spans="2:17" ht="15" customHeight="1" x14ac:dyDescent="0.25">
      <c r="B37" s="340" t="s">
        <v>74</v>
      </c>
      <c r="C37" s="340" t="s">
        <v>84</v>
      </c>
      <c r="D37" s="515" t="s">
        <v>85</v>
      </c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</row>
    <row r="38" spans="2:17" ht="15.75" thickBot="1" x14ac:dyDescent="0.3">
      <c r="B38" s="335"/>
      <c r="C38" s="341" t="s">
        <v>86</v>
      </c>
      <c r="D38" s="330" t="str">
        <f>C22</f>
        <v>2023-24</v>
      </c>
      <c r="E38" s="330" t="str">
        <f t="shared" ref="E38:Q38" si="7">D22</f>
        <v>2024-25</v>
      </c>
      <c r="F38" s="330" t="str">
        <f t="shared" si="7"/>
        <v>2025-26</v>
      </c>
      <c r="G38" s="330" t="str">
        <f t="shared" si="7"/>
        <v>2026-27</v>
      </c>
      <c r="H38" s="330" t="str">
        <f t="shared" si="7"/>
        <v>2027-28</v>
      </c>
      <c r="I38" s="330" t="str">
        <f t="shared" si="7"/>
        <v>2028-29</v>
      </c>
      <c r="J38" s="330" t="str">
        <f t="shared" si="7"/>
        <v>2029-30</v>
      </c>
      <c r="K38" s="330" t="str">
        <f t="shared" si="7"/>
        <v>2030-31</v>
      </c>
      <c r="L38" s="330" t="str">
        <f t="shared" si="7"/>
        <v>2031-32</v>
      </c>
      <c r="M38" s="330" t="str">
        <f t="shared" si="7"/>
        <v>2032-33</v>
      </c>
      <c r="N38" s="330" t="str">
        <f t="shared" si="7"/>
        <v>2033-34</v>
      </c>
      <c r="O38" s="330" t="str">
        <f t="shared" si="7"/>
        <v>2034-35</v>
      </c>
      <c r="P38" s="330" t="str">
        <f t="shared" si="7"/>
        <v>2035-36</v>
      </c>
      <c r="Q38" s="330" t="e">
        <f t="shared" si="7"/>
        <v>#REF!</v>
      </c>
    </row>
    <row r="39" spans="2:17" ht="15.75" thickTop="1" x14ac:dyDescent="0.25">
      <c r="C39" s="218"/>
      <c r="D39" s="225"/>
      <c r="E39" s="225"/>
      <c r="F39" s="225"/>
      <c r="G39" s="225"/>
      <c r="H39" s="225"/>
      <c r="I39" s="225"/>
      <c r="J39" s="225"/>
      <c r="N39" s="326"/>
    </row>
    <row r="40" spans="2:17" x14ac:dyDescent="0.25">
      <c r="B40" s="216" t="s">
        <v>76</v>
      </c>
      <c r="C40" s="342">
        <v>0</v>
      </c>
      <c r="D40" s="225">
        <f>$C$40*C24</f>
        <v>0</v>
      </c>
      <c r="E40" s="225">
        <f t="shared" ref="E40:Q40" si="8">(C9+D24)*$C$40</f>
        <v>0</v>
      </c>
      <c r="F40" s="225">
        <f t="shared" si="8"/>
        <v>0</v>
      </c>
      <c r="G40" s="225">
        <f t="shared" si="8"/>
        <v>0</v>
      </c>
      <c r="H40" s="225">
        <f t="shared" si="8"/>
        <v>0</v>
      </c>
      <c r="I40" s="225">
        <f t="shared" si="8"/>
        <v>0</v>
      </c>
      <c r="J40" s="225">
        <f t="shared" si="8"/>
        <v>0</v>
      </c>
      <c r="K40" s="225">
        <f t="shared" si="8"/>
        <v>0</v>
      </c>
      <c r="L40" s="225">
        <f t="shared" si="8"/>
        <v>0</v>
      </c>
      <c r="M40" s="225">
        <f t="shared" si="8"/>
        <v>0</v>
      </c>
      <c r="N40" s="225">
        <f t="shared" si="8"/>
        <v>0</v>
      </c>
      <c r="O40" s="225">
        <f t="shared" si="8"/>
        <v>0</v>
      </c>
      <c r="P40" s="225">
        <f t="shared" si="8"/>
        <v>0</v>
      </c>
      <c r="Q40" s="225">
        <f t="shared" si="8"/>
        <v>0</v>
      </c>
    </row>
    <row r="41" spans="2:17" x14ac:dyDescent="0.25">
      <c r="C41" s="218"/>
      <c r="D41" s="225"/>
      <c r="E41" s="225"/>
      <c r="F41" s="225"/>
      <c r="G41" s="225"/>
      <c r="H41" s="225"/>
      <c r="I41" s="225"/>
      <c r="J41" s="225"/>
      <c r="N41" s="326"/>
    </row>
    <row r="42" spans="2:17" x14ac:dyDescent="0.25">
      <c r="B42" s="216" t="s">
        <v>77</v>
      </c>
      <c r="C42" s="343">
        <v>0.1</v>
      </c>
      <c r="D42" s="225">
        <v>0</v>
      </c>
      <c r="E42" s="225">
        <v>0</v>
      </c>
      <c r="F42" s="225">
        <f>(D11+E26)*$C$42/2</f>
        <v>89.992999999999995</v>
      </c>
      <c r="G42" s="225">
        <f t="shared" ref="G42:Q42" si="9">(E11+F26)*$C$42</f>
        <v>170.98670000000001</v>
      </c>
      <c r="H42" s="225">
        <f t="shared" si="9"/>
        <v>153.88803000000001</v>
      </c>
      <c r="I42" s="225">
        <f t="shared" si="9"/>
        <v>138.49922699999999</v>
      </c>
      <c r="J42" s="225">
        <f t="shared" si="9"/>
        <v>124.6493043</v>
      </c>
      <c r="K42" s="225">
        <f t="shared" si="9"/>
        <v>112.18437387</v>
      </c>
      <c r="L42" s="225">
        <f t="shared" si="9"/>
        <v>100.96593648300001</v>
      </c>
      <c r="M42" s="225">
        <f t="shared" si="9"/>
        <v>90.869342834700007</v>
      </c>
      <c r="N42" s="225">
        <f t="shared" si="9"/>
        <v>81.782408551230006</v>
      </c>
      <c r="O42" s="225">
        <f t="shared" si="9"/>
        <v>73.604167696107012</v>
      </c>
      <c r="P42" s="225">
        <f t="shared" si="9"/>
        <v>66.243750926496304</v>
      </c>
      <c r="Q42" s="225">
        <f t="shared" si="9"/>
        <v>59.619375833846675</v>
      </c>
    </row>
    <row r="43" spans="2:17" x14ac:dyDescent="0.25">
      <c r="D43" s="225"/>
      <c r="E43" s="225"/>
      <c r="F43" s="225"/>
      <c r="G43" s="225"/>
      <c r="H43" s="225"/>
      <c r="I43" s="225"/>
      <c r="J43" s="225"/>
      <c r="L43" s="225"/>
      <c r="M43" s="225"/>
      <c r="N43" s="326"/>
    </row>
    <row r="44" spans="2:17" x14ac:dyDescent="0.25">
      <c r="B44" s="216" t="s">
        <v>78</v>
      </c>
      <c r="C44" s="343">
        <v>0.15</v>
      </c>
      <c r="D44" s="225">
        <v>0</v>
      </c>
      <c r="E44" s="225">
        <v>0</v>
      </c>
      <c r="F44" s="225">
        <f>(D13+E28)*$C$44/2</f>
        <v>179.48474999999999</v>
      </c>
      <c r="G44" s="225">
        <f t="shared" ref="G44:Q44" si="10">(E13+F28)*$C$44</f>
        <v>332.04678749999999</v>
      </c>
      <c r="H44" s="225">
        <f t="shared" si="10"/>
        <v>282.23976937499998</v>
      </c>
      <c r="I44" s="225">
        <f t="shared" si="10"/>
        <v>239.90380396875003</v>
      </c>
      <c r="J44" s="225">
        <f t="shared" si="10"/>
        <v>203.91823337343752</v>
      </c>
      <c r="K44" s="225">
        <f t="shared" si="10"/>
        <v>173.33049836742188</v>
      </c>
      <c r="L44" s="225">
        <f t="shared" si="10"/>
        <v>147.3309236123086</v>
      </c>
      <c r="M44" s="225">
        <f t="shared" si="10"/>
        <v>125.23128507046232</v>
      </c>
      <c r="N44" s="225">
        <f t="shared" si="10"/>
        <v>106.44659230989299</v>
      </c>
      <c r="O44" s="225">
        <f t="shared" si="10"/>
        <v>90.479603463409035</v>
      </c>
      <c r="P44" s="225">
        <f t="shared" si="10"/>
        <v>76.907662943897677</v>
      </c>
      <c r="Q44" s="225">
        <f t="shared" si="10"/>
        <v>65.371513502313022</v>
      </c>
    </row>
    <row r="45" spans="2:17" x14ac:dyDescent="0.25">
      <c r="D45" s="225"/>
      <c r="E45" s="225"/>
      <c r="F45" s="225"/>
      <c r="G45" s="225"/>
      <c r="H45" s="225"/>
      <c r="I45" s="225"/>
      <c r="J45" s="225"/>
      <c r="L45" s="225"/>
      <c r="M45" s="225"/>
      <c r="N45" s="326"/>
    </row>
    <row r="46" spans="2:17" x14ac:dyDescent="0.25">
      <c r="B46" s="216" t="s">
        <v>79</v>
      </c>
      <c r="C46" s="343">
        <v>0.15</v>
      </c>
      <c r="D46" s="225">
        <f>C46*C30</f>
        <v>0</v>
      </c>
      <c r="E46" s="225">
        <f t="shared" ref="E46:Q46" si="11">(C15+D30)*$C$46</f>
        <v>0</v>
      </c>
      <c r="F46" s="225">
        <f t="shared" si="11"/>
        <v>0</v>
      </c>
      <c r="G46" s="225">
        <f t="shared" si="11"/>
        <v>0</v>
      </c>
      <c r="H46" s="225">
        <f t="shared" si="11"/>
        <v>0</v>
      </c>
      <c r="I46" s="225">
        <f t="shared" si="11"/>
        <v>0</v>
      </c>
      <c r="J46" s="225">
        <f t="shared" si="11"/>
        <v>0</v>
      </c>
      <c r="K46" s="225">
        <f t="shared" si="11"/>
        <v>0</v>
      </c>
      <c r="L46" s="225">
        <f t="shared" si="11"/>
        <v>0</v>
      </c>
      <c r="M46" s="225">
        <f t="shared" si="11"/>
        <v>0</v>
      </c>
      <c r="N46" s="225">
        <f t="shared" si="11"/>
        <v>0</v>
      </c>
      <c r="O46" s="225">
        <f t="shared" si="11"/>
        <v>0</v>
      </c>
      <c r="P46" s="225">
        <f t="shared" si="11"/>
        <v>0</v>
      </c>
      <c r="Q46" s="225">
        <f t="shared" si="11"/>
        <v>0</v>
      </c>
    </row>
    <row r="47" spans="2:17" x14ac:dyDescent="0.25"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326"/>
    </row>
    <row r="48" spans="2:17" ht="15.75" thickBot="1" x14ac:dyDescent="0.3">
      <c r="B48" s="414" t="s">
        <v>80</v>
      </c>
      <c r="C48" s="344"/>
      <c r="D48" s="332">
        <f t="shared" ref="D48:Q48" si="12">SUM(D42:D47)</f>
        <v>0</v>
      </c>
      <c r="E48" s="332">
        <f t="shared" si="12"/>
        <v>0</v>
      </c>
      <c r="F48" s="332">
        <f t="shared" si="12"/>
        <v>269.47775000000001</v>
      </c>
      <c r="G48" s="332">
        <f t="shared" si="12"/>
        <v>503.03348749999998</v>
      </c>
      <c r="H48" s="332">
        <f t="shared" si="12"/>
        <v>436.127799375</v>
      </c>
      <c r="I48" s="332">
        <f t="shared" si="12"/>
        <v>378.40303096875004</v>
      </c>
      <c r="J48" s="332">
        <f t="shared" si="12"/>
        <v>328.56753767343753</v>
      </c>
      <c r="K48" s="332">
        <f t="shared" si="12"/>
        <v>285.51487223742186</v>
      </c>
      <c r="L48" s="332">
        <f t="shared" si="12"/>
        <v>248.2968600953086</v>
      </c>
      <c r="M48" s="332">
        <f t="shared" si="12"/>
        <v>216.10062790516233</v>
      </c>
      <c r="N48" s="332">
        <f t="shared" si="12"/>
        <v>188.22900086112298</v>
      </c>
      <c r="O48" s="332">
        <f t="shared" si="12"/>
        <v>164.08377115951606</v>
      </c>
      <c r="P48" s="332">
        <f t="shared" si="12"/>
        <v>143.15141387039398</v>
      </c>
      <c r="Q48" s="332">
        <f t="shared" si="12"/>
        <v>124.9908893361597</v>
      </c>
    </row>
    <row r="49" spans="4:14" ht="15.75" thickTop="1" x14ac:dyDescent="0.25"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326"/>
    </row>
    <row r="50" spans="4:14" x14ac:dyDescent="0.25"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326"/>
    </row>
    <row r="51" spans="4:14" x14ac:dyDescent="0.25"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326"/>
    </row>
    <row r="52" spans="4:14" x14ac:dyDescent="0.25"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326"/>
    </row>
    <row r="53" spans="4:14" x14ac:dyDescent="0.25"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326"/>
    </row>
  </sheetData>
  <mergeCells count="4">
    <mergeCell ref="C6:P6"/>
    <mergeCell ref="C21:P21"/>
    <mergeCell ref="D37:Q37"/>
    <mergeCell ref="B2:P2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6"/>
  <sheetViews>
    <sheetView showGridLines="0" zoomScaleNormal="100" workbookViewId="0">
      <selection activeCell="O86" sqref="O86"/>
    </sheetView>
  </sheetViews>
  <sheetFormatPr defaultColWidth="9.140625" defaultRowHeight="15" x14ac:dyDescent="0.25"/>
  <cols>
    <col min="1" max="1" width="3.85546875" style="216" customWidth="1"/>
    <col min="2" max="2" width="18" style="216" customWidth="1"/>
    <col min="3" max="3" width="10.42578125" style="216" hidden="1" customWidth="1"/>
    <col min="4" max="5" width="11.7109375" style="216" hidden="1" customWidth="1"/>
    <col min="6" max="17" width="11.7109375" style="216" customWidth="1"/>
    <col min="18" max="16384" width="9.140625" style="216"/>
  </cols>
  <sheetData>
    <row r="1" spans="2:17" ht="15.75" customHeight="1" x14ac:dyDescent="0.25"/>
    <row r="2" spans="2:17" ht="19.5" customHeight="1" x14ac:dyDescent="0.25">
      <c r="B2" s="221" t="str">
        <f>'P&amp;L(Proposed)'!B2</f>
        <v>MANCARE LABORATORIES PVT. LTD. Plot  No. -11, Pharma City, Selaqui Industrial Area, Dehradun, Uttarakhand- 248011</v>
      </c>
      <c r="C2" s="221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2:17" ht="10.5" customHeight="1" x14ac:dyDescent="0.25"/>
    <row r="4" spans="2:17" ht="18" customHeight="1" x14ac:dyDescent="0.25">
      <c r="B4" s="517" t="s">
        <v>761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465"/>
    </row>
    <row r="5" spans="2:17" ht="11.25" customHeight="1" x14ac:dyDescent="0.25"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</row>
    <row r="6" spans="2:17" ht="18" customHeight="1" x14ac:dyDescent="0.25">
      <c r="B6" s="457" t="s">
        <v>709</v>
      </c>
      <c r="C6" s="457" t="str">
        <f>'P&amp;L Existing'!C5</f>
        <v>2022-23</v>
      </c>
      <c r="D6" s="250" t="str">
        <f>'P&amp;L(Proposed)'!E6</f>
        <v>2023-24</v>
      </c>
      <c r="E6" s="250" t="str">
        <f>'P&amp;L(Proposed)'!F6</f>
        <v>2024-25</v>
      </c>
      <c r="F6" s="250" t="str">
        <f>'P&amp;L(Proposed)'!G6</f>
        <v>2025-26</v>
      </c>
      <c r="G6" s="250" t="str">
        <f>'P&amp;L(Proposed)'!H6</f>
        <v>2026-27</v>
      </c>
      <c r="H6" s="250" t="str">
        <f>'P&amp;L(Proposed)'!I6</f>
        <v>2027-28</v>
      </c>
      <c r="I6" s="250" t="str">
        <f>'P&amp;L(Proposed)'!J6</f>
        <v>2028-29</v>
      </c>
      <c r="J6" s="250" t="str">
        <f>'P&amp;L(Proposed)'!K6</f>
        <v>2029-30</v>
      </c>
      <c r="K6" s="250" t="str">
        <f>'P&amp;L(Proposed)'!L6</f>
        <v>2030-31</v>
      </c>
      <c r="L6" s="250" t="str">
        <f>'P&amp;L(Proposed)'!M6</f>
        <v>2031-32</v>
      </c>
      <c r="M6" s="250" t="str">
        <f>'P&amp;L(Proposed)'!N6</f>
        <v>2032-33</v>
      </c>
      <c r="N6" s="250" t="str">
        <f>'P&amp;L(Proposed)'!O6</f>
        <v>2033-34</v>
      </c>
      <c r="O6" s="250" t="str">
        <f>'P&amp;L(Proposed)'!P6</f>
        <v>2034-35</v>
      </c>
      <c r="P6" s="250" t="str">
        <f>'P&amp;L(Proposed)'!Q6</f>
        <v>2035-36</v>
      </c>
      <c r="Q6" s="250" t="s">
        <v>5</v>
      </c>
    </row>
    <row r="7" spans="2:17" ht="9" customHeight="1" x14ac:dyDescent="0.25"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</row>
    <row r="8" spans="2:17" x14ac:dyDescent="0.25">
      <c r="B8" s="458" t="s">
        <v>24</v>
      </c>
      <c r="C8" s="471">
        <f>CONPL!C49</f>
        <v>199.34000000000123</v>
      </c>
      <c r="D8" s="471">
        <f ca="1">CONPL!D49</f>
        <v>297.11791598616583</v>
      </c>
      <c r="E8" s="471">
        <f ca="1">CONPL!E49</f>
        <v>234.1348513113627</v>
      </c>
      <c r="F8" s="468">
        <f ca="1">CONPL!F49</f>
        <v>418.97018109374994</v>
      </c>
      <c r="G8" s="468">
        <f ca="1">CONPL!G49</f>
        <v>1481.2058573742829</v>
      </c>
      <c r="H8" s="468">
        <f ca="1">CONPL!H49</f>
        <v>1329.1363341479118</v>
      </c>
      <c r="I8" s="468">
        <f ca="1">CONPL!I49</f>
        <v>1400.815638096424</v>
      </c>
      <c r="J8" s="468">
        <f ca="1">CONPL!J49</f>
        <v>1468.3105012132241</v>
      </c>
      <c r="K8" s="468">
        <f ca="1">CONPL!K49</f>
        <v>1442.9638976044344</v>
      </c>
      <c r="L8" s="468">
        <f ca="1">CONPL!L49</f>
        <v>1736.5671369411568</v>
      </c>
      <c r="M8" s="468">
        <f ca="1">CONPL!M49</f>
        <v>1700.6886536167733</v>
      </c>
      <c r="N8" s="468">
        <f ca="1">CONPL!N49</f>
        <v>2034.1565574146027</v>
      </c>
      <c r="O8" s="468">
        <f ca="1">CONPL!O49</f>
        <v>2200.1792001058298</v>
      </c>
      <c r="P8" s="468">
        <f ca="1">CONPL!P49</f>
        <v>2356.895165854949</v>
      </c>
      <c r="Q8" s="248">
        <f ca="1">SUM(F8:P8)</f>
        <v>17569.889123463337</v>
      </c>
    </row>
    <row r="9" spans="2:17" x14ac:dyDescent="0.25">
      <c r="B9" s="458" t="s">
        <v>762</v>
      </c>
      <c r="C9" s="471">
        <f>CONPL!C36</f>
        <v>43.45</v>
      </c>
      <c r="D9" s="471">
        <f>CONPL!D36</f>
        <v>27.658775000000006</v>
      </c>
      <c r="E9" s="471">
        <f>CONPL!E36</f>
        <v>24.788350000000005</v>
      </c>
      <c r="F9" s="468">
        <f>CONPL!F36</f>
        <v>38.748350000000009</v>
      </c>
      <c r="G9" s="468">
        <f>CONPL!G36</f>
        <v>278.16640000000007</v>
      </c>
      <c r="H9" s="468">
        <f>CONPL!H36</f>
        <v>254.84079999999997</v>
      </c>
      <c r="I9" s="468">
        <f>CONPL!I36</f>
        <v>230.61944</v>
      </c>
      <c r="J9" s="468">
        <f>CONPL!J36</f>
        <v>206.49599999999998</v>
      </c>
      <c r="K9" s="468">
        <f>CONPL!K36</f>
        <v>180.09599999999998</v>
      </c>
      <c r="L9" s="468">
        <f>CONPL!L36</f>
        <v>151.392</v>
      </c>
      <c r="M9" s="468">
        <f>CONPL!M36</f>
        <v>120.38399999999999</v>
      </c>
      <c r="N9" s="468">
        <f>CONPL!N36</f>
        <v>87.071999999999974</v>
      </c>
      <c r="O9" s="468">
        <f>CONPL!O36</f>
        <v>52.511999999999979</v>
      </c>
      <c r="P9" s="468">
        <f>CONPL!P36</f>
        <v>39.599999999999966</v>
      </c>
      <c r="Q9" s="248">
        <f>SUM(F9:P9)</f>
        <v>1639.9269899999997</v>
      </c>
    </row>
    <row r="10" spans="2:17" x14ac:dyDescent="0.25">
      <c r="B10" s="460" t="s">
        <v>763</v>
      </c>
      <c r="C10" s="470">
        <f>SUM(C8:C9)</f>
        <v>242.79000000000121</v>
      </c>
      <c r="D10" s="470">
        <f t="shared" ref="D10:E10" ca="1" si="0">SUM(D8:D9)</f>
        <v>324.77669098616582</v>
      </c>
      <c r="E10" s="470">
        <f t="shared" ca="1" si="0"/>
        <v>258.92320131136267</v>
      </c>
      <c r="F10" s="442">
        <f t="shared" ref="F10:Q10" ca="1" si="1">SUM(F8:F9)</f>
        <v>457.71853109374996</v>
      </c>
      <c r="G10" s="442">
        <f t="shared" ca="1" si="1"/>
        <v>1759.372257374283</v>
      </c>
      <c r="H10" s="442">
        <f t="shared" ca="1" si="1"/>
        <v>1583.9771341479118</v>
      </c>
      <c r="I10" s="442">
        <f t="shared" ca="1" si="1"/>
        <v>1631.4350780964239</v>
      </c>
      <c r="J10" s="442">
        <f t="shared" ca="1" si="1"/>
        <v>1674.8065012132242</v>
      </c>
      <c r="K10" s="442">
        <f t="shared" ca="1" si="1"/>
        <v>1623.0598976044344</v>
      </c>
      <c r="L10" s="442">
        <f t="shared" ca="1" si="1"/>
        <v>1887.9591369411569</v>
      </c>
      <c r="M10" s="442">
        <f t="shared" ca="1" si="1"/>
        <v>1821.0726536167733</v>
      </c>
      <c r="N10" s="442">
        <f t="shared" ca="1" si="1"/>
        <v>2121.2285574146026</v>
      </c>
      <c r="O10" s="442">
        <f t="shared" ca="1" si="1"/>
        <v>2252.6912001058299</v>
      </c>
      <c r="P10" s="442">
        <f t="shared" ca="1" si="1"/>
        <v>2396.4951658549489</v>
      </c>
      <c r="Q10" s="442">
        <f t="shared" ca="1" si="1"/>
        <v>19209.816113463337</v>
      </c>
    </row>
    <row r="11" spans="2:17" x14ac:dyDescent="0.25">
      <c r="B11" s="458"/>
      <c r="C11" s="472"/>
      <c r="D11" s="473"/>
      <c r="E11" s="47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</row>
    <row r="12" spans="2:17" x14ac:dyDescent="0.25">
      <c r="B12" s="458" t="s">
        <v>764</v>
      </c>
      <c r="C12" s="471">
        <f>CONBS!B36</f>
        <v>94</v>
      </c>
      <c r="D12" s="471">
        <f>CONBS!C36</f>
        <v>94</v>
      </c>
      <c r="E12" s="471">
        <f>CONBS!D36</f>
        <v>93.87</v>
      </c>
      <c r="F12" s="468">
        <f>CONBS!E36</f>
        <v>182</v>
      </c>
      <c r="G12" s="468">
        <f>CONBS!F36</f>
        <v>260.22000000000003</v>
      </c>
      <c r="H12" s="468">
        <f>CONBS!G36</f>
        <v>243.43</v>
      </c>
      <c r="I12" s="468">
        <f>CONBS!H36</f>
        <v>264</v>
      </c>
      <c r="J12" s="468">
        <f>CONBS!I36</f>
        <v>288</v>
      </c>
      <c r="K12" s="468">
        <f>CONBS!J36</f>
        <v>312</v>
      </c>
      <c r="L12" s="468">
        <f>CONBS!K36</f>
        <v>336</v>
      </c>
      <c r="M12" s="468">
        <f>CONBS!L36</f>
        <v>360</v>
      </c>
      <c r="N12" s="468">
        <f>CONBS!M36</f>
        <v>360</v>
      </c>
      <c r="O12" s="468">
        <f>CONBS!N36</f>
        <v>352</v>
      </c>
      <c r="P12" s="468">
        <f>CONBS!O36</f>
        <v>0</v>
      </c>
      <c r="Q12" s="248">
        <f>SUM(F12:P12)</f>
        <v>2957.65</v>
      </c>
    </row>
    <row r="13" spans="2:17" x14ac:dyDescent="0.25">
      <c r="B13" s="458" t="s">
        <v>762</v>
      </c>
      <c r="C13" s="471">
        <f>C9</f>
        <v>43.45</v>
      </c>
      <c r="D13" s="471">
        <f t="shared" ref="D13:P13" si="2">D9</f>
        <v>27.658775000000006</v>
      </c>
      <c r="E13" s="471">
        <f t="shared" si="2"/>
        <v>24.788350000000005</v>
      </c>
      <c r="F13" s="468">
        <f t="shared" si="2"/>
        <v>38.748350000000009</v>
      </c>
      <c r="G13" s="468">
        <f t="shared" si="2"/>
        <v>278.16640000000007</v>
      </c>
      <c r="H13" s="468">
        <f t="shared" si="2"/>
        <v>254.84079999999997</v>
      </c>
      <c r="I13" s="468">
        <f t="shared" si="2"/>
        <v>230.61944</v>
      </c>
      <c r="J13" s="468">
        <f t="shared" si="2"/>
        <v>206.49599999999998</v>
      </c>
      <c r="K13" s="468">
        <f t="shared" si="2"/>
        <v>180.09599999999998</v>
      </c>
      <c r="L13" s="468">
        <f t="shared" si="2"/>
        <v>151.392</v>
      </c>
      <c r="M13" s="468">
        <f t="shared" si="2"/>
        <v>120.38399999999999</v>
      </c>
      <c r="N13" s="468">
        <f t="shared" si="2"/>
        <v>87.071999999999974</v>
      </c>
      <c r="O13" s="468">
        <f t="shared" si="2"/>
        <v>52.511999999999979</v>
      </c>
      <c r="P13" s="468">
        <f t="shared" si="2"/>
        <v>39.599999999999966</v>
      </c>
      <c r="Q13" s="248">
        <f>SUM(F13:P13)</f>
        <v>1639.9269899999997</v>
      </c>
    </row>
    <row r="14" spans="2:17" x14ac:dyDescent="0.25">
      <c r="B14" s="460" t="s">
        <v>765</v>
      </c>
      <c r="C14" s="470">
        <f>SUM(C12:C13)</f>
        <v>137.44999999999999</v>
      </c>
      <c r="D14" s="470">
        <f t="shared" ref="D14:E14" si="3">SUM(D12:D13)</f>
        <v>121.65877500000001</v>
      </c>
      <c r="E14" s="470">
        <f t="shared" si="3"/>
        <v>118.65835000000001</v>
      </c>
      <c r="F14" s="349">
        <f>SUM(F12:F13)</f>
        <v>220.74835000000002</v>
      </c>
      <c r="G14" s="349">
        <f t="shared" ref="G14:Q14" si="4">SUM(G12:G13)</f>
        <v>538.38640000000009</v>
      </c>
      <c r="H14" s="349">
        <f t="shared" si="4"/>
        <v>498.27080000000001</v>
      </c>
      <c r="I14" s="349">
        <f t="shared" si="4"/>
        <v>494.61944</v>
      </c>
      <c r="J14" s="349">
        <f t="shared" si="4"/>
        <v>494.49599999999998</v>
      </c>
      <c r="K14" s="349">
        <f t="shared" si="4"/>
        <v>492.096</v>
      </c>
      <c r="L14" s="349">
        <f t="shared" si="4"/>
        <v>487.392</v>
      </c>
      <c r="M14" s="349">
        <f t="shared" si="4"/>
        <v>480.38400000000001</v>
      </c>
      <c r="N14" s="349">
        <f t="shared" si="4"/>
        <v>447.072</v>
      </c>
      <c r="O14" s="349">
        <f t="shared" si="4"/>
        <v>404.512</v>
      </c>
      <c r="P14" s="349">
        <f t="shared" si="4"/>
        <v>39.599999999999966</v>
      </c>
      <c r="Q14" s="349">
        <f t="shared" si="4"/>
        <v>4597.5769899999996</v>
      </c>
    </row>
    <row r="15" spans="2:17" x14ac:dyDescent="0.25">
      <c r="B15" s="458"/>
      <c r="C15" s="472"/>
      <c r="D15" s="473"/>
      <c r="E15" s="47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</row>
    <row r="16" spans="2:17" x14ac:dyDescent="0.25">
      <c r="B16" s="460" t="s">
        <v>766</v>
      </c>
      <c r="C16" s="470">
        <f>C10/C14</f>
        <v>1.7663877773735994</v>
      </c>
      <c r="D16" s="470">
        <f t="shared" ref="D16:P16" ca="1" si="5">D10/D14</f>
        <v>2.6695706165557378</v>
      </c>
      <c r="E16" s="470">
        <f t="shared" ca="1" si="5"/>
        <v>2.1820900198878768</v>
      </c>
      <c r="F16" s="470">
        <f t="shared" ca="1" si="5"/>
        <v>2.0734856278370821</v>
      </c>
      <c r="G16" s="470">
        <f t="shared" ca="1" si="5"/>
        <v>3.2678616275862145</v>
      </c>
      <c r="H16" s="470">
        <f t="shared" ca="1" si="5"/>
        <v>3.1789483432461059</v>
      </c>
      <c r="I16" s="470">
        <f t="shared" ca="1" si="5"/>
        <v>3.2983642496874443</v>
      </c>
      <c r="J16" s="470">
        <f t="shared" ca="1" si="5"/>
        <v>3.3868959530779303</v>
      </c>
      <c r="K16" s="470">
        <f t="shared" ca="1" si="5"/>
        <v>3.2982586682363491</v>
      </c>
      <c r="L16" s="470">
        <f t="shared" ca="1" si="5"/>
        <v>3.8735948414031354</v>
      </c>
      <c r="M16" s="470">
        <f t="shared" ca="1" si="5"/>
        <v>3.7908686667681963</v>
      </c>
      <c r="N16" s="470">
        <f t="shared" ca="1" si="5"/>
        <v>4.7447135079240095</v>
      </c>
      <c r="O16" s="470">
        <f t="shared" ca="1" si="5"/>
        <v>5.5689106877072367</v>
      </c>
      <c r="P16" s="470">
        <f t="shared" ca="1" si="5"/>
        <v>60.517554693306842</v>
      </c>
      <c r="Q16" s="349">
        <f t="shared" ref="Q16" ca="1" si="6">Q10/Q14</f>
        <v>4.1782478369031812</v>
      </c>
    </row>
    <row r="17" spans="2:16" x14ac:dyDescent="0.25">
      <c r="B17" s="224"/>
      <c r="C17" s="224"/>
    </row>
    <row r="18" spans="2:16" x14ac:dyDescent="0.25">
      <c r="B18" s="232" t="s">
        <v>767</v>
      </c>
      <c r="C18" s="466"/>
      <c r="D18" s="234"/>
      <c r="E18" s="234"/>
      <c r="F18" s="233">
        <f ca="1">SUM(G16:O16)/13</f>
        <v>2.6468012727412789</v>
      </c>
    </row>
    <row r="19" spans="2:16" x14ac:dyDescent="0.25">
      <c r="B19" s="232" t="s">
        <v>768</v>
      </c>
      <c r="C19" s="467"/>
      <c r="D19" s="235"/>
      <c r="E19" s="235"/>
      <c r="F19" s="233">
        <f>C16</f>
        <v>1.7663877773735994</v>
      </c>
    </row>
    <row r="20" spans="2:16" x14ac:dyDescent="0.25">
      <c r="B20" s="232" t="s">
        <v>769</v>
      </c>
      <c r="C20" s="467"/>
      <c r="D20" s="235"/>
      <c r="E20" s="235"/>
      <c r="F20" s="233">
        <f ca="1">O16</f>
        <v>5.5689106877072367</v>
      </c>
    </row>
    <row r="22" spans="2:16" x14ac:dyDescent="0.25">
      <c r="B22" s="216" t="s">
        <v>895</v>
      </c>
    </row>
    <row r="23" spans="2:16" x14ac:dyDescent="0.25">
      <c r="B23" s="517" t="s">
        <v>761</v>
      </c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</row>
    <row r="24" spans="2:16" x14ac:dyDescent="0.25"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</row>
    <row r="25" spans="2:16" x14ac:dyDescent="0.25">
      <c r="B25" s="457" t="s">
        <v>709</v>
      </c>
      <c r="C25" s="457" t="str">
        <f>C6</f>
        <v>2022-23</v>
      </c>
      <c r="D25" s="457" t="str">
        <f t="shared" ref="D25:E25" si="7">D6</f>
        <v>2023-24</v>
      </c>
      <c r="E25" s="457" t="str">
        <f t="shared" si="7"/>
        <v>2024-25</v>
      </c>
      <c r="F25" s="250" t="str">
        <f>F6</f>
        <v>2025-26</v>
      </c>
      <c r="G25" s="250" t="str">
        <f t="shared" ref="G25:P25" si="8">G6</f>
        <v>2026-27</v>
      </c>
      <c r="H25" s="250" t="str">
        <f t="shared" si="8"/>
        <v>2027-28</v>
      </c>
      <c r="I25" s="250" t="str">
        <f t="shared" si="8"/>
        <v>2028-29</v>
      </c>
      <c r="J25" s="250" t="str">
        <f t="shared" si="8"/>
        <v>2029-30</v>
      </c>
      <c r="K25" s="250" t="str">
        <f t="shared" si="8"/>
        <v>2030-31</v>
      </c>
      <c r="L25" s="250" t="str">
        <f t="shared" si="8"/>
        <v>2031-32</v>
      </c>
      <c r="M25" s="250" t="str">
        <f t="shared" si="8"/>
        <v>2032-33</v>
      </c>
      <c r="N25" s="250" t="str">
        <f t="shared" si="8"/>
        <v>2033-34</v>
      </c>
      <c r="O25" s="250" t="str">
        <f t="shared" si="8"/>
        <v>2034-35</v>
      </c>
      <c r="P25" s="250" t="str">
        <f t="shared" si="8"/>
        <v>2035-36</v>
      </c>
    </row>
    <row r="26" spans="2:16" x14ac:dyDescent="0.25"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</row>
    <row r="27" spans="2:16" x14ac:dyDescent="0.25">
      <c r="B27" s="458" t="s">
        <v>24</v>
      </c>
      <c r="C27" s="468">
        <v>-12.187499999999162</v>
      </c>
      <c r="D27" s="468">
        <v>68.631224999999759</v>
      </c>
      <c r="E27" s="468">
        <v>-42.863350000000267</v>
      </c>
      <c r="F27" s="468">
        <v>37.958695156249178</v>
      </c>
      <c r="G27" s="468">
        <v>1052.9357133732756</v>
      </c>
      <c r="H27" s="468">
        <v>780.95268689791124</v>
      </c>
      <c r="I27" s="468">
        <v>797.81362612142334</v>
      </c>
      <c r="J27" s="468">
        <v>807.23577082822317</v>
      </c>
      <c r="K27" s="468">
        <v>720.2366597559344</v>
      </c>
      <c r="L27" s="468">
        <v>948.24962367030525</v>
      </c>
      <c r="M27" s="468">
        <v>842.44932016883672</v>
      </c>
      <c r="N27" s="468">
        <v>1101.2307045593755</v>
      </c>
      <c r="O27" s="468">
        <v>1187.3256586900766</v>
      </c>
      <c r="P27" s="468">
        <v>1258.3486498101231</v>
      </c>
    </row>
    <row r="28" spans="2:16" x14ac:dyDescent="0.25">
      <c r="B28" s="458" t="s">
        <v>762</v>
      </c>
      <c r="C28" s="468">
        <f>C9</f>
        <v>43.45</v>
      </c>
      <c r="D28" s="468">
        <f t="shared" ref="D28:P28" si="9">D9</f>
        <v>27.658775000000006</v>
      </c>
      <c r="E28" s="468">
        <f t="shared" si="9"/>
        <v>24.788350000000005</v>
      </c>
      <c r="F28" s="468">
        <f t="shared" si="9"/>
        <v>38.748350000000009</v>
      </c>
      <c r="G28" s="468">
        <f t="shared" si="9"/>
        <v>278.16640000000007</v>
      </c>
      <c r="H28" s="468">
        <f t="shared" si="9"/>
        <v>254.84079999999997</v>
      </c>
      <c r="I28" s="468">
        <f t="shared" si="9"/>
        <v>230.61944</v>
      </c>
      <c r="J28" s="468">
        <f t="shared" si="9"/>
        <v>206.49599999999998</v>
      </c>
      <c r="K28" s="468">
        <f t="shared" si="9"/>
        <v>180.09599999999998</v>
      </c>
      <c r="L28" s="468">
        <f t="shared" si="9"/>
        <v>151.392</v>
      </c>
      <c r="M28" s="468">
        <f t="shared" si="9"/>
        <v>120.38399999999999</v>
      </c>
      <c r="N28" s="468">
        <f t="shared" si="9"/>
        <v>87.071999999999974</v>
      </c>
      <c r="O28" s="468">
        <f t="shared" si="9"/>
        <v>52.511999999999979</v>
      </c>
      <c r="P28" s="468">
        <f t="shared" si="9"/>
        <v>39.599999999999966</v>
      </c>
    </row>
    <row r="29" spans="2:16" x14ac:dyDescent="0.25">
      <c r="B29" s="460" t="s">
        <v>763</v>
      </c>
      <c r="C29" s="469">
        <f>SUM(C27:C28)</f>
        <v>31.262500000000841</v>
      </c>
      <c r="D29" s="469">
        <f t="shared" ref="D29:P29" si="10">SUM(D27:D28)</f>
        <v>96.289999999999765</v>
      </c>
      <c r="E29" s="469">
        <f t="shared" si="10"/>
        <v>-18.075000000000262</v>
      </c>
      <c r="F29" s="469">
        <f t="shared" si="10"/>
        <v>76.707045156249194</v>
      </c>
      <c r="G29" s="469">
        <f t="shared" si="10"/>
        <v>1331.1021133732756</v>
      </c>
      <c r="H29" s="469">
        <f t="shared" si="10"/>
        <v>1035.7934868979112</v>
      </c>
      <c r="I29" s="469">
        <f t="shared" si="10"/>
        <v>1028.4330661214233</v>
      </c>
      <c r="J29" s="469">
        <f t="shared" si="10"/>
        <v>1013.7317708282231</v>
      </c>
      <c r="K29" s="469">
        <f t="shared" si="10"/>
        <v>900.3326597559344</v>
      </c>
      <c r="L29" s="469">
        <f t="shared" si="10"/>
        <v>1099.6416236703053</v>
      </c>
      <c r="M29" s="469">
        <f t="shared" si="10"/>
        <v>962.83332016883674</v>
      </c>
      <c r="N29" s="469">
        <f t="shared" si="10"/>
        <v>1188.3027045593753</v>
      </c>
      <c r="O29" s="469">
        <f t="shared" si="10"/>
        <v>1239.8376586900765</v>
      </c>
      <c r="P29" s="469">
        <f t="shared" si="10"/>
        <v>1297.948649810123</v>
      </c>
    </row>
    <row r="30" spans="2:16" x14ac:dyDescent="0.25">
      <c r="B30" s="458"/>
      <c r="C30" s="458"/>
      <c r="D30" s="462"/>
      <c r="E30" s="462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</row>
    <row r="31" spans="2:16" x14ac:dyDescent="0.25">
      <c r="B31" s="458" t="s">
        <v>764</v>
      </c>
      <c r="C31" s="468">
        <f>C12</f>
        <v>94</v>
      </c>
      <c r="D31" s="468">
        <f t="shared" ref="D31:P31" si="11">D12</f>
        <v>94</v>
      </c>
      <c r="E31" s="468">
        <f t="shared" si="11"/>
        <v>93.87</v>
      </c>
      <c r="F31" s="468">
        <f t="shared" si="11"/>
        <v>182</v>
      </c>
      <c r="G31" s="468">
        <f t="shared" si="11"/>
        <v>260.22000000000003</v>
      </c>
      <c r="H31" s="468">
        <f t="shared" si="11"/>
        <v>243.43</v>
      </c>
      <c r="I31" s="468">
        <f t="shared" si="11"/>
        <v>264</v>
      </c>
      <c r="J31" s="468">
        <f t="shared" si="11"/>
        <v>288</v>
      </c>
      <c r="K31" s="468">
        <f t="shared" si="11"/>
        <v>312</v>
      </c>
      <c r="L31" s="468">
        <f t="shared" si="11"/>
        <v>336</v>
      </c>
      <c r="M31" s="468">
        <f t="shared" si="11"/>
        <v>360</v>
      </c>
      <c r="N31" s="468">
        <f t="shared" si="11"/>
        <v>360</v>
      </c>
      <c r="O31" s="468">
        <f t="shared" si="11"/>
        <v>352</v>
      </c>
      <c r="P31" s="468">
        <f t="shared" si="11"/>
        <v>0</v>
      </c>
    </row>
    <row r="32" spans="2:16" x14ac:dyDescent="0.25">
      <c r="B32" s="458" t="s">
        <v>762</v>
      </c>
      <c r="C32" s="468">
        <f>C28</f>
        <v>43.45</v>
      </c>
      <c r="D32" s="468">
        <f t="shared" ref="D32:P32" si="12">D28</f>
        <v>27.658775000000006</v>
      </c>
      <c r="E32" s="468">
        <f t="shared" si="12"/>
        <v>24.788350000000005</v>
      </c>
      <c r="F32" s="468">
        <f t="shared" si="12"/>
        <v>38.748350000000009</v>
      </c>
      <c r="G32" s="468">
        <f t="shared" si="12"/>
        <v>278.16640000000007</v>
      </c>
      <c r="H32" s="468">
        <f t="shared" si="12"/>
        <v>254.84079999999997</v>
      </c>
      <c r="I32" s="468">
        <f t="shared" si="12"/>
        <v>230.61944</v>
      </c>
      <c r="J32" s="468">
        <f t="shared" si="12"/>
        <v>206.49599999999998</v>
      </c>
      <c r="K32" s="468">
        <f t="shared" si="12"/>
        <v>180.09599999999998</v>
      </c>
      <c r="L32" s="468">
        <f t="shared" si="12"/>
        <v>151.392</v>
      </c>
      <c r="M32" s="468">
        <f t="shared" si="12"/>
        <v>120.38399999999999</v>
      </c>
      <c r="N32" s="468">
        <f t="shared" si="12"/>
        <v>87.071999999999974</v>
      </c>
      <c r="O32" s="468">
        <f t="shared" si="12"/>
        <v>52.511999999999979</v>
      </c>
      <c r="P32" s="468">
        <f t="shared" si="12"/>
        <v>39.599999999999966</v>
      </c>
    </row>
    <row r="33" spans="2:16" x14ac:dyDescent="0.25">
      <c r="B33" s="460" t="s">
        <v>765</v>
      </c>
      <c r="C33" s="469">
        <f>SUM(C31:C32)</f>
        <v>137.44999999999999</v>
      </c>
      <c r="D33" s="469">
        <f t="shared" ref="D33:P33" si="13">SUM(D31:D32)</f>
        <v>121.65877500000001</v>
      </c>
      <c r="E33" s="469">
        <f t="shared" si="13"/>
        <v>118.65835000000001</v>
      </c>
      <c r="F33" s="469">
        <f t="shared" si="13"/>
        <v>220.74835000000002</v>
      </c>
      <c r="G33" s="469">
        <f t="shared" si="13"/>
        <v>538.38640000000009</v>
      </c>
      <c r="H33" s="469">
        <f t="shared" si="13"/>
        <v>498.27080000000001</v>
      </c>
      <c r="I33" s="469">
        <f t="shared" si="13"/>
        <v>494.61944</v>
      </c>
      <c r="J33" s="469">
        <f t="shared" si="13"/>
        <v>494.49599999999998</v>
      </c>
      <c r="K33" s="469">
        <f t="shared" si="13"/>
        <v>492.096</v>
      </c>
      <c r="L33" s="469">
        <f t="shared" si="13"/>
        <v>487.392</v>
      </c>
      <c r="M33" s="469">
        <f t="shared" si="13"/>
        <v>480.38400000000001</v>
      </c>
      <c r="N33" s="469">
        <f t="shared" si="13"/>
        <v>447.072</v>
      </c>
      <c r="O33" s="469">
        <f t="shared" si="13"/>
        <v>404.512</v>
      </c>
      <c r="P33" s="469">
        <f t="shared" si="13"/>
        <v>39.599999999999966</v>
      </c>
    </row>
    <row r="34" spans="2:16" x14ac:dyDescent="0.25">
      <c r="B34" s="458"/>
      <c r="C34" s="458"/>
      <c r="D34" s="462"/>
      <c r="E34" s="462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</row>
    <row r="35" spans="2:16" x14ac:dyDescent="0.25">
      <c r="B35" s="460" t="s">
        <v>766</v>
      </c>
      <c r="C35" s="469">
        <f>C29/C33</f>
        <v>0.22744634412514256</v>
      </c>
      <c r="D35" s="469">
        <f t="shared" ref="D35:P35" si="14">D29/D33</f>
        <v>0.79147599505255384</v>
      </c>
      <c r="E35" s="469">
        <f t="shared" si="14"/>
        <v>-0.15232809153338353</v>
      </c>
      <c r="F35" s="469">
        <f t="shared" si="14"/>
        <v>0.34748638056071174</v>
      </c>
      <c r="G35" s="469">
        <f t="shared" si="14"/>
        <v>2.4723917865928176</v>
      </c>
      <c r="H35" s="469">
        <f t="shared" si="14"/>
        <v>2.0787762134524264</v>
      </c>
      <c r="I35" s="469">
        <f t="shared" si="14"/>
        <v>2.0792410951769775</v>
      </c>
      <c r="J35" s="469">
        <f t="shared" si="14"/>
        <v>2.0500302749227965</v>
      </c>
      <c r="K35" s="469">
        <f t="shared" si="14"/>
        <v>1.8295874377274646</v>
      </c>
      <c r="L35" s="469">
        <f t="shared" si="14"/>
        <v>2.2561749550060428</v>
      </c>
      <c r="M35" s="469">
        <f t="shared" si="14"/>
        <v>2.0042993109030207</v>
      </c>
      <c r="N35" s="469">
        <f t="shared" si="14"/>
        <v>2.6579671832710958</v>
      </c>
      <c r="O35" s="469">
        <f t="shared" si="14"/>
        <v>3.0650207130816307</v>
      </c>
      <c r="P35" s="469">
        <f t="shared" si="14"/>
        <v>32.776481055811217</v>
      </c>
    </row>
    <row r="37" spans="2:16" x14ac:dyDescent="0.25">
      <c r="B37" s="232" t="s">
        <v>767</v>
      </c>
      <c r="C37" s="466"/>
      <c r="D37" s="234"/>
      <c r="E37" s="234"/>
      <c r="F37" s="233">
        <f>SUM(G35:O35)/9</f>
        <v>2.2770543300149191</v>
      </c>
    </row>
    <row r="38" spans="2:16" x14ac:dyDescent="0.25">
      <c r="B38" s="232" t="s">
        <v>768</v>
      </c>
      <c r="C38" s="467"/>
      <c r="D38" s="235"/>
      <c r="E38" s="235"/>
      <c r="F38" s="233">
        <f>K35</f>
        <v>1.8295874377274646</v>
      </c>
    </row>
    <row r="39" spans="2:16" x14ac:dyDescent="0.25">
      <c r="B39" s="232" t="s">
        <v>769</v>
      </c>
      <c r="C39" s="467"/>
      <c r="D39" s="235"/>
      <c r="E39" s="235"/>
      <c r="F39" s="233">
        <f>O35</f>
        <v>3.0650207130816307</v>
      </c>
    </row>
    <row r="41" spans="2:16" x14ac:dyDescent="0.25">
      <c r="B41" s="216" t="s">
        <v>894</v>
      </c>
    </row>
    <row r="42" spans="2:16" x14ac:dyDescent="0.25">
      <c r="B42" s="517" t="s">
        <v>761</v>
      </c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</row>
    <row r="43" spans="2:16" x14ac:dyDescent="0.25"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</row>
    <row r="44" spans="2:16" x14ac:dyDescent="0.25">
      <c r="B44" s="457" t="s">
        <v>709</v>
      </c>
      <c r="C44" s="457" t="str">
        <f>'P&amp;L Existing'!C5</f>
        <v>2022-23</v>
      </c>
      <c r="D44" s="457" t="str">
        <f>'P&amp;L Existing'!D5</f>
        <v>2023-24</v>
      </c>
      <c r="E44" s="457" t="str">
        <f>'P&amp;L Existing'!E5</f>
        <v>2024-25</v>
      </c>
      <c r="F44" s="250" t="str">
        <f>F6</f>
        <v>2025-26</v>
      </c>
      <c r="G44" s="250" t="str">
        <f t="shared" ref="G44:P44" si="15">G6</f>
        <v>2026-27</v>
      </c>
      <c r="H44" s="250" t="str">
        <f t="shared" si="15"/>
        <v>2027-28</v>
      </c>
      <c r="I44" s="250" t="str">
        <f t="shared" si="15"/>
        <v>2028-29</v>
      </c>
      <c r="J44" s="250" t="str">
        <f t="shared" si="15"/>
        <v>2029-30</v>
      </c>
      <c r="K44" s="250" t="str">
        <f t="shared" si="15"/>
        <v>2030-31</v>
      </c>
      <c r="L44" s="250" t="str">
        <f t="shared" si="15"/>
        <v>2031-32</v>
      </c>
      <c r="M44" s="250" t="str">
        <f t="shared" si="15"/>
        <v>2032-33</v>
      </c>
      <c r="N44" s="250" t="str">
        <f t="shared" si="15"/>
        <v>2033-34</v>
      </c>
      <c r="O44" s="250" t="str">
        <f t="shared" si="15"/>
        <v>2034-35</v>
      </c>
      <c r="P44" s="250" t="str">
        <f t="shared" si="15"/>
        <v>2035-36</v>
      </c>
    </row>
    <row r="45" spans="2:16" x14ac:dyDescent="0.25"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</row>
    <row r="46" spans="2:16" x14ac:dyDescent="0.25">
      <c r="B46" s="458" t="s">
        <v>24</v>
      </c>
      <c r="C46" s="468">
        <f>CONPL!C50</f>
        <v>0</v>
      </c>
      <c r="D46" s="468">
        <f>CONPL!D50</f>
        <v>0</v>
      </c>
      <c r="E46" s="468">
        <f>CONPL!E50</f>
        <v>0</v>
      </c>
      <c r="F46" s="468">
        <f>CONPL!F50</f>
        <v>0</v>
      </c>
      <c r="G46" s="468">
        <f>CONPL!G50</f>
        <v>0</v>
      </c>
      <c r="H46" s="468">
        <f>CONPL!H50</f>
        <v>0</v>
      </c>
      <c r="I46" s="468">
        <f>CONPL!I50</f>
        <v>0</v>
      </c>
      <c r="J46" s="468">
        <f>CONPL!J50</f>
        <v>0</v>
      </c>
      <c r="K46" s="468">
        <f>CONPL!K50</f>
        <v>0</v>
      </c>
      <c r="L46" s="468">
        <f>CONPL!L50</f>
        <v>0</v>
      </c>
      <c r="M46" s="468">
        <f>CONPL!M50</f>
        <v>0</v>
      </c>
      <c r="N46" s="468">
        <f>CONPL!N50</f>
        <v>0</v>
      </c>
      <c r="O46" s="468">
        <f>CONPL!O50</f>
        <v>0</v>
      </c>
      <c r="P46" s="468">
        <f>CONPL!P50</f>
        <v>0</v>
      </c>
    </row>
    <row r="47" spans="2:16" x14ac:dyDescent="0.25">
      <c r="B47" s="458" t="s">
        <v>762</v>
      </c>
      <c r="C47" s="468">
        <f>C32</f>
        <v>43.45</v>
      </c>
      <c r="D47" s="468">
        <f t="shared" ref="D47:P47" si="16">D32</f>
        <v>27.658775000000006</v>
      </c>
      <c r="E47" s="468">
        <f t="shared" si="16"/>
        <v>24.788350000000005</v>
      </c>
      <c r="F47" s="468">
        <f t="shared" si="16"/>
        <v>38.748350000000009</v>
      </c>
      <c r="G47" s="468">
        <f t="shared" si="16"/>
        <v>278.16640000000007</v>
      </c>
      <c r="H47" s="468">
        <f t="shared" si="16"/>
        <v>254.84079999999997</v>
      </c>
      <c r="I47" s="468">
        <f t="shared" si="16"/>
        <v>230.61944</v>
      </c>
      <c r="J47" s="468">
        <f t="shared" si="16"/>
        <v>206.49599999999998</v>
      </c>
      <c r="K47" s="468">
        <f t="shared" si="16"/>
        <v>180.09599999999998</v>
      </c>
      <c r="L47" s="468">
        <f t="shared" si="16"/>
        <v>151.392</v>
      </c>
      <c r="M47" s="468">
        <f t="shared" si="16"/>
        <v>120.38399999999999</v>
      </c>
      <c r="N47" s="468">
        <f t="shared" si="16"/>
        <v>87.071999999999974</v>
      </c>
      <c r="O47" s="468">
        <f t="shared" si="16"/>
        <v>52.511999999999979</v>
      </c>
      <c r="P47" s="468">
        <f t="shared" si="16"/>
        <v>39.599999999999966</v>
      </c>
    </row>
    <row r="48" spans="2:16" x14ac:dyDescent="0.25">
      <c r="B48" s="460" t="s">
        <v>763</v>
      </c>
      <c r="C48" s="469">
        <f>SUM(C46:C47)</f>
        <v>43.45</v>
      </c>
      <c r="D48" s="469">
        <f t="shared" ref="D48:P48" si="17">SUM(D46:D47)</f>
        <v>27.658775000000006</v>
      </c>
      <c r="E48" s="469">
        <f t="shared" si="17"/>
        <v>24.788350000000005</v>
      </c>
      <c r="F48" s="469">
        <f t="shared" si="17"/>
        <v>38.748350000000009</v>
      </c>
      <c r="G48" s="469">
        <f t="shared" si="17"/>
        <v>278.16640000000007</v>
      </c>
      <c r="H48" s="469">
        <f t="shared" si="17"/>
        <v>254.84079999999997</v>
      </c>
      <c r="I48" s="469">
        <f t="shared" si="17"/>
        <v>230.61944</v>
      </c>
      <c r="J48" s="469">
        <f t="shared" si="17"/>
        <v>206.49599999999998</v>
      </c>
      <c r="K48" s="469">
        <f t="shared" si="17"/>
        <v>180.09599999999998</v>
      </c>
      <c r="L48" s="469">
        <f t="shared" si="17"/>
        <v>151.392</v>
      </c>
      <c r="M48" s="469">
        <f t="shared" si="17"/>
        <v>120.38399999999999</v>
      </c>
      <c r="N48" s="469">
        <f t="shared" si="17"/>
        <v>87.071999999999974</v>
      </c>
      <c r="O48" s="469">
        <f t="shared" si="17"/>
        <v>52.511999999999979</v>
      </c>
      <c r="P48" s="469">
        <f t="shared" si="17"/>
        <v>39.599999999999966</v>
      </c>
    </row>
    <row r="49" spans="2:16" x14ac:dyDescent="0.25">
      <c r="B49" s="458"/>
      <c r="C49" s="458"/>
      <c r="D49" s="462"/>
      <c r="E49" s="462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</row>
    <row r="50" spans="2:16" x14ac:dyDescent="0.25">
      <c r="B50" s="458" t="s">
        <v>764</v>
      </c>
      <c r="C50" s="468">
        <f>C31</f>
        <v>94</v>
      </c>
      <c r="D50" s="468">
        <f t="shared" ref="D50:P50" si="18">D31</f>
        <v>94</v>
      </c>
      <c r="E50" s="468">
        <f t="shared" si="18"/>
        <v>93.87</v>
      </c>
      <c r="F50" s="468">
        <f t="shared" si="18"/>
        <v>182</v>
      </c>
      <c r="G50" s="468">
        <f t="shared" si="18"/>
        <v>260.22000000000003</v>
      </c>
      <c r="H50" s="468">
        <f t="shared" si="18"/>
        <v>243.43</v>
      </c>
      <c r="I50" s="468">
        <f t="shared" si="18"/>
        <v>264</v>
      </c>
      <c r="J50" s="468">
        <f t="shared" si="18"/>
        <v>288</v>
      </c>
      <c r="K50" s="468">
        <f t="shared" si="18"/>
        <v>312</v>
      </c>
      <c r="L50" s="468">
        <f t="shared" si="18"/>
        <v>336</v>
      </c>
      <c r="M50" s="468">
        <f t="shared" si="18"/>
        <v>360</v>
      </c>
      <c r="N50" s="468">
        <f t="shared" si="18"/>
        <v>360</v>
      </c>
      <c r="O50" s="468">
        <f t="shared" si="18"/>
        <v>352</v>
      </c>
      <c r="P50" s="468">
        <f t="shared" si="18"/>
        <v>0</v>
      </c>
    </row>
    <row r="51" spans="2:16" x14ac:dyDescent="0.25">
      <c r="B51" s="458" t="s">
        <v>762</v>
      </c>
      <c r="C51" s="468">
        <f>C47</f>
        <v>43.45</v>
      </c>
      <c r="D51" s="468">
        <f t="shared" ref="D51:P51" si="19">D47</f>
        <v>27.658775000000006</v>
      </c>
      <c r="E51" s="468">
        <f t="shared" si="19"/>
        <v>24.788350000000005</v>
      </c>
      <c r="F51" s="468">
        <f t="shared" si="19"/>
        <v>38.748350000000009</v>
      </c>
      <c r="G51" s="468">
        <f t="shared" si="19"/>
        <v>278.16640000000007</v>
      </c>
      <c r="H51" s="468">
        <f t="shared" si="19"/>
        <v>254.84079999999997</v>
      </c>
      <c r="I51" s="468">
        <f t="shared" si="19"/>
        <v>230.61944</v>
      </c>
      <c r="J51" s="468">
        <f t="shared" si="19"/>
        <v>206.49599999999998</v>
      </c>
      <c r="K51" s="468">
        <f t="shared" si="19"/>
        <v>180.09599999999998</v>
      </c>
      <c r="L51" s="468">
        <f t="shared" si="19"/>
        <v>151.392</v>
      </c>
      <c r="M51" s="468">
        <f t="shared" si="19"/>
        <v>120.38399999999999</v>
      </c>
      <c r="N51" s="468">
        <f t="shared" si="19"/>
        <v>87.071999999999974</v>
      </c>
      <c r="O51" s="468">
        <f t="shared" si="19"/>
        <v>52.511999999999979</v>
      </c>
      <c r="P51" s="468">
        <f t="shared" si="19"/>
        <v>39.599999999999966</v>
      </c>
    </row>
    <row r="52" spans="2:16" x14ac:dyDescent="0.25">
      <c r="B52" s="460" t="s">
        <v>765</v>
      </c>
      <c r="C52" s="469">
        <f>SUM(C50:C51)</f>
        <v>137.44999999999999</v>
      </c>
      <c r="D52" s="469">
        <f t="shared" ref="D52:P52" si="20">SUM(D50:D51)</f>
        <v>121.65877500000001</v>
      </c>
      <c r="E52" s="469">
        <f t="shared" si="20"/>
        <v>118.65835000000001</v>
      </c>
      <c r="F52" s="469">
        <f t="shared" si="20"/>
        <v>220.74835000000002</v>
      </c>
      <c r="G52" s="469">
        <f t="shared" si="20"/>
        <v>538.38640000000009</v>
      </c>
      <c r="H52" s="469">
        <f t="shared" si="20"/>
        <v>498.27080000000001</v>
      </c>
      <c r="I52" s="469">
        <f t="shared" si="20"/>
        <v>494.61944</v>
      </c>
      <c r="J52" s="469">
        <f t="shared" si="20"/>
        <v>494.49599999999998</v>
      </c>
      <c r="K52" s="469">
        <f t="shared" si="20"/>
        <v>492.096</v>
      </c>
      <c r="L52" s="469">
        <f t="shared" si="20"/>
        <v>487.392</v>
      </c>
      <c r="M52" s="469">
        <f t="shared" si="20"/>
        <v>480.38400000000001</v>
      </c>
      <c r="N52" s="469">
        <f t="shared" si="20"/>
        <v>447.072</v>
      </c>
      <c r="O52" s="469">
        <f t="shared" si="20"/>
        <v>404.512</v>
      </c>
      <c r="P52" s="469">
        <f t="shared" si="20"/>
        <v>39.599999999999966</v>
      </c>
    </row>
    <row r="53" spans="2:16" x14ac:dyDescent="0.25">
      <c r="B53" s="458"/>
      <c r="C53" s="458"/>
      <c r="D53" s="462"/>
      <c r="E53" s="462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</row>
    <row r="54" spans="2:16" x14ac:dyDescent="0.25">
      <c r="B54" s="460" t="s">
        <v>766</v>
      </c>
      <c r="C54" s="469">
        <f>C48/C52</f>
        <v>0.3161149508912332</v>
      </c>
      <c r="D54" s="469">
        <f t="shared" ref="D54:P54" si="21">D48/D52</f>
        <v>0.22734714368116896</v>
      </c>
      <c r="E54" s="469">
        <f t="shared" si="21"/>
        <v>0.20890523085817392</v>
      </c>
      <c r="F54" s="469">
        <f t="shared" si="21"/>
        <v>0.17553177634170314</v>
      </c>
      <c r="G54" s="469">
        <f t="shared" si="21"/>
        <v>0.51666684002419083</v>
      </c>
      <c r="H54" s="469">
        <f t="shared" si="21"/>
        <v>0.51145040006357978</v>
      </c>
      <c r="I54" s="469">
        <f t="shared" si="21"/>
        <v>0.46625632021256586</v>
      </c>
      <c r="J54" s="469">
        <f t="shared" si="21"/>
        <v>0.41758881770529993</v>
      </c>
      <c r="K54" s="469">
        <f t="shared" si="21"/>
        <v>0.36597737026921573</v>
      </c>
      <c r="L54" s="469">
        <f t="shared" si="21"/>
        <v>0.31061650581051803</v>
      </c>
      <c r="M54" s="469">
        <f t="shared" si="21"/>
        <v>0.25059952038369299</v>
      </c>
      <c r="N54" s="469">
        <f t="shared" si="21"/>
        <v>0.19476057547777534</v>
      </c>
      <c r="O54" s="469">
        <f t="shared" si="21"/>
        <v>0.12981567913930855</v>
      </c>
      <c r="P54" s="469">
        <f t="shared" si="21"/>
        <v>1</v>
      </c>
    </row>
    <row r="56" spans="2:16" x14ac:dyDescent="0.25">
      <c r="B56" s="232" t="s">
        <v>767</v>
      </c>
      <c r="C56" s="466"/>
      <c r="D56" s="234"/>
      <c r="E56" s="234"/>
      <c r="F56" s="233">
        <f>SUM(G54:O54)/9</f>
        <v>0.35152578100957182</v>
      </c>
    </row>
    <row r="57" spans="2:16" x14ac:dyDescent="0.25">
      <c r="B57" s="232" t="s">
        <v>768</v>
      </c>
      <c r="C57" s="467"/>
      <c r="D57" s="235"/>
      <c r="E57" s="235"/>
      <c r="F57" s="233">
        <f>K54</f>
        <v>0.36597737026921573</v>
      </c>
    </row>
    <row r="58" spans="2:16" x14ac:dyDescent="0.25">
      <c r="B58" s="232" t="s">
        <v>769</v>
      </c>
      <c r="C58" s="467"/>
      <c r="D58" s="235"/>
      <c r="E58" s="235"/>
      <c r="F58" s="233">
        <f>O54</f>
        <v>0.12981567913930855</v>
      </c>
    </row>
    <row r="62" spans="2:16" ht="18" customHeight="1" x14ac:dyDescent="0.25">
      <c r="B62" s="219" t="s">
        <v>818</v>
      </c>
      <c r="C62" s="219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</row>
    <row r="64" spans="2:16" x14ac:dyDescent="0.25">
      <c r="B64" s="426" t="s">
        <v>709</v>
      </c>
      <c r="C64" s="426"/>
      <c r="D64" s="223">
        <f>'P&amp;L(Proposed)'!E25</f>
        <v>0</v>
      </c>
      <c r="E64" s="223">
        <f>'P&amp;L(Proposed)'!F25</f>
        <v>0</v>
      </c>
      <c r="F64" s="223" t="str">
        <f t="shared" ref="F64:P64" si="22">F6</f>
        <v>2025-26</v>
      </c>
      <c r="G64" s="223" t="str">
        <f t="shared" si="22"/>
        <v>2026-27</v>
      </c>
      <c r="H64" s="223" t="str">
        <f t="shared" si="22"/>
        <v>2027-28</v>
      </c>
      <c r="I64" s="223" t="str">
        <f t="shared" si="22"/>
        <v>2028-29</v>
      </c>
      <c r="J64" s="223" t="str">
        <f t="shared" si="22"/>
        <v>2029-30</v>
      </c>
      <c r="K64" s="223" t="str">
        <f t="shared" si="22"/>
        <v>2030-31</v>
      </c>
      <c r="L64" s="223" t="str">
        <f t="shared" si="22"/>
        <v>2031-32</v>
      </c>
      <c r="M64" s="223" t="str">
        <f t="shared" si="22"/>
        <v>2032-33</v>
      </c>
      <c r="N64" s="223" t="str">
        <f t="shared" si="22"/>
        <v>2033-34</v>
      </c>
      <c r="O64" s="223" t="str">
        <f t="shared" si="22"/>
        <v>2034-35</v>
      </c>
      <c r="P64" s="223" t="str">
        <f t="shared" si="22"/>
        <v>2035-36</v>
      </c>
    </row>
    <row r="65" spans="2:16" x14ac:dyDescent="0.25"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</row>
    <row r="66" spans="2:16" x14ac:dyDescent="0.25">
      <c r="B66" s="301" t="str">
        <f>B8</f>
        <v>Cash Accruals</v>
      </c>
      <c r="C66" s="301"/>
      <c r="D66" s="301">
        <f t="shared" ref="D66:P66" ca="1" si="23">D8</f>
        <v>297.11791598616583</v>
      </c>
      <c r="E66" s="301">
        <f t="shared" ca="1" si="23"/>
        <v>234.1348513113627</v>
      </c>
      <c r="F66" s="301">
        <f t="shared" ca="1" si="23"/>
        <v>418.97018109374994</v>
      </c>
      <c r="G66" s="301">
        <f t="shared" ca="1" si="23"/>
        <v>1481.2058573742829</v>
      </c>
      <c r="H66" s="301">
        <f t="shared" ca="1" si="23"/>
        <v>1329.1363341479118</v>
      </c>
      <c r="I66" s="301">
        <f t="shared" ca="1" si="23"/>
        <v>1400.815638096424</v>
      </c>
      <c r="J66" s="301">
        <f t="shared" ca="1" si="23"/>
        <v>1468.3105012132241</v>
      </c>
      <c r="K66" s="301">
        <f t="shared" ca="1" si="23"/>
        <v>1442.9638976044344</v>
      </c>
      <c r="L66" s="301">
        <f t="shared" ca="1" si="23"/>
        <v>1736.5671369411568</v>
      </c>
      <c r="M66" s="301">
        <f t="shared" ca="1" si="23"/>
        <v>1700.6886536167733</v>
      </c>
      <c r="N66" s="301">
        <f t="shared" ca="1" si="23"/>
        <v>2034.1565574146027</v>
      </c>
      <c r="O66" s="301">
        <f t="shared" ca="1" si="23"/>
        <v>2200.1792001058298</v>
      </c>
      <c r="P66" s="301">
        <f t="shared" ca="1" si="23"/>
        <v>2356.895165854949</v>
      </c>
    </row>
    <row r="67" spans="2:16" x14ac:dyDescent="0.25">
      <c r="B67" s="216" t="str">
        <f>B9</f>
        <v>Intt. on Term Loan</v>
      </c>
      <c r="D67" s="216">
        <f t="shared" ref="D67:P67" si="24">D9</f>
        <v>27.658775000000006</v>
      </c>
      <c r="E67" s="216">
        <f t="shared" si="24"/>
        <v>24.788350000000005</v>
      </c>
      <c r="F67" s="218">
        <f t="shared" si="24"/>
        <v>38.748350000000009</v>
      </c>
      <c r="G67" s="218">
        <f t="shared" si="24"/>
        <v>278.16640000000007</v>
      </c>
      <c r="H67" s="218">
        <f t="shared" si="24"/>
        <v>254.84079999999997</v>
      </c>
      <c r="I67" s="218">
        <f t="shared" si="24"/>
        <v>230.61944</v>
      </c>
      <c r="J67" s="218">
        <f t="shared" si="24"/>
        <v>206.49599999999998</v>
      </c>
      <c r="K67" s="218">
        <f t="shared" si="24"/>
        <v>180.09599999999998</v>
      </c>
      <c r="L67" s="218">
        <f t="shared" si="24"/>
        <v>151.392</v>
      </c>
      <c r="M67" s="218">
        <f t="shared" si="24"/>
        <v>120.38399999999999</v>
      </c>
      <c r="N67" s="218">
        <f t="shared" si="24"/>
        <v>87.071999999999974</v>
      </c>
      <c r="O67" s="218">
        <f t="shared" si="24"/>
        <v>52.511999999999979</v>
      </c>
      <c r="P67" s="218">
        <f t="shared" si="24"/>
        <v>39.599999999999966</v>
      </c>
    </row>
    <row r="68" spans="2:16" x14ac:dyDescent="0.25">
      <c r="B68" s="216" t="str">
        <f>'P&amp;L(Proposed)'!C38</f>
        <v>Interest C.C. Limit</v>
      </c>
      <c r="F68" s="226">
        <f>'P&amp;L(Proposed)'!G38</f>
        <v>3.1999999999999997</v>
      </c>
      <c r="G68" s="226">
        <f>'P&amp;L(Proposed)'!H38</f>
        <v>38.4</v>
      </c>
      <c r="H68" s="226">
        <f>'P&amp;L(Proposed)'!I38</f>
        <v>38.4</v>
      </c>
      <c r="I68" s="226">
        <f>'P&amp;L(Proposed)'!J38</f>
        <v>38.4</v>
      </c>
      <c r="J68" s="226">
        <f>'P&amp;L(Proposed)'!K38</f>
        <v>38.4</v>
      </c>
      <c r="K68" s="226">
        <f>'P&amp;L(Proposed)'!L38</f>
        <v>38.4</v>
      </c>
      <c r="L68" s="226">
        <f>'P&amp;L(Proposed)'!M38</f>
        <v>38.4</v>
      </c>
      <c r="M68" s="226">
        <f>'P&amp;L(Proposed)'!N38</f>
        <v>38.4</v>
      </c>
      <c r="N68" s="226">
        <f>'P&amp;L(Proposed)'!O38</f>
        <v>38.4</v>
      </c>
      <c r="O68" s="226">
        <f>'P&amp;L(Proposed)'!P38</f>
        <v>38.4</v>
      </c>
      <c r="P68" s="226">
        <f>'P&amp;L(Proposed)'!Q38</f>
        <v>38.4</v>
      </c>
    </row>
    <row r="69" spans="2:16" x14ac:dyDescent="0.25">
      <c r="B69" s="228" t="s">
        <v>763</v>
      </c>
      <c r="C69" s="228"/>
      <c r="D69" s="236"/>
      <c r="E69" s="236"/>
      <c r="F69" s="229">
        <f ca="1">SUM(F66:F68)</f>
        <v>460.91853109374995</v>
      </c>
      <c r="G69" s="229">
        <f t="shared" ref="G69:P69" ca="1" si="25">SUM(G66:G68)</f>
        <v>1797.7722573742831</v>
      </c>
      <c r="H69" s="229">
        <f t="shared" ca="1" si="25"/>
        <v>1622.3771341479119</v>
      </c>
      <c r="I69" s="229">
        <f t="shared" ca="1" si="25"/>
        <v>1669.835078096424</v>
      </c>
      <c r="J69" s="229">
        <f t="shared" ca="1" si="25"/>
        <v>1713.2065012132243</v>
      </c>
      <c r="K69" s="229">
        <f t="shared" ca="1" si="25"/>
        <v>1661.4598976044344</v>
      </c>
      <c r="L69" s="229">
        <f t="shared" ca="1" si="25"/>
        <v>1926.359136941157</v>
      </c>
      <c r="M69" s="229">
        <f t="shared" ca="1" si="25"/>
        <v>1859.4726536167734</v>
      </c>
      <c r="N69" s="229">
        <f t="shared" ca="1" si="25"/>
        <v>2159.6285574146027</v>
      </c>
      <c r="O69" s="229">
        <f t="shared" ca="1" si="25"/>
        <v>2291.09120010583</v>
      </c>
      <c r="P69" s="229">
        <f t="shared" ca="1" si="25"/>
        <v>2434.895165854949</v>
      </c>
    </row>
    <row r="71" spans="2:16" x14ac:dyDescent="0.25">
      <c r="B71" s="228" t="s">
        <v>640</v>
      </c>
      <c r="C71" s="228"/>
      <c r="D71" s="236"/>
      <c r="E71" s="236"/>
      <c r="F71" s="229">
        <f>F67+F68</f>
        <v>41.948350000000012</v>
      </c>
      <c r="G71" s="229">
        <f t="shared" ref="G71:P71" si="26">G67+G68</f>
        <v>316.56640000000004</v>
      </c>
      <c r="H71" s="229">
        <f t="shared" si="26"/>
        <v>293.24079999999998</v>
      </c>
      <c r="I71" s="229">
        <f t="shared" si="26"/>
        <v>269.01943999999997</v>
      </c>
      <c r="J71" s="229">
        <f t="shared" si="26"/>
        <v>244.89599999999999</v>
      </c>
      <c r="K71" s="229">
        <f t="shared" si="26"/>
        <v>218.49599999999998</v>
      </c>
      <c r="L71" s="229">
        <f t="shared" si="26"/>
        <v>189.792</v>
      </c>
      <c r="M71" s="229">
        <f t="shared" si="26"/>
        <v>158.78399999999999</v>
      </c>
      <c r="N71" s="229">
        <f t="shared" si="26"/>
        <v>125.47199999999998</v>
      </c>
      <c r="O71" s="229">
        <f t="shared" si="26"/>
        <v>90.911999999999978</v>
      </c>
      <c r="P71" s="229">
        <f t="shared" si="26"/>
        <v>77.999999999999972</v>
      </c>
    </row>
    <row r="73" spans="2:16" x14ac:dyDescent="0.25">
      <c r="B73" s="228" t="s">
        <v>145</v>
      </c>
      <c r="C73" s="228"/>
      <c r="D73" s="236"/>
      <c r="E73" s="236"/>
      <c r="F73" s="229">
        <f ca="1">F69/F71</f>
        <v>10.987763072772822</v>
      </c>
      <c r="G73" s="229">
        <f t="shared" ref="G73:P73" ca="1" si="27">G69/G71</f>
        <v>5.6789736920099001</v>
      </c>
      <c r="H73" s="229">
        <f t="shared" ca="1" si="27"/>
        <v>5.5325764155189594</v>
      </c>
      <c r="I73" s="229">
        <f t="shared" ca="1" si="27"/>
        <v>6.2071167722913412</v>
      </c>
      <c r="J73" s="229">
        <f t="shared" ca="1" si="27"/>
        <v>6.9956491784807611</v>
      </c>
      <c r="K73" s="229">
        <f t="shared" ca="1" si="27"/>
        <v>7.6040746631720237</v>
      </c>
      <c r="L73" s="229">
        <f t="shared" ca="1" si="27"/>
        <v>10.149843707538553</v>
      </c>
      <c r="M73" s="229">
        <f t="shared" ca="1" si="27"/>
        <v>11.710705446498221</v>
      </c>
      <c r="N73" s="229">
        <f t="shared" ca="1" si="27"/>
        <v>17.21203581209037</v>
      </c>
      <c r="O73" s="229">
        <f t="shared" ca="1" si="27"/>
        <v>25.201196762867724</v>
      </c>
      <c r="P73" s="229">
        <f t="shared" ca="1" si="27"/>
        <v>31.216604690448076</v>
      </c>
    </row>
    <row r="75" spans="2:16" x14ac:dyDescent="0.25">
      <c r="B75" s="232" t="s">
        <v>767</v>
      </c>
      <c r="C75" s="466"/>
      <c r="D75" s="234"/>
      <c r="E75" s="234"/>
      <c r="F75" s="233">
        <f ca="1">AVERAGE(F73:P73)</f>
        <v>12.590594564880796</v>
      </c>
    </row>
    <row r="76" spans="2:16" x14ac:dyDescent="0.25">
      <c r="B76" s="232" t="s">
        <v>768</v>
      </c>
      <c r="C76" s="467"/>
      <c r="D76" s="235"/>
      <c r="E76" s="235"/>
      <c r="F76" s="233">
        <f ca="1">MIN(F73:P73)</f>
        <v>5.5325764155189594</v>
      </c>
    </row>
    <row r="77" spans="2:16" x14ac:dyDescent="0.25">
      <c r="B77" s="232" t="s">
        <v>769</v>
      </c>
      <c r="C77" s="467"/>
      <c r="D77" s="235"/>
      <c r="E77" s="235"/>
      <c r="F77" s="233">
        <f ca="1">MAX(F73:P73)</f>
        <v>31.216604690448076</v>
      </c>
    </row>
    <row r="80" spans="2:16" x14ac:dyDescent="0.25">
      <c r="B80" s="219" t="s">
        <v>140</v>
      </c>
      <c r="C80" s="219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</row>
    <row r="82" spans="2:16" x14ac:dyDescent="0.25">
      <c r="B82" s="426" t="s">
        <v>709</v>
      </c>
      <c r="C82" s="426"/>
      <c r="D82" s="223">
        <f>'P&amp;L(Proposed)'!E42</f>
        <v>0</v>
      </c>
      <c r="E82" s="223">
        <f>'P&amp;L(Proposed)'!F42</f>
        <v>0</v>
      </c>
      <c r="F82" s="223" t="str">
        <f>F64</f>
        <v>2025-26</v>
      </c>
      <c r="G82" s="223" t="str">
        <f t="shared" ref="G82:P82" si="28">G64</f>
        <v>2026-27</v>
      </c>
      <c r="H82" s="223" t="str">
        <f t="shared" si="28"/>
        <v>2027-28</v>
      </c>
      <c r="I82" s="223" t="str">
        <f t="shared" si="28"/>
        <v>2028-29</v>
      </c>
      <c r="J82" s="223" t="str">
        <f t="shared" si="28"/>
        <v>2029-30</v>
      </c>
      <c r="K82" s="223" t="str">
        <f t="shared" si="28"/>
        <v>2030-31</v>
      </c>
      <c r="L82" s="223" t="str">
        <f t="shared" si="28"/>
        <v>2031-32</v>
      </c>
      <c r="M82" s="223" t="str">
        <f t="shared" si="28"/>
        <v>2032-33</v>
      </c>
      <c r="N82" s="223" t="str">
        <f t="shared" si="28"/>
        <v>2033-34</v>
      </c>
      <c r="O82" s="223" t="str">
        <f t="shared" si="28"/>
        <v>2034-35</v>
      </c>
      <c r="P82" s="223" t="str">
        <f t="shared" si="28"/>
        <v>2035-36</v>
      </c>
    </row>
    <row r="84" spans="2:16" x14ac:dyDescent="0.25">
      <c r="B84" s="216" t="s">
        <v>143</v>
      </c>
      <c r="F84" s="225">
        <f>'BS(Proposed)'!E18</f>
        <v>2728</v>
      </c>
      <c r="G84" s="225">
        <f>'BS(Proposed)'!F18</f>
        <v>2512</v>
      </c>
      <c r="H84" s="225">
        <f>'BS(Proposed)'!G18</f>
        <v>2272</v>
      </c>
      <c r="I84" s="225">
        <f>'BS(Proposed)'!H18</f>
        <v>2008</v>
      </c>
      <c r="J84" s="225">
        <f>'BS(Proposed)'!I18</f>
        <v>1720</v>
      </c>
      <c r="K84" s="225">
        <f>'BS(Proposed)'!J18</f>
        <v>1407.9999999999998</v>
      </c>
      <c r="L84" s="225">
        <f>'BS(Proposed)'!K18</f>
        <v>1071.9999999999998</v>
      </c>
      <c r="M84" s="225">
        <f>'BS(Proposed)'!L18</f>
        <v>711.99999999999977</v>
      </c>
      <c r="N84" s="225">
        <f>'BS(Proposed)'!M18</f>
        <v>351.99999999999977</v>
      </c>
      <c r="O84" s="225">
        <f>'BS(Proposed)'!N18</f>
        <v>0</v>
      </c>
      <c r="P84" s="225">
        <f>'BS(Proposed)'!O18</f>
        <v>0</v>
      </c>
    </row>
    <row r="86" spans="2:16" x14ac:dyDescent="0.25">
      <c r="B86" s="216" t="s">
        <v>144</v>
      </c>
      <c r="F86" s="225">
        <f>'BS(Proposed)'!E31</f>
        <v>4088.9122500000003</v>
      </c>
      <c r="G86" s="225">
        <f>'BS(Proposed)'!F31</f>
        <v>3585.8787625000004</v>
      </c>
      <c r="H86" s="225">
        <f>'BS(Proposed)'!G31</f>
        <v>3149.7509631250005</v>
      </c>
      <c r="I86" s="225">
        <f>'BS(Proposed)'!H31</f>
        <v>2771.34793215625</v>
      </c>
      <c r="J86" s="225">
        <f>'BS(Proposed)'!I31</f>
        <v>2442.7803944828129</v>
      </c>
      <c r="K86" s="225">
        <f>'BS(Proposed)'!J31</f>
        <v>2157.2655222453909</v>
      </c>
      <c r="L86" s="225">
        <f>'BS(Proposed)'!K31</f>
        <v>1908.9686621500823</v>
      </c>
      <c r="M86" s="225">
        <f>'BS(Proposed)'!L31</f>
        <v>1692.86803424492</v>
      </c>
      <c r="N86" s="225">
        <f>'BS(Proposed)'!M31</f>
        <v>1504.6390333837969</v>
      </c>
      <c r="O86" s="225">
        <f>'BS(Proposed)'!N31</f>
        <v>1340.5552622242808</v>
      </c>
      <c r="P86" s="225">
        <f>'BS(Proposed)'!O31</f>
        <v>1197.403848353887</v>
      </c>
    </row>
    <row r="88" spans="2:16" x14ac:dyDescent="0.25">
      <c r="B88" s="216" t="s">
        <v>146</v>
      </c>
      <c r="F88" s="361">
        <f>F84/F86</f>
        <v>0.6671701012903859</v>
      </c>
      <c r="G88" s="361">
        <f t="shared" ref="G88:P88" si="29">G84/G86</f>
        <v>0.70052563579943383</v>
      </c>
      <c r="H88" s="361">
        <f t="shared" si="29"/>
        <v>0.72132686888548581</v>
      </c>
      <c r="I88" s="361">
        <f t="shared" si="29"/>
        <v>0.72455716465657694</v>
      </c>
      <c r="J88" s="361">
        <f t="shared" si="29"/>
        <v>0.70411568878018593</v>
      </c>
      <c r="K88" s="361">
        <f t="shared" si="29"/>
        <v>0.65267811749685878</v>
      </c>
      <c r="L88" s="361">
        <f t="shared" si="29"/>
        <v>0.56155976850484279</v>
      </c>
      <c r="M88" s="361">
        <f t="shared" si="29"/>
        <v>0.4205880113493769</v>
      </c>
      <c r="N88" s="361">
        <f t="shared" si="29"/>
        <v>0.23394315326805237</v>
      </c>
      <c r="O88" s="361">
        <f t="shared" si="29"/>
        <v>0</v>
      </c>
      <c r="P88" s="361">
        <f t="shared" si="29"/>
        <v>0</v>
      </c>
    </row>
    <row r="90" spans="2:16" x14ac:dyDescent="0.25">
      <c r="B90" s="232" t="s">
        <v>148</v>
      </c>
      <c r="C90" s="466"/>
      <c r="D90" s="234"/>
      <c r="E90" s="234"/>
      <c r="F90" s="233">
        <f>AVERAGE(F88:P88)</f>
        <v>0.48967859182101814</v>
      </c>
    </row>
    <row r="93" spans="2:16" x14ac:dyDescent="0.25">
      <c r="B93" s="219" t="s">
        <v>149</v>
      </c>
      <c r="C93" s="219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7"/>
    </row>
    <row r="95" spans="2:16" x14ac:dyDescent="0.25">
      <c r="B95" s="426" t="s">
        <v>709</v>
      </c>
      <c r="C95" s="426"/>
      <c r="D95" s="223">
        <f>'P&amp;L(Proposed)'!E57</f>
        <v>0</v>
      </c>
      <c r="E95" s="223">
        <f>'P&amp;L(Proposed)'!F57</f>
        <v>0</v>
      </c>
      <c r="F95" s="223" t="str">
        <f>F82</f>
        <v>2025-26</v>
      </c>
      <c r="G95" s="223" t="str">
        <f t="shared" ref="G95:P95" si="30">G82</f>
        <v>2026-27</v>
      </c>
      <c r="H95" s="223" t="str">
        <f t="shared" si="30"/>
        <v>2027-28</v>
      </c>
      <c r="I95" s="223" t="str">
        <f t="shared" si="30"/>
        <v>2028-29</v>
      </c>
      <c r="J95" s="223" t="str">
        <f t="shared" si="30"/>
        <v>2029-30</v>
      </c>
      <c r="K95" s="223" t="str">
        <f t="shared" si="30"/>
        <v>2030-31</v>
      </c>
      <c r="L95" s="223" t="str">
        <f t="shared" si="30"/>
        <v>2031-32</v>
      </c>
      <c r="M95" s="223" t="str">
        <f t="shared" si="30"/>
        <v>2032-33</v>
      </c>
      <c r="N95" s="223" t="str">
        <f t="shared" si="30"/>
        <v>2033-34</v>
      </c>
      <c r="O95" s="223" t="str">
        <f t="shared" si="30"/>
        <v>2034-35</v>
      </c>
      <c r="P95" s="223" t="str">
        <f t="shared" si="30"/>
        <v>2035-36</v>
      </c>
    </row>
    <row r="97" spans="2:16" x14ac:dyDescent="0.25">
      <c r="B97" s="216" t="s">
        <v>153</v>
      </c>
      <c r="F97" s="225">
        <f>'BS(Proposed)'!E18</f>
        <v>2728</v>
      </c>
      <c r="G97" s="225">
        <f>'BS(Proposed)'!F18</f>
        <v>2512</v>
      </c>
      <c r="H97" s="225">
        <f>'BS(Proposed)'!G18</f>
        <v>2272</v>
      </c>
      <c r="I97" s="225">
        <f>'BS(Proposed)'!H18</f>
        <v>2008</v>
      </c>
      <c r="J97" s="225">
        <f>'BS(Proposed)'!I18</f>
        <v>1720</v>
      </c>
      <c r="K97" s="225">
        <f>'BS(Proposed)'!J18</f>
        <v>1407.9999999999998</v>
      </c>
      <c r="L97" s="225">
        <f>'BS(Proposed)'!K18</f>
        <v>1071.9999999999998</v>
      </c>
      <c r="M97" s="225">
        <f>'BS(Proposed)'!L18</f>
        <v>711.99999999999977</v>
      </c>
      <c r="N97" s="225">
        <f>'BS(Proposed)'!M18</f>
        <v>351.99999999999977</v>
      </c>
      <c r="O97" s="225">
        <f>'BS(Proposed)'!N18</f>
        <v>0</v>
      </c>
      <c r="P97" s="225">
        <f>'BS(Proposed)'!O18</f>
        <v>0</v>
      </c>
    </row>
    <row r="99" spans="2:16" x14ac:dyDescent="0.25">
      <c r="B99" s="216" t="s">
        <v>152</v>
      </c>
      <c r="F99" s="225">
        <f>'BS(Proposed)'!E14</f>
        <v>1167.4107810937503</v>
      </c>
      <c r="G99" s="225">
        <f>'BS(Proposed)'!F14</f>
        <v>2296.8627153987504</v>
      </c>
      <c r="H99" s="225">
        <f>'BS(Proposed)'!G14</f>
        <v>2206.4238588200014</v>
      </c>
      <c r="I99" s="225">
        <f>'BS(Proposed)'!H14</f>
        <v>2297.3733906450489</v>
      </c>
      <c r="J99" s="225">
        <f>'BS(Proposed)'!I14</f>
        <v>2474.0072164156782</v>
      </c>
      <c r="K99" s="225">
        <f>'BS(Proposed)'!J14</f>
        <v>2446.6564596251014</v>
      </c>
      <c r="L99" s="225">
        <f>'BS(Proposed)'!K14</f>
        <v>2727.6381707717082</v>
      </c>
      <c r="M99" s="225">
        <f>'BS(Proposed)'!L14</f>
        <v>2668.8870746030348</v>
      </c>
      <c r="N99" s="225">
        <f>'BS(Proposed)'!M14</f>
        <v>2969.433485272581</v>
      </c>
      <c r="O99" s="225">
        <f>'BS(Proposed)'!N14</f>
        <v>3192.5362153900405</v>
      </c>
      <c r="P99" s="225">
        <f>'BS(Proposed)'!O14</f>
        <v>3296.2419672545707</v>
      </c>
    </row>
    <row r="101" spans="2:16" x14ac:dyDescent="0.25">
      <c r="B101" s="216" t="s">
        <v>154</v>
      </c>
      <c r="F101" s="361">
        <f>F97/F99</f>
        <v>2.3367952773608356</v>
      </c>
      <c r="G101" s="361">
        <f t="shared" ref="G101:P101" si="31">G97/G99</f>
        <v>1.0936657133048984</v>
      </c>
      <c r="H101" s="361">
        <f t="shared" si="31"/>
        <v>1.0297205547872696</v>
      </c>
      <c r="I101" s="361">
        <f t="shared" si="31"/>
        <v>0.8740416373657921</v>
      </c>
      <c r="J101" s="361">
        <f t="shared" si="31"/>
        <v>0.69522836820659006</v>
      </c>
      <c r="K101" s="361">
        <f t="shared" si="31"/>
        <v>0.57547924003018636</v>
      </c>
      <c r="L101" s="361">
        <f t="shared" si="31"/>
        <v>0.39301400438193296</v>
      </c>
      <c r="M101" s="361">
        <f t="shared" si="31"/>
        <v>0.26677786661539488</v>
      </c>
      <c r="N101" s="361">
        <f t="shared" si="31"/>
        <v>0.11854112972922433</v>
      </c>
      <c r="O101" s="361">
        <f t="shared" si="31"/>
        <v>0</v>
      </c>
      <c r="P101" s="361">
        <f t="shared" si="31"/>
        <v>0</v>
      </c>
    </row>
    <row r="103" spans="2:16" x14ac:dyDescent="0.25">
      <c r="B103" s="232" t="s">
        <v>149</v>
      </c>
      <c r="C103" s="466"/>
      <c r="D103" s="234"/>
      <c r="E103" s="234"/>
      <c r="F103" s="233">
        <f>AVERAGE(F101:P101)</f>
        <v>0.67120579925292045</v>
      </c>
    </row>
    <row r="106" spans="2:16" x14ac:dyDescent="0.25">
      <c r="B106" s="219" t="s">
        <v>102</v>
      </c>
      <c r="C106" s="219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</row>
    <row r="108" spans="2:16" x14ac:dyDescent="0.25">
      <c r="B108" s="426" t="s">
        <v>709</v>
      </c>
      <c r="C108" s="426"/>
      <c r="D108" s="223">
        <f>'P&amp;L(Proposed)'!E70</f>
        <v>0.22844312875740788</v>
      </c>
      <c r="E108" s="223">
        <f>'P&amp;L(Proposed)'!F70</f>
        <v>0</v>
      </c>
      <c r="F108" s="223" t="str">
        <f>F95</f>
        <v>2025-26</v>
      </c>
      <c r="G108" s="223" t="str">
        <f t="shared" ref="G108:P108" si="32">G95</f>
        <v>2026-27</v>
      </c>
      <c r="H108" s="223" t="str">
        <f t="shared" si="32"/>
        <v>2027-28</v>
      </c>
      <c r="I108" s="223" t="str">
        <f t="shared" si="32"/>
        <v>2028-29</v>
      </c>
      <c r="J108" s="223" t="str">
        <f t="shared" si="32"/>
        <v>2029-30</v>
      </c>
      <c r="K108" s="223" t="str">
        <f t="shared" si="32"/>
        <v>2030-31</v>
      </c>
      <c r="L108" s="223" t="str">
        <f t="shared" si="32"/>
        <v>2031-32</v>
      </c>
      <c r="M108" s="223" t="str">
        <f t="shared" si="32"/>
        <v>2032-33</v>
      </c>
      <c r="N108" s="223" t="str">
        <f t="shared" si="32"/>
        <v>2033-34</v>
      </c>
      <c r="O108" s="223" t="str">
        <f t="shared" si="32"/>
        <v>2034-35</v>
      </c>
      <c r="P108" s="223" t="str">
        <f t="shared" si="32"/>
        <v>2035-36</v>
      </c>
    </row>
    <row r="110" spans="2:16" x14ac:dyDescent="0.25">
      <c r="B110" s="216" t="s">
        <v>158</v>
      </c>
      <c r="F110" s="225">
        <f>'BS(Proposed)'!E43</f>
        <v>390.20929915000005</v>
      </c>
      <c r="G110" s="225">
        <f>'BS(Proposed)'!F43</f>
        <v>2814.5440240834987</v>
      </c>
      <c r="H110" s="225">
        <f>'BS(Proposed)'!G43</f>
        <v>3024.5793867124989</v>
      </c>
      <c r="I110" s="225">
        <f>'BS(Proposed)'!H43</f>
        <v>3336.7846680280477</v>
      </c>
      <c r="J110" s="225">
        <f>'BS(Proposed)'!I43</f>
        <v>3661.0942298548662</v>
      </c>
      <c r="K110" s="225">
        <f>'BS(Proposed)'!J43</f>
        <v>3739.6302159764596</v>
      </c>
      <c r="L110" s="225">
        <f>'BS(Proposed)'!K43</f>
        <v>4082.2161197431251</v>
      </c>
      <c r="M110" s="225">
        <f>'BS(Proposed)'!L43</f>
        <v>3978.6298315023655</v>
      </c>
      <c r="N110" s="225">
        <f>'BS(Proposed)'!M43</f>
        <v>4102.6054986097843</v>
      </c>
      <c r="O110" s="225">
        <f>'BS(Proposed)'!N43</f>
        <v>4226.7138712495143</v>
      </c>
      <c r="P110" s="225">
        <f>'BS(Proposed)'!O43</f>
        <v>4318.4970678471827</v>
      </c>
    </row>
    <row r="112" spans="2:16" x14ac:dyDescent="0.25">
      <c r="B112" s="216" t="s">
        <v>159</v>
      </c>
      <c r="F112" s="225">
        <f>'BS(Proposed)'!E27</f>
        <v>608.70690259374999</v>
      </c>
      <c r="G112" s="225">
        <f>'BS(Proposed)'!F27</f>
        <v>1616.5552406249999</v>
      </c>
      <c r="H112" s="225">
        <f>'BS(Proposed)'!G27</f>
        <v>1745.9091562499998</v>
      </c>
      <c r="I112" s="225">
        <f>'BS(Proposed)'!H27</f>
        <v>1877.7630718749997</v>
      </c>
      <c r="J112" s="225">
        <f>'BS(Proposed)'!I27</f>
        <v>2009.8669875000001</v>
      </c>
      <c r="K112" s="225">
        <f>'BS(Proposed)'!J27</f>
        <v>2142.2409031250004</v>
      </c>
      <c r="L112" s="225">
        <f>'BS(Proposed)'!K27</f>
        <v>2291.5448187500006</v>
      </c>
      <c r="M112" s="225">
        <f>'BS(Proposed)'!L27</f>
        <v>2390.608734375</v>
      </c>
      <c r="N112" s="225">
        <f>'BS(Proposed)'!M27</f>
        <v>2385.8096380000006</v>
      </c>
      <c r="O112" s="225">
        <f>'BS(Proposed)'!N27</f>
        <v>2474.7352403750006</v>
      </c>
      <c r="P112" s="225">
        <f>'BS(Proposed)'!O27</f>
        <v>2319.6608427500005</v>
      </c>
    </row>
    <row r="114" spans="2:16" x14ac:dyDescent="0.25">
      <c r="B114" s="216" t="s">
        <v>160</v>
      </c>
      <c r="F114" s="361">
        <f>F110/F112</f>
        <v>0.64104628596667168</v>
      </c>
      <c r="G114" s="361">
        <f t="shared" ref="G114:P114" si="33">G110/G112</f>
        <v>1.7410750671256536</v>
      </c>
      <c r="H114" s="361">
        <f t="shared" si="33"/>
        <v>1.7323807346362321</v>
      </c>
      <c r="I114" s="361">
        <f t="shared" si="33"/>
        <v>1.7769998345404532</v>
      </c>
      <c r="J114" s="361">
        <f t="shared" si="33"/>
        <v>1.8215604577936608</v>
      </c>
      <c r="K114" s="361">
        <f t="shared" si="33"/>
        <v>1.7456627826129465</v>
      </c>
      <c r="L114" s="361">
        <f t="shared" si="33"/>
        <v>1.7814253888212868</v>
      </c>
      <c r="M114" s="361">
        <f t="shared" si="33"/>
        <v>1.664274782524183</v>
      </c>
      <c r="N114" s="361">
        <f t="shared" si="33"/>
        <v>1.7195862709520093</v>
      </c>
      <c r="O114" s="361">
        <f t="shared" si="33"/>
        <v>1.7079458853986471</v>
      </c>
      <c r="P114" s="361">
        <f t="shared" si="33"/>
        <v>1.8616933080301192</v>
      </c>
    </row>
    <row r="116" spans="2:16" x14ac:dyDescent="0.25">
      <c r="B116" s="232" t="s">
        <v>161</v>
      </c>
      <c r="C116" s="466"/>
      <c r="D116" s="234"/>
      <c r="E116" s="234"/>
      <c r="F116" s="233">
        <f>AVERAGE(F114:P114)</f>
        <v>1.6539682544001693</v>
      </c>
    </row>
  </sheetData>
  <mergeCells count="3">
    <mergeCell ref="B4:P4"/>
    <mergeCell ref="B23:P23"/>
    <mergeCell ref="B42:P42"/>
  </mergeCells>
  <pageMargins left="0.7" right="0.7" top="0.75" bottom="0.75" header="0.3" footer="0.3"/>
  <pageSetup scale="6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6"/>
  <sheetViews>
    <sheetView showGridLines="0" zoomScaleNormal="100" workbookViewId="0">
      <selection activeCell="E18" sqref="E18"/>
    </sheetView>
  </sheetViews>
  <sheetFormatPr defaultColWidth="9.140625" defaultRowHeight="15" x14ac:dyDescent="0.25"/>
  <cols>
    <col min="1" max="1" width="3.85546875" style="216" customWidth="1"/>
    <col min="2" max="2" width="18" style="216" customWidth="1"/>
    <col min="3" max="4" width="11.7109375" style="216" hidden="1" customWidth="1"/>
    <col min="5" max="16" width="11.7109375" style="216" customWidth="1"/>
    <col min="17" max="16384" width="9.140625" style="216"/>
  </cols>
  <sheetData>
    <row r="1" spans="2:16" ht="15.75" customHeight="1" x14ac:dyDescent="0.25"/>
    <row r="2" spans="2:16" ht="19.5" customHeight="1" x14ac:dyDescent="0.25">
      <c r="B2" s="221" t="str">
        <f>'P&amp;L(Proposed)'!B2</f>
        <v>MANCARE LABORATORIES PVT. LTD. Plot  No. -11, Pharma City, Selaqui Industrial Area, Dehradun, Uttarakhand- 248011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2:16" ht="10.5" customHeight="1" x14ac:dyDescent="0.25"/>
    <row r="4" spans="2:16" ht="18" customHeight="1" x14ac:dyDescent="0.25">
      <c r="B4" s="517" t="s">
        <v>761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465"/>
    </row>
    <row r="5" spans="2:16" ht="11.25" customHeight="1" x14ac:dyDescent="0.25"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</row>
    <row r="6" spans="2:16" ht="18" customHeight="1" x14ac:dyDescent="0.25">
      <c r="B6" s="457" t="s">
        <v>709</v>
      </c>
      <c r="C6" s="250" t="str">
        <f>'P&amp;L(Proposed)'!E6</f>
        <v>2023-24</v>
      </c>
      <c r="D6" s="250" t="str">
        <f>'P&amp;L(Proposed)'!F6</f>
        <v>2024-25</v>
      </c>
      <c r="E6" s="250" t="str">
        <f>'P&amp;L(Proposed)'!G6</f>
        <v>2025-26</v>
      </c>
      <c r="F6" s="250" t="str">
        <f>'P&amp;L(Proposed)'!H6</f>
        <v>2026-27</v>
      </c>
      <c r="G6" s="250" t="str">
        <f>'P&amp;L(Proposed)'!I6</f>
        <v>2027-28</v>
      </c>
      <c r="H6" s="250" t="str">
        <f>'P&amp;L(Proposed)'!J6</f>
        <v>2028-29</v>
      </c>
      <c r="I6" s="250" t="str">
        <f>'P&amp;L(Proposed)'!K6</f>
        <v>2029-30</v>
      </c>
      <c r="J6" s="250" t="str">
        <f>'P&amp;L(Proposed)'!L6</f>
        <v>2030-31</v>
      </c>
      <c r="K6" s="250" t="str">
        <f>'P&amp;L(Proposed)'!M6</f>
        <v>2031-32</v>
      </c>
      <c r="L6" s="250" t="str">
        <f>'P&amp;L(Proposed)'!N6</f>
        <v>2032-33</v>
      </c>
      <c r="M6" s="250" t="str">
        <f>'P&amp;L(Proposed)'!O6</f>
        <v>2033-34</v>
      </c>
      <c r="N6" s="250" t="str">
        <f>'P&amp;L(Proposed)'!P6</f>
        <v>2034-35</v>
      </c>
      <c r="O6" s="250" t="str">
        <f>'P&amp;L(Proposed)'!Q6</f>
        <v>2035-36</v>
      </c>
      <c r="P6" s="250" t="s">
        <v>5</v>
      </c>
    </row>
    <row r="7" spans="2:16" ht="9" customHeight="1" x14ac:dyDescent="0.25"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</row>
    <row r="8" spans="2:16" x14ac:dyDescent="0.25">
      <c r="B8" s="458" t="s">
        <v>24</v>
      </c>
      <c r="C8" s="459"/>
      <c r="D8" s="459"/>
      <c r="E8" s="248">
        <f>'P&amp;L(Proposed)'!G49</f>
        <v>83.898531093750023</v>
      </c>
      <c r="F8" s="248">
        <f>'P&amp;L(Proposed)'!H49</f>
        <v>1246.9062028987501</v>
      </c>
      <c r="G8" s="248">
        <f>'P&amp;L(Proposed)'!I49</f>
        <v>989.56165819500097</v>
      </c>
      <c r="H8" s="248">
        <f>'P&amp;L(Proposed)'!J49</f>
        <v>1022.7864216137984</v>
      </c>
      <c r="I8" s="248">
        <f>'P&amp;L(Proposed)'!K49</f>
        <v>1049.5847540891154</v>
      </c>
      <c r="J8" s="248">
        <f>'P&amp;L(Proposed)'!L49</f>
        <v>979.18133186252317</v>
      </c>
      <c r="K8" s="248">
        <f>'P&amp;L(Proposed)'!M49</f>
        <v>1222.9450308670166</v>
      </c>
      <c r="L8" s="248">
        <f>'P&amp;L(Proposed)'!N49</f>
        <v>1131.9977025081967</v>
      </c>
      <c r="M8" s="248">
        <f>'P&amp;L(Proposed)'!O49</f>
        <v>1404.6724861337038</v>
      </c>
      <c r="N8" s="248">
        <f>'P&amp;L(Proposed)'!P49</f>
        <v>1503.6299865495564</v>
      </c>
      <c r="O8" s="248">
        <f>'P&amp;L(Proposed)'!Q49</f>
        <v>1586.4033811249644</v>
      </c>
      <c r="P8" s="248">
        <f>SUM(E8:O8)</f>
        <v>12221.567486936377</v>
      </c>
    </row>
    <row r="9" spans="2:16" x14ac:dyDescent="0.25">
      <c r="B9" s="458" t="s">
        <v>762</v>
      </c>
      <c r="C9" s="459"/>
      <c r="D9" s="459"/>
      <c r="E9" s="248">
        <f>'P&amp;L(Proposed)'!G36</f>
        <v>22.720000000000002</v>
      </c>
      <c r="F9" s="248">
        <f>'P&amp;L(Proposed)'!H36</f>
        <v>269.95200000000006</v>
      </c>
      <c r="G9" s="248">
        <f>'P&amp;L(Proposed)'!I36</f>
        <v>252.38399999999996</v>
      </c>
      <c r="H9" s="248">
        <f>'P&amp;L(Proposed)'!J36</f>
        <v>230.59199999999998</v>
      </c>
      <c r="I9" s="248">
        <f>'P&amp;L(Proposed)'!K36</f>
        <v>206.49599999999998</v>
      </c>
      <c r="J9" s="248">
        <f>'P&amp;L(Proposed)'!L36</f>
        <v>180.09599999999998</v>
      </c>
      <c r="K9" s="248">
        <f>'P&amp;L(Proposed)'!M36</f>
        <v>151.392</v>
      </c>
      <c r="L9" s="248">
        <f>'P&amp;L(Proposed)'!N36</f>
        <v>120.38399999999999</v>
      </c>
      <c r="M9" s="248">
        <f>'P&amp;L(Proposed)'!O36</f>
        <v>87.071999999999974</v>
      </c>
      <c r="N9" s="248">
        <f>'P&amp;L(Proposed)'!P36</f>
        <v>52.511999999999979</v>
      </c>
      <c r="O9" s="248">
        <f>'P&amp;L(Proposed)'!Q36</f>
        <v>39.599999999999966</v>
      </c>
      <c r="P9" s="248">
        <f>SUM(E9:O9)</f>
        <v>1613.1999999999998</v>
      </c>
    </row>
    <row r="10" spans="2:16" x14ac:dyDescent="0.25">
      <c r="B10" s="460" t="s">
        <v>763</v>
      </c>
      <c r="C10" s="461"/>
      <c r="D10" s="461"/>
      <c r="E10" s="442">
        <f t="shared" ref="E10:P10" si="0">SUM(E8:E9)</f>
        <v>106.61853109375002</v>
      </c>
      <c r="F10" s="442">
        <f t="shared" si="0"/>
        <v>1516.8582028987501</v>
      </c>
      <c r="G10" s="442">
        <f t="shared" si="0"/>
        <v>1241.945658195001</v>
      </c>
      <c r="H10" s="442">
        <f t="shared" si="0"/>
        <v>1253.3784216137983</v>
      </c>
      <c r="I10" s="442">
        <f t="shared" si="0"/>
        <v>1256.0807540891155</v>
      </c>
      <c r="J10" s="442">
        <f t="shared" si="0"/>
        <v>1159.2773318625232</v>
      </c>
      <c r="K10" s="442">
        <f t="shared" si="0"/>
        <v>1374.3370308670167</v>
      </c>
      <c r="L10" s="442">
        <f t="shared" si="0"/>
        <v>1252.3817025081967</v>
      </c>
      <c r="M10" s="442">
        <f t="shared" si="0"/>
        <v>1491.7444861337037</v>
      </c>
      <c r="N10" s="442">
        <f t="shared" si="0"/>
        <v>1556.1419865495563</v>
      </c>
      <c r="O10" s="442">
        <f t="shared" si="0"/>
        <v>1626.0033811249643</v>
      </c>
      <c r="P10" s="442">
        <f t="shared" si="0"/>
        <v>13834.767486936376</v>
      </c>
    </row>
    <row r="11" spans="2:16" x14ac:dyDescent="0.25">
      <c r="B11" s="458"/>
      <c r="C11" s="462"/>
      <c r="D11" s="462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</row>
    <row r="12" spans="2:16" x14ac:dyDescent="0.25">
      <c r="B12" s="458" t="s">
        <v>764</v>
      </c>
      <c r="C12" s="459"/>
      <c r="D12" s="459"/>
      <c r="E12" s="248">
        <f>'BS(Proposed)'!E26</f>
        <v>112</v>
      </c>
      <c r="F12" s="248">
        <f>'BS(Proposed)'!F26</f>
        <v>216</v>
      </c>
      <c r="G12" s="248">
        <f>'BS(Proposed)'!G26</f>
        <v>240</v>
      </c>
      <c r="H12" s="248">
        <f>'BS(Proposed)'!H26</f>
        <v>264</v>
      </c>
      <c r="I12" s="248">
        <f>'BS(Proposed)'!I26</f>
        <v>288</v>
      </c>
      <c r="J12" s="248">
        <f>'BS(Proposed)'!J26</f>
        <v>312</v>
      </c>
      <c r="K12" s="248">
        <f>'BS(Proposed)'!K26</f>
        <v>336</v>
      </c>
      <c r="L12" s="248">
        <f>'BS(Proposed)'!L26</f>
        <v>360</v>
      </c>
      <c r="M12" s="248">
        <f>'BS(Proposed)'!M26</f>
        <v>360</v>
      </c>
      <c r="N12" s="248">
        <f>'BS(Proposed)'!N26</f>
        <v>352</v>
      </c>
      <c r="O12" s="248">
        <f>'BS(Proposed)'!O26</f>
        <v>0</v>
      </c>
      <c r="P12" s="248">
        <f>SUM(E12:O12)</f>
        <v>2840</v>
      </c>
    </row>
    <row r="13" spans="2:16" x14ac:dyDescent="0.25">
      <c r="B13" s="458" t="s">
        <v>762</v>
      </c>
      <c r="C13" s="459"/>
      <c r="D13" s="459"/>
      <c r="E13" s="248">
        <f t="shared" ref="E13:O13" si="1">E9</f>
        <v>22.720000000000002</v>
      </c>
      <c r="F13" s="248">
        <f t="shared" si="1"/>
        <v>269.95200000000006</v>
      </c>
      <c r="G13" s="248">
        <f t="shared" si="1"/>
        <v>252.38399999999996</v>
      </c>
      <c r="H13" s="248">
        <f t="shared" si="1"/>
        <v>230.59199999999998</v>
      </c>
      <c r="I13" s="248">
        <f t="shared" si="1"/>
        <v>206.49599999999998</v>
      </c>
      <c r="J13" s="248">
        <f t="shared" si="1"/>
        <v>180.09599999999998</v>
      </c>
      <c r="K13" s="248">
        <f t="shared" si="1"/>
        <v>151.392</v>
      </c>
      <c r="L13" s="248">
        <f t="shared" si="1"/>
        <v>120.38399999999999</v>
      </c>
      <c r="M13" s="248">
        <f t="shared" si="1"/>
        <v>87.071999999999974</v>
      </c>
      <c r="N13" s="248">
        <f t="shared" si="1"/>
        <v>52.511999999999979</v>
      </c>
      <c r="O13" s="248">
        <f t="shared" si="1"/>
        <v>39.599999999999966</v>
      </c>
      <c r="P13" s="248">
        <f>SUM(E13:O13)</f>
        <v>1613.1999999999998</v>
      </c>
    </row>
    <row r="14" spans="2:16" x14ac:dyDescent="0.25">
      <c r="B14" s="460" t="s">
        <v>765</v>
      </c>
      <c r="C14" s="463"/>
      <c r="D14" s="464"/>
      <c r="E14" s="349">
        <f>SUM(E12:E13)</f>
        <v>134.72</v>
      </c>
      <c r="F14" s="349">
        <f t="shared" ref="F14:P14" si="2">SUM(F12:F13)</f>
        <v>485.95200000000006</v>
      </c>
      <c r="G14" s="349">
        <f t="shared" si="2"/>
        <v>492.38399999999996</v>
      </c>
      <c r="H14" s="349">
        <f t="shared" si="2"/>
        <v>494.59199999999998</v>
      </c>
      <c r="I14" s="349">
        <f t="shared" si="2"/>
        <v>494.49599999999998</v>
      </c>
      <c r="J14" s="349">
        <f t="shared" si="2"/>
        <v>492.096</v>
      </c>
      <c r="K14" s="349">
        <f t="shared" si="2"/>
        <v>487.392</v>
      </c>
      <c r="L14" s="349">
        <f t="shared" si="2"/>
        <v>480.38400000000001</v>
      </c>
      <c r="M14" s="349">
        <f t="shared" si="2"/>
        <v>447.072</v>
      </c>
      <c r="N14" s="349">
        <f t="shared" si="2"/>
        <v>404.512</v>
      </c>
      <c r="O14" s="349">
        <f t="shared" si="2"/>
        <v>39.599999999999966</v>
      </c>
      <c r="P14" s="349">
        <f t="shared" si="2"/>
        <v>4453.2</v>
      </c>
    </row>
    <row r="15" spans="2:16" x14ac:dyDescent="0.25">
      <c r="B15" s="458"/>
      <c r="C15" s="462"/>
      <c r="D15" s="462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</row>
    <row r="16" spans="2:16" x14ac:dyDescent="0.25">
      <c r="B16" s="460" t="s">
        <v>766</v>
      </c>
      <c r="C16" s="464"/>
      <c r="D16" s="464"/>
      <c r="E16" s="349">
        <f>E10/E14</f>
        <v>0.79140833650348885</v>
      </c>
      <c r="F16" s="349">
        <f t="shared" ref="F16:P16" si="3">F10/F14</f>
        <v>3.1214157013424164</v>
      </c>
      <c r="G16" s="349">
        <f t="shared" si="3"/>
        <v>2.5223111599787993</v>
      </c>
      <c r="H16" s="349">
        <f t="shared" si="3"/>
        <v>2.5341663868679607</v>
      </c>
      <c r="I16" s="349">
        <f t="shared" si="3"/>
        <v>2.5401231841897922</v>
      </c>
      <c r="J16" s="349">
        <f t="shared" si="3"/>
        <v>2.3557950722268077</v>
      </c>
      <c r="K16" s="349">
        <f t="shared" si="3"/>
        <v>2.8197775730151844</v>
      </c>
      <c r="L16" s="349">
        <f t="shared" si="3"/>
        <v>2.6070429125620267</v>
      </c>
      <c r="M16" s="349">
        <f t="shared" si="3"/>
        <v>3.3366985320791813</v>
      </c>
      <c r="N16" s="349">
        <f t="shared" si="3"/>
        <v>3.8469612435466845</v>
      </c>
      <c r="O16" s="349">
        <f t="shared" si="3"/>
        <v>41.06069144254964</v>
      </c>
      <c r="P16" s="349">
        <f t="shared" si="3"/>
        <v>3.1067024806737575</v>
      </c>
    </row>
    <row r="17" spans="2:15" x14ac:dyDescent="0.25">
      <c r="B17" s="224"/>
    </row>
    <row r="18" spans="2:15" x14ac:dyDescent="0.25">
      <c r="B18" s="232" t="s">
        <v>767</v>
      </c>
      <c r="C18" s="234"/>
      <c r="D18" s="234"/>
      <c r="E18" s="233">
        <f>SUM(F16:N16)/9</f>
        <v>2.8538101962009836</v>
      </c>
    </row>
    <row r="19" spans="2:15" x14ac:dyDescent="0.25">
      <c r="B19" s="232" t="s">
        <v>768</v>
      </c>
      <c r="C19" s="235"/>
      <c r="D19" s="235"/>
      <c r="E19" s="233">
        <f>J16</f>
        <v>2.3557950722268077</v>
      </c>
    </row>
    <row r="20" spans="2:15" x14ac:dyDescent="0.25">
      <c r="B20" s="232" t="s">
        <v>769</v>
      </c>
      <c r="C20" s="235"/>
      <c r="D20" s="235"/>
      <c r="E20" s="233">
        <f>N16</f>
        <v>3.8469612435466845</v>
      </c>
    </row>
    <row r="22" spans="2:15" x14ac:dyDescent="0.25">
      <c r="B22" s="216" t="s">
        <v>895</v>
      </c>
    </row>
    <row r="23" spans="2:15" x14ac:dyDescent="0.25">
      <c r="B23" s="517" t="s">
        <v>761</v>
      </c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</row>
    <row r="24" spans="2:15" x14ac:dyDescent="0.25"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</row>
    <row r="25" spans="2:15" x14ac:dyDescent="0.25">
      <c r="B25" s="457" t="s">
        <v>709</v>
      </c>
      <c r="C25" s="250">
        <f>'P&amp;L(Proposed)'!E25</f>
        <v>0</v>
      </c>
      <c r="D25" s="250">
        <f>'P&amp;L(Proposed)'!F25</f>
        <v>0</v>
      </c>
      <c r="E25" s="250" t="str">
        <f>E6</f>
        <v>2025-26</v>
      </c>
      <c r="F25" s="250" t="str">
        <f t="shared" ref="F25:O25" si="4">F6</f>
        <v>2026-27</v>
      </c>
      <c r="G25" s="250" t="str">
        <f t="shared" si="4"/>
        <v>2027-28</v>
      </c>
      <c r="H25" s="250" t="str">
        <f t="shared" si="4"/>
        <v>2028-29</v>
      </c>
      <c r="I25" s="250" t="str">
        <f t="shared" si="4"/>
        <v>2029-30</v>
      </c>
      <c r="J25" s="250" t="str">
        <f t="shared" si="4"/>
        <v>2030-31</v>
      </c>
      <c r="K25" s="250" t="str">
        <f t="shared" si="4"/>
        <v>2031-32</v>
      </c>
      <c r="L25" s="250" t="str">
        <f t="shared" si="4"/>
        <v>2032-33</v>
      </c>
      <c r="M25" s="250" t="str">
        <f t="shared" si="4"/>
        <v>2033-34</v>
      </c>
      <c r="N25" s="250" t="str">
        <f t="shared" si="4"/>
        <v>2034-35</v>
      </c>
      <c r="O25" s="250" t="str">
        <f t="shared" si="4"/>
        <v>2035-36</v>
      </c>
    </row>
    <row r="26" spans="2:15" x14ac:dyDescent="0.25"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</row>
    <row r="27" spans="2:15" x14ac:dyDescent="0.25">
      <c r="B27" s="458" t="s">
        <v>24</v>
      </c>
      <c r="C27" s="459"/>
      <c r="D27" s="459"/>
      <c r="E27" s="248">
        <v>66.189545156250006</v>
      </c>
      <c r="F27" s="248">
        <v>975.83113414874981</v>
      </c>
      <c r="G27" s="248">
        <v>688.36897069500105</v>
      </c>
      <c r="H27" s="248">
        <v>691.474465363798</v>
      </c>
      <c r="I27" s="248">
        <v>688.15171408911476</v>
      </c>
      <c r="J27" s="248">
        <v>587.625211612523</v>
      </c>
      <c r="K27" s="248">
        <v>801.26363421701603</v>
      </c>
      <c r="L27" s="248">
        <v>680.18861369319677</v>
      </c>
      <c r="M27" s="248">
        <v>922.73304781220327</v>
      </c>
      <c r="N27" s="248">
        <v>991.55727564590575</v>
      </c>
      <c r="O27" s="248">
        <v>1044.1941822559488</v>
      </c>
    </row>
    <row r="28" spans="2:15" x14ac:dyDescent="0.25">
      <c r="B28" s="458" t="s">
        <v>762</v>
      </c>
      <c r="C28" s="459"/>
      <c r="D28" s="459"/>
      <c r="E28" s="248">
        <f>'P&amp;L(Proposed)'!G36</f>
        <v>22.720000000000002</v>
      </c>
      <c r="F28" s="248">
        <f>'P&amp;L(Proposed)'!H36</f>
        <v>269.95200000000006</v>
      </c>
      <c r="G28" s="248">
        <f>'P&amp;L(Proposed)'!I36</f>
        <v>252.38399999999996</v>
      </c>
      <c r="H28" s="248">
        <f>'P&amp;L(Proposed)'!J36</f>
        <v>230.59199999999998</v>
      </c>
      <c r="I28" s="248">
        <f>'P&amp;L(Proposed)'!K36</f>
        <v>206.49599999999998</v>
      </c>
      <c r="J28" s="248">
        <f>'P&amp;L(Proposed)'!L36</f>
        <v>180.09599999999998</v>
      </c>
      <c r="K28" s="248">
        <f>'P&amp;L(Proposed)'!M36</f>
        <v>151.392</v>
      </c>
      <c r="L28" s="248">
        <f>'P&amp;L(Proposed)'!N36</f>
        <v>120.38399999999999</v>
      </c>
      <c r="M28" s="248">
        <f>'P&amp;L(Proposed)'!O36</f>
        <v>87.071999999999974</v>
      </c>
      <c r="N28" s="248">
        <f>'P&amp;L(Proposed)'!P36</f>
        <v>52.511999999999979</v>
      </c>
      <c r="O28" s="248">
        <f>'P&amp;L(Proposed)'!Q36</f>
        <v>39.599999999999966</v>
      </c>
    </row>
    <row r="29" spans="2:15" x14ac:dyDescent="0.25">
      <c r="B29" s="460" t="s">
        <v>763</v>
      </c>
      <c r="C29" s="461"/>
      <c r="D29" s="461"/>
      <c r="E29" s="442">
        <f t="shared" ref="E29:O29" si="5">SUM(E27:E28)</f>
        <v>88.909545156250005</v>
      </c>
      <c r="F29" s="442">
        <f t="shared" si="5"/>
        <v>1245.7831341487499</v>
      </c>
      <c r="G29" s="442">
        <f t="shared" si="5"/>
        <v>940.75297069500107</v>
      </c>
      <c r="H29" s="442">
        <f t="shared" si="5"/>
        <v>922.06646536379799</v>
      </c>
      <c r="I29" s="442">
        <f t="shared" si="5"/>
        <v>894.64771408911474</v>
      </c>
      <c r="J29" s="442">
        <f t="shared" si="5"/>
        <v>767.72121161252301</v>
      </c>
      <c r="K29" s="442">
        <f t="shared" si="5"/>
        <v>952.65563421701609</v>
      </c>
      <c r="L29" s="442">
        <f t="shared" si="5"/>
        <v>800.57261369319679</v>
      </c>
      <c r="M29" s="442">
        <f t="shared" si="5"/>
        <v>1009.8050478122033</v>
      </c>
      <c r="N29" s="442">
        <f t="shared" si="5"/>
        <v>1044.0692756459057</v>
      </c>
      <c r="O29" s="442">
        <f t="shared" si="5"/>
        <v>1083.7941822559487</v>
      </c>
    </row>
    <row r="30" spans="2:15" x14ac:dyDescent="0.25">
      <c r="B30" s="458"/>
      <c r="C30" s="462"/>
      <c r="D30" s="462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</row>
    <row r="31" spans="2:15" x14ac:dyDescent="0.25">
      <c r="B31" s="458" t="s">
        <v>764</v>
      </c>
      <c r="C31" s="459"/>
      <c r="D31" s="459"/>
      <c r="E31" s="248">
        <f>'BS(Proposed)'!E26</f>
        <v>112</v>
      </c>
      <c r="F31" s="248">
        <f>'BS(Proposed)'!F26</f>
        <v>216</v>
      </c>
      <c r="G31" s="248">
        <f>'BS(Proposed)'!G26</f>
        <v>240</v>
      </c>
      <c r="H31" s="248">
        <f>'BS(Proposed)'!H26</f>
        <v>264</v>
      </c>
      <c r="I31" s="248">
        <f>'BS(Proposed)'!I26</f>
        <v>288</v>
      </c>
      <c r="J31" s="248">
        <f>'BS(Proposed)'!J26</f>
        <v>312</v>
      </c>
      <c r="K31" s="248">
        <f>'BS(Proposed)'!K26</f>
        <v>336</v>
      </c>
      <c r="L31" s="248">
        <f>'BS(Proposed)'!L26</f>
        <v>360</v>
      </c>
      <c r="M31" s="248">
        <f>'BS(Proposed)'!M26</f>
        <v>360</v>
      </c>
      <c r="N31" s="248">
        <f>'BS(Proposed)'!N26</f>
        <v>352</v>
      </c>
      <c r="O31" s="248">
        <f>'BS(Proposed)'!O26</f>
        <v>0</v>
      </c>
    </row>
    <row r="32" spans="2:15" x14ac:dyDescent="0.25">
      <c r="B32" s="458" t="s">
        <v>762</v>
      </c>
      <c r="C32" s="459"/>
      <c r="D32" s="459"/>
      <c r="E32" s="248">
        <f t="shared" ref="E32:O32" si="6">E28</f>
        <v>22.720000000000002</v>
      </c>
      <c r="F32" s="248">
        <f t="shared" si="6"/>
        <v>269.95200000000006</v>
      </c>
      <c r="G32" s="248">
        <f t="shared" si="6"/>
        <v>252.38399999999996</v>
      </c>
      <c r="H32" s="248">
        <f t="shared" si="6"/>
        <v>230.59199999999998</v>
      </c>
      <c r="I32" s="248">
        <f t="shared" si="6"/>
        <v>206.49599999999998</v>
      </c>
      <c r="J32" s="248">
        <f t="shared" si="6"/>
        <v>180.09599999999998</v>
      </c>
      <c r="K32" s="248">
        <f t="shared" si="6"/>
        <v>151.392</v>
      </c>
      <c r="L32" s="248">
        <f t="shared" si="6"/>
        <v>120.38399999999999</v>
      </c>
      <c r="M32" s="248">
        <f t="shared" si="6"/>
        <v>87.071999999999974</v>
      </c>
      <c r="N32" s="248">
        <f t="shared" si="6"/>
        <v>52.511999999999979</v>
      </c>
      <c r="O32" s="248">
        <f t="shared" si="6"/>
        <v>39.599999999999966</v>
      </c>
    </row>
    <row r="33" spans="2:15" x14ac:dyDescent="0.25">
      <c r="B33" s="460" t="s">
        <v>765</v>
      </c>
      <c r="C33" s="463"/>
      <c r="D33" s="464"/>
      <c r="E33" s="349">
        <f>SUM(E31:E32)</f>
        <v>134.72</v>
      </c>
      <c r="F33" s="349">
        <f t="shared" ref="F33:O33" si="7">SUM(F31:F32)</f>
        <v>485.95200000000006</v>
      </c>
      <c r="G33" s="349">
        <f t="shared" si="7"/>
        <v>492.38399999999996</v>
      </c>
      <c r="H33" s="349">
        <f t="shared" si="7"/>
        <v>494.59199999999998</v>
      </c>
      <c r="I33" s="349">
        <f t="shared" si="7"/>
        <v>494.49599999999998</v>
      </c>
      <c r="J33" s="349">
        <f t="shared" si="7"/>
        <v>492.096</v>
      </c>
      <c r="K33" s="349">
        <f t="shared" si="7"/>
        <v>487.392</v>
      </c>
      <c r="L33" s="349">
        <f t="shared" si="7"/>
        <v>480.38400000000001</v>
      </c>
      <c r="M33" s="349">
        <f t="shared" si="7"/>
        <v>447.072</v>
      </c>
      <c r="N33" s="349">
        <f t="shared" si="7"/>
        <v>404.512</v>
      </c>
      <c r="O33" s="349">
        <f t="shared" si="7"/>
        <v>39.599999999999966</v>
      </c>
    </row>
    <row r="34" spans="2:15" x14ac:dyDescent="0.25">
      <c r="B34" s="458"/>
      <c r="C34" s="462"/>
      <c r="D34" s="462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</row>
    <row r="35" spans="2:15" x14ac:dyDescent="0.25">
      <c r="B35" s="460" t="s">
        <v>766</v>
      </c>
      <c r="C35" s="464"/>
      <c r="D35" s="464"/>
      <c r="E35" s="349">
        <f>E29/E33</f>
        <v>0.65995802520969427</v>
      </c>
      <c r="F35" s="349">
        <f t="shared" ref="F35:O35" si="8">F29/F33</f>
        <v>2.5635929765671297</v>
      </c>
      <c r="G35" s="349">
        <f t="shared" si="8"/>
        <v>1.9106083274334689</v>
      </c>
      <c r="H35" s="349">
        <f t="shared" si="8"/>
        <v>1.8642971689064887</v>
      </c>
      <c r="I35" s="349">
        <f t="shared" si="8"/>
        <v>1.8092112253468478</v>
      </c>
      <c r="J35" s="349">
        <f t="shared" si="8"/>
        <v>1.5601045560470377</v>
      </c>
      <c r="K35" s="349">
        <f t="shared" si="8"/>
        <v>1.954598422249475</v>
      </c>
      <c r="L35" s="349">
        <f t="shared" si="8"/>
        <v>1.6665263907482279</v>
      </c>
      <c r="M35" s="349">
        <f t="shared" si="8"/>
        <v>2.2587078766109334</v>
      </c>
      <c r="N35" s="349">
        <f t="shared" si="8"/>
        <v>2.5810588453393364</v>
      </c>
      <c r="O35" s="349">
        <f t="shared" si="8"/>
        <v>27.368539955958326</v>
      </c>
    </row>
    <row r="37" spans="2:15" x14ac:dyDescent="0.25">
      <c r="B37" s="232" t="s">
        <v>767</v>
      </c>
      <c r="C37" s="234"/>
      <c r="D37" s="234"/>
      <c r="E37" s="233">
        <f>SUM(F35:N35)/9</f>
        <v>2.0187450876943274</v>
      </c>
    </row>
    <row r="38" spans="2:15" x14ac:dyDescent="0.25">
      <c r="B38" s="232" t="s">
        <v>768</v>
      </c>
      <c r="C38" s="235"/>
      <c r="D38" s="235"/>
      <c r="E38" s="233">
        <f>J35</f>
        <v>1.5601045560470377</v>
      </c>
    </row>
    <row r="39" spans="2:15" x14ac:dyDescent="0.25">
      <c r="B39" s="232" t="s">
        <v>769</v>
      </c>
      <c r="C39" s="235"/>
      <c r="D39" s="235"/>
      <c r="E39" s="233">
        <f>N35</f>
        <v>2.5810588453393364</v>
      </c>
    </row>
    <row r="41" spans="2:15" x14ac:dyDescent="0.25">
      <c r="B41" s="216" t="s">
        <v>894</v>
      </c>
    </row>
    <row r="42" spans="2:15" x14ac:dyDescent="0.25">
      <c r="B42" s="517" t="s">
        <v>761</v>
      </c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</row>
    <row r="43" spans="2:15" x14ac:dyDescent="0.25"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</row>
    <row r="44" spans="2:15" x14ac:dyDescent="0.25">
      <c r="B44" s="457" t="s">
        <v>709</v>
      </c>
      <c r="C44" s="250">
        <f>'P&amp;L(Proposed)'!E42</f>
        <v>0</v>
      </c>
      <c r="D44" s="250">
        <f>'P&amp;L(Proposed)'!F42</f>
        <v>0</v>
      </c>
      <c r="E44" s="250" t="str">
        <f>E6</f>
        <v>2025-26</v>
      </c>
      <c r="F44" s="250" t="str">
        <f t="shared" ref="F44:O44" si="9">F6</f>
        <v>2026-27</v>
      </c>
      <c r="G44" s="250" t="str">
        <f t="shared" si="9"/>
        <v>2027-28</v>
      </c>
      <c r="H44" s="250" t="str">
        <f t="shared" si="9"/>
        <v>2028-29</v>
      </c>
      <c r="I44" s="250" t="str">
        <f t="shared" si="9"/>
        <v>2029-30</v>
      </c>
      <c r="J44" s="250" t="str">
        <f t="shared" si="9"/>
        <v>2030-31</v>
      </c>
      <c r="K44" s="250" t="str">
        <f t="shared" si="9"/>
        <v>2031-32</v>
      </c>
      <c r="L44" s="250" t="str">
        <f t="shared" si="9"/>
        <v>2032-33</v>
      </c>
      <c r="M44" s="250" t="str">
        <f t="shared" si="9"/>
        <v>2033-34</v>
      </c>
      <c r="N44" s="250" t="str">
        <f t="shared" si="9"/>
        <v>2034-35</v>
      </c>
      <c r="O44" s="250" t="str">
        <f t="shared" si="9"/>
        <v>2035-36</v>
      </c>
    </row>
    <row r="45" spans="2:15" x14ac:dyDescent="0.25"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</row>
    <row r="46" spans="2:15" x14ac:dyDescent="0.25">
      <c r="B46" s="458" t="s">
        <v>24</v>
      </c>
      <c r="C46" s="459"/>
      <c r="D46" s="459"/>
      <c r="E46" s="248">
        <v>58.557763929687496</v>
      </c>
      <c r="F46" s="248">
        <v>1046.928605483125</v>
      </c>
      <c r="G46" s="248">
        <v>746.32257409500039</v>
      </c>
      <c r="H46" s="248">
        <v>755.08572977562551</v>
      </c>
      <c r="I46" s="248">
        <v>756.33816207666143</v>
      </c>
      <c r="J46" s="248">
        <v>653.24565786759706</v>
      </c>
      <c r="K46" s="248">
        <v>885.036153600239</v>
      </c>
      <c r="L46" s="248">
        <v>759.04308679137432</v>
      </c>
      <c r="M46" s="248">
        <v>1020.8311331954858</v>
      </c>
      <c r="N46" s="248">
        <v>1096.8471354391511</v>
      </c>
      <c r="O46" s="248">
        <v>1156.4476098204464</v>
      </c>
    </row>
    <row r="47" spans="2:15" x14ac:dyDescent="0.25">
      <c r="B47" s="458" t="s">
        <v>762</v>
      </c>
      <c r="C47" s="459"/>
      <c r="D47" s="459"/>
      <c r="E47" s="248">
        <f>E32</f>
        <v>22.720000000000002</v>
      </c>
      <c r="F47" s="248">
        <f t="shared" ref="F47:O47" si="10">F32</f>
        <v>269.95200000000006</v>
      </c>
      <c r="G47" s="248">
        <f t="shared" si="10"/>
        <v>252.38399999999996</v>
      </c>
      <c r="H47" s="248">
        <f t="shared" si="10"/>
        <v>230.59199999999998</v>
      </c>
      <c r="I47" s="248">
        <f t="shared" si="10"/>
        <v>206.49599999999998</v>
      </c>
      <c r="J47" s="248">
        <f t="shared" si="10"/>
        <v>180.09599999999998</v>
      </c>
      <c r="K47" s="248">
        <f t="shared" si="10"/>
        <v>151.392</v>
      </c>
      <c r="L47" s="248">
        <f t="shared" si="10"/>
        <v>120.38399999999999</v>
      </c>
      <c r="M47" s="248">
        <f t="shared" si="10"/>
        <v>87.071999999999974</v>
      </c>
      <c r="N47" s="248">
        <f t="shared" si="10"/>
        <v>52.511999999999979</v>
      </c>
      <c r="O47" s="248">
        <f t="shared" si="10"/>
        <v>39.599999999999966</v>
      </c>
    </row>
    <row r="48" spans="2:15" x14ac:dyDescent="0.25">
      <c r="B48" s="460" t="s">
        <v>763</v>
      </c>
      <c r="C48" s="461"/>
      <c r="D48" s="461"/>
      <c r="E48" s="442">
        <f t="shared" ref="E48:O48" si="11">SUM(E46:E47)</f>
        <v>81.277763929687495</v>
      </c>
      <c r="F48" s="442">
        <f t="shared" si="11"/>
        <v>1316.880605483125</v>
      </c>
      <c r="G48" s="442">
        <f t="shared" si="11"/>
        <v>998.70657409500041</v>
      </c>
      <c r="H48" s="442">
        <f t="shared" si="11"/>
        <v>985.67772977562549</v>
      </c>
      <c r="I48" s="442">
        <f t="shared" si="11"/>
        <v>962.83416207666141</v>
      </c>
      <c r="J48" s="442">
        <f t="shared" si="11"/>
        <v>833.34165786759706</v>
      </c>
      <c r="K48" s="442">
        <f t="shared" si="11"/>
        <v>1036.4281536002391</v>
      </c>
      <c r="L48" s="442">
        <f t="shared" si="11"/>
        <v>879.42708679137434</v>
      </c>
      <c r="M48" s="442">
        <f t="shared" si="11"/>
        <v>1107.9031331954857</v>
      </c>
      <c r="N48" s="442">
        <f t="shared" si="11"/>
        <v>1149.359135439151</v>
      </c>
      <c r="O48" s="442">
        <f t="shared" si="11"/>
        <v>1196.0476098204463</v>
      </c>
    </row>
    <row r="49" spans="2:15" x14ac:dyDescent="0.25">
      <c r="B49" s="458"/>
      <c r="C49" s="462"/>
      <c r="D49" s="462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</row>
    <row r="50" spans="2:15" x14ac:dyDescent="0.25">
      <c r="B50" s="458" t="s">
        <v>764</v>
      </c>
      <c r="C50" s="459"/>
      <c r="D50" s="459"/>
      <c r="E50" s="248">
        <f>E31</f>
        <v>112</v>
      </c>
      <c r="F50" s="248">
        <f t="shared" ref="F50:O50" si="12">F31</f>
        <v>216</v>
      </c>
      <c r="G50" s="248">
        <f t="shared" si="12"/>
        <v>240</v>
      </c>
      <c r="H50" s="248">
        <f t="shared" si="12"/>
        <v>264</v>
      </c>
      <c r="I50" s="248">
        <f t="shared" si="12"/>
        <v>288</v>
      </c>
      <c r="J50" s="248">
        <f t="shared" si="12"/>
        <v>312</v>
      </c>
      <c r="K50" s="248">
        <f t="shared" si="12"/>
        <v>336</v>
      </c>
      <c r="L50" s="248">
        <f t="shared" si="12"/>
        <v>360</v>
      </c>
      <c r="M50" s="248">
        <f t="shared" si="12"/>
        <v>360</v>
      </c>
      <c r="N50" s="248">
        <f t="shared" si="12"/>
        <v>352</v>
      </c>
      <c r="O50" s="248">
        <f t="shared" si="12"/>
        <v>0</v>
      </c>
    </row>
    <row r="51" spans="2:15" x14ac:dyDescent="0.25">
      <c r="B51" s="458" t="s">
        <v>762</v>
      </c>
      <c r="C51" s="459"/>
      <c r="D51" s="459"/>
      <c r="E51" s="248">
        <f t="shared" ref="E51:O51" si="13">E47</f>
        <v>22.720000000000002</v>
      </c>
      <c r="F51" s="248">
        <f t="shared" si="13"/>
        <v>269.95200000000006</v>
      </c>
      <c r="G51" s="248">
        <f t="shared" si="13"/>
        <v>252.38399999999996</v>
      </c>
      <c r="H51" s="248">
        <f t="shared" si="13"/>
        <v>230.59199999999998</v>
      </c>
      <c r="I51" s="248">
        <f t="shared" si="13"/>
        <v>206.49599999999998</v>
      </c>
      <c r="J51" s="248">
        <f t="shared" si="13"/>
        <v>180.09599999999998</v>
      </c>
      <c r="K51" s="248">
        <f t="shared" si="13"/>
        <v>151.392</v>
      </c>
      <c r="L51" s="248">
        <f t="shared" si="13"/>
        <v>120.38399999999999</v>
      </c>
      <c r="M51" s="248">
        <f t="shared" si="13"/>
        <v>87.071999999999974</v>
      </c>
      <c r="N51" s="248">
        <f t="shared" si="13"/>
        <v>52.511999999999979</v>
      </c>
      <c r="O51" s="248">
        <f t="shared" si="13"/>
        <v>39.599999999999966</v>
      </c>
    </row>
    <row r="52" spans="2:15" x14ac:dyDescent="0.25">
      <c r="B52" s="460" t="s">
        <v>765</v>
      </c>
      <c r="C52" s="463"/>
      <c r="D52" s="464"/>
      <c r="E52" s="349">
        <f>SUM(E50:E51)</f>
        <v>134.72</v>
      </c>
      <c r="F52" s="349">
        <f t="shared" ref="F52:O52" si="14">SUM(F50:F51)</f>
        <v>485.95200000000006</v>
      </c>
      <c r="G52" s="349">
        <f t="shared" si="14"/>
        <v>492.38399999999996</v>
      </c>
      <c r="H52" s="349">
        <f t="shared" si="14"/>
        <v>494.59199999999998</v>
      </c>
      <c r="I52" s="349">
        <f t="shared" si="14"/>
        <v>494.49599999999998</v>
      </c>
      <c r="J52" s="349">
        <f t="shared" si="14"/>
        <v>492.096</v>
      </c>
      <c r="K52" s="349">
        <f t="shared" si="14"/>
        <v>487.392</v>
      </c>
      <c r="L52" s="349">
        <f t="shared" si="14"/>
        <v>480.38400000000001</v>
      </c>
      <c r="M52" s="349">
        <f t="shared" si="14"/>
        <v>447.072</v>
      </c>
      <c r="N52" s="349">
        <f t="shared" si="14"/>
        <v>404.512</v>
      </c>
      <c r="O52" s="349">
        <f t="shared" si="14"/>
        <v>39.599999999999966</v>
      </c>
    </row>
    <row r="53" spans="2:15" x14ac:dyDescent="0.25">
      <c r="B53" s="458"/>
      <c r="C53" s="462"/>
      <c r="D53" s="462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</row>
    <row r="54" spans="2:15" x14ac:dyDescent="0.25">
      <c r="B54" s="460" t="s">
        <v>766</v>
      </c>
      <c r="C54" s="464"/>
      <c r="D54" s="464"/>
      <c r="E54" s="349">
        <f>E48/E52</f>
        <v>0.60330881776787038</v>
      </c>
      <c r="F54" s="349">
        <f t="shared" ref="F54:O54" si="15">F48/F52</f>
        <v>2.7098985197779304</v>
      </c>
      <c r="G54" s="349">
        <f t="shared" si="15"/>
        <v>2.0283083408376399</v>
      </c>
      <c r="H54" s="349">
        <f t="shared" si="15"/>
        <v>1.9929107825755885</v>
      </c>
      <c r="I54" s="349">
        <f t="shared" si="15"/>
        <v>1.9471020232249836</v>
      </c>
      <c r="J54" s="349">
        <f t="shared" si="15"/>
        <v>1.6934534275173889</v>
      </c>
      <c r="K54" s="349">
        <f t="shared" si="15"/>
        <v>2.1264775654919226</v>
      </c>
      <c r="L54" s="349">
        <f t="shared" si="15"/>
        <v>1.8306752239695208</v>
      </c>
      <c r="M54" s="349">
        <f t="shared" si="15"/>
        <v>2.4781313372241733</v>
      </c>
      <c r="N54" s="349">
        <f t="shared" si="15"/>
        <v>2.8413474394805371</v>
      </c>
      <c r="O54" s="349">
        <f t="shared" si="15"/>
        <v>30.203222470213316</v>
      </c>
    </row>
    <row r="56" spans="2:15" x14ac:dyDescent="0.25">
      <c r="B56" s="232" t="s">
        <v>767</v>
      </c>
      <c r="C56" s="234"/>
      <c r="D56" s="234"/>
      <c r="E56" s="233">
        <f>SUM(F54:N54)/9</f>
        <v>2.1831449622332979</v>
      </c>
    </row>
    <row r="57" spans="2:15" x14ac:dyDescent="0.25">
      <c r="B57" s="232" t="s">
        <v>768</v>
      </c>
      <c r="C57" s="235"/>
      <c r="D57" s="235"/>
      <c r="E57" s="233">
        <f>J54</f>
        <v>1.6934534275173889</v>
      </c>
    </row>
    <row r="58" spans="2:15" x14ac:dyDescent="0.25">
      <c r="B58" s="232" t="s">
        <v>769</v>
      </c>
      <c r="C58" s="235"/>
      <c r="D58" s="235"/>
      <c r="E58" s="233">
        <f>N54</f>
        <v>2.8413474394805371</v>
      </c>
    </row>
    <row r="62" spans="2:15" ht="18" customHeight="1" x14ac:dyDescent="0.25">
      <c r="B62" s="219" t="s">
        <v>818</v>
      </c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</row>
    <row r="64" spans="2:15" x14ac:dyDescent="0.25">
      <c r="B64" s="356" t="s">
        <v>709</v>
      </c>
      <c r="C64" s="223">
        <f>'P&amp;L(Proposed)'!E25</f>
        <v>0</v>
      </c>
      <c r="D64" s="223">
        <f>'P&amp;L(Proposed)'!F25</f>
        <v>0</v>
      </c>
      <c r="E64" s="223" t="str">
        <f t="shared" ref="E64:O64" si="16">E6</f>
        <v>2025-26</v>
      </c>
      <c r="F64" s="223" t="str">
        <f t="shared" si="16"/>
        <v>2026-27</v>
      </c>
      <c r="G64" s="223" t="str">
        <f t="shared" si="16"/>
        <v>2027-28</v>
      </c>
      <c r="H64" s="223" t="str">
        <f t="shared" si="16"/>
        <v>2028-29</v>
      </c>
      <c r="I64" s="223" t="str">
        <f t="shared" si="16"/>
        <v>2029-30</v>
      </c>
      <c r="J64" s="223" t="str">
        <f t="shared" si="16"/>
        <v>2030-31</v>
      </c>
      <c r="K64" s="223" t="str">
        <f t="shared" si="16"/>
        <v>2031-32</v>
      </c>
      <c r="L64" s="223" t="str">
        <f t="shared" si="16"/>
        <v>2032-33</v>
      </c>
      <c r="M64" s="223" t="str">
        <f t="shared" si="16"/>
        <v>2033-34</v>
      </c>
      <c r="N64" s="223" t="str">
        <f t="shared" si="16"/>
        <v>2034-35</v>
      </c>
      <c r="O64" s="223" t="str">
        <f t="shared" si="16"/>
        <v>2035-36</v>
      </c>
    </row>
    <row r="65" spans="2:15" x14ac:dyDescent="0.25"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</row>
    <row r="66" spans="2:15" x14ac:dyDescent="0.25">
      <c r="B66" s="301" t="str">
        <f t="shared" ref="B66:O66" si="17">B8</f>
        <v>Cash Accruals</v>
      </c>
      <c r="C66" s="301">
        <f t="shared" si="17"/>
        <v>0</v>
      </c>
      <c r="D66" s="301">
        <f t="shared" si="17"/>
        <v>0</v>
      </c>
      <c r="E66" s="301">
        <f t="shared" si="17"/>
        <v>83.898531093750023</v>
      </c>
      <c r="F66" s="301">
        <f t="shared" si="17"/>
        <v>1246.9062028987501</v>
      </c>
      <c r="G66" s="301">
        <f t="shared" si="17"/>
        <v>989.56165819500097</v>
      </c>
      <c r="H66" s="301">
        <f t="shared" si="17"/>
        <v>1022.7864216137984</v>
      </c>
      <c r="I66" s="301">
        <f t="shared" si="17"/>
        <v>1049.5847540891154</v>
      </c>
      <c r="J66" s="301">
        <f t="shared" si="17"/>
        <v>979.18133186252317</v>
      </c>
      <c r="K66" s="301">
        <f t="shared" si="17"/>
        <v>1222.9450308670166</v>
      </c>
      <c r="L66" s="301">
        <f t="shared" si="17"/>
        <v>1131.9977025081967</v>
      </c>
      <c r="M66" s="301">
        <f t="shared" si="17"/>
        <v>1404.6724861337038</v>
      </c>
      <c r="N66" s="301">
        <f t="shared" si="17"/>
        <v>1503.6299865495564</v>
      </c>
      <c r="O66" s="301">
        <f t="shared" si="17"/>
        <v>1586.4033811249644</v>
      </c>
    </row>
    <row r="67" spans="2:15" x14ac:dyDescent="0.25">
      <c r="B67" s="216" t="str">
        <f t="shared" ref="B67:O67" si="18">B9</f>
        <v>Intt. on Term Loan</v>
      </c>
      <c r="C67" s="216">
        <f t="shared" si="18"/>
        <v>0</v>
      </c>
      <c r="D67" s="216">
        <f t="shared" si="18"/>
        <v>0</v>
      </c>
      <c r="E67" s="218">
        <f t="shared" si="18"/>
        <v>22.720000000000002</v>
      </c>
      <c r="F67" s="218">
        <f t="shared" si="18"/>
        <v>269.95200000000006</v>
      </c>
      <c r="G67" s="218">
        <f t="shared" si="18"/>
        <v>252.38399999999996</v>
      </c>
      <c r="H67" s="218">
        <f t="shared" si="18"/>
        <v>230.59199999999998</v>
      </c>
      <c r="I67" s="218">
        <f t="shared" si="18"/>
        <v>206.49599999999998</v>
      </c>
      <c r="J67" s="218">
        <f t="shared" si="18"/>
        <v>180.09599999999998</v>
      </c>
      <c r="K67" s="218">
        <f t="shared" si="18"/>
        <v>151.392</v>
      </c>
      <c r="L67" s="218">
        <f t="shared" si="18"/>
        <v>120.38399999999999</v>
      </c>
      <c r="M67" s="218">
        <f t="shared" si="18"/>
        <v>87.071999999999974</v>
      </c>
      <c r="N67" s="218">
        <f t="shared" si="18"/>
        <v>52.511999999999979</v>
      </c>
      <c r="O67" s="218">
        <f t="shared" si="18"/>
        <v>39.599999999999966</v>
      </c>
    </row>
    <row r="68" spans="2:15" x14ac:dyDescent="0.25">
      <c r="B68" s="216" t="str">
        <f>'P&amp;L(Proposed)'!C38</f>
        <v>Interest C.C. Limit</v>
      </c>
      <c r="E68" s="226">
        <f>'P&amp;L(Proposed)'!G38</f>
        <v>3.1999999999999997</v>
      </c>
      <c r="F68" s="226">
        <f>'P&amp;L(Proposed)'!H38</f>
        <v>38.4</v>
      </c>
      <c r="G68" s="226">
        <f>'P&amp;L(Proposed)'!I38</f>
        <v>38.4</v>
      </c>
      <c r="H68" s="226">
        <f>'P&amp;L(Proposed)'!J38</f>
        <v>38.4</v>
      </c>
      <c r="I68" s="226">
        <f>'P&amp;L(Proposed)'!K38</f>
        <v>38.4</v>
      </c>
      <c r="J68" s="226">
        <f>'P&amp;L(Proposed)'!L38</f>
        <v>38.4</v>
      </c>
      <c r="K68" s="226">
        <f>'P&amp;L(Proposed)'!M38</f>
        <v>38.4</v>
      </c>
      <c r="L68" s="226">
        <f>'P&amp;L(Proposed)'!N38</f>
        <v>38.4</v>
      </c>
      <c r="M68" s="226">
        <f>'P&amp;L(Proposed)'!O38</f>
        <v>38.4</v>
      </c>
      <c r="N68" s="226">
        <f>'P&amp;L(Proposed)'!P38</f>
        <v>38.4</v>
      </c>
      <c r="O68" s="226">
        <f>'P&amp;L(Proposed)'!Q38</f>
        <v>38.4</v>
      </c>
    </row>
    <row r="69" spans="2:15" x14ac:dyDescent="0.25">
      <c r="B69" s="228" t="s">
        <v>763</v>
      </c>
      <c r="C69" s="236"/>
      <c r="D69" s="236"/>
      <c r="E69" s="229">
        <f>SUM(E66:E68)</f>
        <v>109.81853109375002</v>
      </c>
      <c r="F69" s="229">
        <f t="shared" ref="F69:O69" si="19">SUM(F66:F68)</f>
        <v>1555.2582028987501</v>
      </c>
      <c r="G69" s="229">
        <f t="shared" si="19"/>
        <v>1280.3456581950011</v>
      </c>
      <c r="H69" s="229">
        <f t="shared" si="19"/>
        <v>1291.7784216137984</v>
      </c>
      <c r="I69" s="229">
        <f t="shared" si="19"/>
        <v>1294.4807540891156</v>
      </c>
      <c r="J69" s="229">
        <f t="shared" si="19"/>
        <v>1197.6773318625233</v>
      </c>
      <c r="K69" s="229">
        <f t="shared" si="19"/>
        <v>1412.7370308670168</v>
      </c>
      <c r="L69" s="229">
        <f t="shared" si="19"/>
        <v>1290.7817025081968</v>
      </c>
      <c r="M69" s="229">
        <f t="shared" si="19"/>
        <v>1530.1444861337038</v>
      </c>
      <c r="N69" s="229">
        <f t="shared" si="19"/>
        <v>1594.5419865495564</v>
      </c>
      <c r="O69" s="229">
        <f t="shared" si="19"/>
        <v>1664.4033811249644</v>
      </c>
    </row>
    <row r="71" spans="2:15" x14ac:dyDescent="0.25">
      <c r="B71" s="228" t="s">
        <v>640</v>
      </c>
      <c r="C71" s="236"/>
      <c r="D71" s="236"/>
      <c r="E71" s="229">
        <f>E67+E68</f>
        <v>25.92</v>
      </c>
      <c r="F71" s="229">
        <f t="shared" ref="F71:O71" si="20">F67+F68</f>
        <v>308.35200000000003</v>
      </c>
      <c r="G71" s="229">
        <f t="shared" si="20"/>
        <v>290.78399999999993</v>
      </c>
      <c r="H71" s="229">
        <f t="shared" si="20"/>
        <v>268.99199999999996</v>
      </c>
      <c r="I71" s="229">
        <f t="shared" si="20"/>
        <v>244.89599999999999</v>
      </c>
      <c r="J71" s="229">
        <f t="shared" si="20"/>
        <v>218.49599999999998</v>
      </c>
      <c r="K71" s="229">
        <f t="shared" si="20"/>
        <v>189.792</v>
      </c>
      <c r="L71" s="229">
        <f t="shared" si="20"/>
        <v>158.78399999999999</v>
      </c>
      <c r="M71" s="229">
        <f t="shared" si="20"/>
        <v>125.47199999999998</v>
      </c>
      <c r="N71" s="229">
        <f t="shared" si="20"/>
        <v>90.911999999999978</v>
      </c>
      <c r="O71" s="229">
        <f t="shared" si="20"/>
        <v>77.999999999999972</v>
      </c>
    </row>
    <row r="73" spans="2:15" x14ac:dyDescent="0.25">
      <c r="B73" s="228" t="s">
        <v>145</v>
      </c>
      <c r="C73" s="236"/>
      <c r="D73" s="236"/>
      <c r="E73" s="229">
        <f>E69/E71</f>
        <v>4.2368260452835651</v>
      </c>
      <c r="F73" s="229">
        <f t="shared" ref="F73:O73" si="21">F69/F71</f>
        <v>5.0437753051666601</v>
      </c>
      <c r="G73" s="229">
        <f t="shared" si="21"/>
        <v>4.4030815251011104</v>
      </c>
      <c r="H73" s="229">
        <f t="shared" si="21"/>
        <v>4.8022930853475145</v>
      </c>
      <c r="I73" s="229">
        <f t="shared" si="21"/>
        <v>5.2858386992401494</v>
      </c>
      <c r="J73" s="229">
        <f t="shared" si="21"/>
        <v>5.4814611336707459</v>
      </c>
      <c r="K73" s="229">
        <f t="shared" si="21"/>
        <v>7.4436068478493125</v>
      </c>
      <c r="L73" s="229">
        <f t="shared" si="21"/>
        <v>8.1291673122493258</v>
      </c>
      <c r="M73" s="229">
        <f t="shared" si="21"/>
        <v>12.195107164416795</v>
      </c>
      <c r="N73" s="229">
        <f t="shared" si="21"/>
        <v>17.539400591226205</v>
      </c>
      <c r="O73" s="229">
        <f t="shared" si="21"/>
        <v>21.3385048862175</v>
      </c>
    </row>
    <row r="75" spans="2:15" x14ac:dyDescent="0.25">
      <c r="B75" s="232" t="s">
        <v>767</v>
      </c>
      <c r="C75" s="234"/>
      <c r="D75" s="234"/>
      <c r="E75" s="233">
        <f>AVERAGE(E73:O73)</f>
        <v>8.7180965996153521</v>
      </c>
    </row>
    <row r="76" spans="2:15" x14ac:dyDescent="0.25">
      <c r="B76" s="232" t="s">
        <v>768</v>
      </c>
      <c r="C76" s="235"/>
      <c r="D76" s="235"/>
      <c r="E76" s="233">
        <f>MIN(E73:O73)</f>
        <v>4.2368260452835651</v>
      </c>
    </row>
    <row r="77" spans="2:15" x14ac:dyDescent="0.25">
      <c r="B77" s="232" t="s">
        <v>769</v>
      </c>
      <c r="C77" s="235"/>
      <c r="D77" s="235"/>
      <c r="E77" s="233">
        <f>MAX(E73:O73)</f>
        <v>21.3385048862175</v>
      </c>
    </row>
    <row r="80" spans="2:15" x14ac:dyDescent="0.25">
      <c r="B80" s="219" t="s">
        <v>140</v>
      </c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</row>
    <row r="82" spans="2:15" x14ac:dyDescent="0.25">
      <c r="B82" s="356" t="s">
        <v>709</v>
      </c>
      <c r="C82" s="223">
        <f>'P&amp;L(Proposed)'!E42</f>
        <v>0</v>
      </c>
      <c r="D82" s="223">
        <f>'P&amp;L(Proposed)'!F42</f>
        <v>0</v>
      </c>
      <c r="E82" s="223" t="str">
        <f>E64</f>
        <v>2025-26</v>
      </c>
      <c r="F82" s="223" t="str">
        <f t="shared" ref="F82:O82" si="22">F64</f>
        <v>2026-27</v>
      </c>
      <c r="G82" s="223" t="str">
        <f t="shared" si="22"/>
        <v>2027-28</v>
      </c>
      <c r="H82" s="223" t="str">
        <f t="shared" si="22"/>
        <v>2028-29</v>
      </c>
      <c r="I82" s="223" t="str">
        <f t="shared" si="22"/>
        <v>2029-30</v>
      </c>
      <c r="J82" s="223" t="str">
        <f t="shared" si="22"/>
        <v>2030-31</v>
      </c>
      <c r="K82" s="223" t="str">
        <f t="shared" si="22"/>
        <v>2031-32</v>
      </c>
      <c r="L82" s="223" t="str">
        <f t="shared" si="22"/>
        <v>2032-33</v>
      </c>
      <c r="M82" s="223" t="str">
        <f t="shared" si="22"/>
        <v>2033-34</v>
      </c>
      <c r="N82" s="223" t="str">
        <f t="shared" si="22"/>
        <v>2034-35</v>
      </c>
      <c r="O82" s="223" t="str">
        <f t="shared" si="22"/>
        <v>2035-36</v>
      </c>
    </row>
    <row r="84" spans="2:15" x14ac:dyDescent="0.25">
      <c r="B84" s="216" t="s">
        <v>143</v>
      </c>
      <c r="E84" s="225">
        <f>'BS(Proposed)'!E18</f>
        <v>2728</v>
      </c>
      <c r="F84" s="225">
        <f>'BS(Proposed)'!F18</f>
        <v>2512</v>
      </c>
      <c r="G84" s="225">
        <f>'BS(Proposed)'!G18</f>
        <v>2272</v>
      </c>
      <c r="H84" s="225">
        <f>'BS(Proposed)'!H18</f>
        <v>2008</v>
      </c>
      <c r="I84" s="225">
        <f>'BS(Proposed)'!I18</f>
        <v>1720</v>
      </c>
      <c r="J84" s="225">
        <f>'BS(Proposed)'!J18</f>
        <v>1407.9999999999998</v>
      </c>
      <c r="K84" s="225">
        <f>'BS(Proposed)'!K18</f>
        <v>1071.9999999999998</v>
      </c>
      <c r="L84" s="225">
        <f>'BS(Proposed)'!L18</f>
        <v>711.99999999999977</v>
      </c>
      <c r="M84" s="225">
        <f>'BS(Proposed)'!M18</f>
        <v>351.99999999999977</v>
      </c>
      <c r="N84" s="225">
        <f>'BS(Proposed)'!N18</f>
        <v>0</v>
      </c>
      <c r="O84" s="225">
        <f>'BS(Proposed)'!O18</f>
        <v>0</v>
      </c>
    </row>
    <row r="86" spans="2:15" x14ac:dyDescent="0.25">
      <c r="B86" s="216" t="s">
        <v>144</v>
      </c>
      <c r="E86" s="225">
        <f>'BS(Proposed)'!E31</f>
        <v>4088.9122500000003</v>
      </c>
      <c r="F86" s="225">
        <f>'BS(Proposed)'!F31</f>
        <v>3585.8787625000004</v>
      </c>
      <c r="G86" s="225">
        <f>'BS(Proposed)'!G31</f>
        <v>3149.7509631250005</v>
      </c>
      <c r="H86" s="225">
        <f>'BS(Proposed)'!H31</f>
        <v>2771.34793215625</v>
      </c>
      <c r="I86" s="225">
        <f>'BS(Proposed)'!I31</f>
        <v>2442.7803944828129</v>
      </c>
      <c r="J86" s="225">
        <f>'BS(Proposed)'!J31</f>
        <v>2157.2655222453909</v>
      </c>
      <c r="K86" s="225">
        <f>'BS(Proposed)'!K31</f>
        <v>1908.9686621500823</v>
      </c>
      <c r="L86" s="225">
        <f>'BS(Proposed)'!L31</f>
        <v>1692.86803424492</v>
      </c>
      <c r="M86" s="225">
        <f>'BS(Proposed)'!M31</f>
        <v>1504.6390333837969</v>
      </c>
      <c r="N86" s="225">
        <f>'BS(Proposed)'!N31</f>
        <v>1340.5552622242808</v>
      </c>
      <c r="O86" s="225">
        <f>'BS(Proposed)'!O31</f>
        <v>1197.403848353887</v>
      </c>
    </row>
    <row r="88" spans="2:15" x14ac:dyDescent="0.25">
      <c r="B88" s="216" t="s">
        <v>146</v>
      </c>
      <c r="E88" s="361">
        <f>E84/E86</f>
        <v>0.6671701012903859</v>
      </c>
      <c r="F88" s="361">
        <f t="shared" ref="F88:O88" si="23">F84/F86</f>
        <v>0.70052563579943383</v>
      </c>
      <c r="G88" s="361">
        <f t="shared" si="23"/>
        <v>0.72132686888548581</v>
      </c>
      <c r="H88" s="361">
        <f t="shared" si="23"/>
        <v>0.72455716465657694</v>
      </c>
      <c r="I88" s="361">
        <f t="shared" si="23"/>
        <v>0.70411568878018593</v>
      </c>
      <c r="J88" s="361">
        <f t="shared" si="23"/>
        <v>0.65267811749685878</v>
      </c>
      <c r="K88" s="361">
        <f t="shared" si="23"/>
        <v>0.56155976850484279</v>
      </c>
      <c r="L88" s="361">
        <f t="shared" si="23"/>
        <v>0.4205880113493769</v>
      </c>
      <c r="M88" s="361">
        <f t="shared" si="23"/>
        <v>0.23394315326805237</v>
      </c>
      <c r="N88" s="361">
        <f t="shared" si="23"/>
        <v>0</v>
      </c>
      <c r="O88" s="361">
        <f t="shared" si="23"/>
        <v>0</v>
      </c>
    </row>
    <row r="90" spans="2:15" x14ac:dyDescent="0.25">
      <c r="B90" s="232" t="s">
        <v>148</v>
      </c>
      <c r="C90" s="234"/>
      <c r="D90" s="234"/>
      <c r="E90" s="233">
        <f>AVERAGE(E88:O88)</f>
        <v>0.48967859182101814</v>
      </c>
    </row>
    <row r="93" spans="2:15" x14ac:dyDescent="0.25">
      <c r="B93" s="219" t="s">
        <v>149</v>
      </c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</row>
    <row r="95" spans="2:15" x14ac:dyDescent="0.25">
      <c r="B95" s="356" t="s">
        <v>709</v>
      </c>
      <c r="C95" s="223">
        <f>'P&amp;L(Proposed)'!E57</f>
        <v>0</v>
      </c>
      <c r="D95" s="223">
        <f>'P&amp;L(Proposed)'!F57</f>
        <v>0</v>
      </c>
      <c r="E95" s="223" t="str">
        <f>E82</f>
        <v>2025-26</v>
      </c>
      <c r="F95" s="223" t="str">
        <f t="shared" ref="F95:O95" si="24">F82</f>
        <v>2026-27</v>
      </c>
      <c r="G95" s="223" t="str">
        <f t="shared" si="24"/>
        <v>2027-28</v>
      </c>
      <c r="H95" s="223" t="str">
        <f t="shared" si="24"/>
        <v>2028-29</v>
      </c>
      <c r="I95" s="223" t="str">
        <f t="shared" si="24"/>
        <v>2029-30</v>
      </c>
      <c r="J95" s="223" t="str">
        <f t="shared" si="24"/>
        <v>2030-31</v>
      </c>
      <c r="K95" s="223" t="str">
        <f t="shared" si="24"/>
        <v>2031-32</v>
      </c>
      <c r="L95" s="223" t="str">
        <f t="shared" si="24"/>
        <v>2032-33</v>
      </c>
      <c r="M95" s="223" t="str">
        <f t="shared" si="24"/>
        <v>2033-34</v>
      </c>
      <c r="N95" s="223" t="str">
        <f t="shared" si="24"/>
        <v>2034-35</v>
      </c>
      <c r="O95" s="223" t="str">
        <f t="shared" si="24"/>
        <v>2035-36</v>
      </c>
    </row>
    <row r="97" spans="2:15" x14ac:dyDescent="0.25">
      <c r="B97" s="216" t="s">
        <v>153</v>
      </c>
      <c r="E97" s="225">
        <f>'BS(Proposed)'!E18</f>
        <v>2728</v>
      </c>
      <c r="F97" s="225">
        <f>'BS(Proposed)'!F18</f>
        <v>2512</v>
      </c>
      <c r="G97" s="225">
        <f>'BS(Proposed)'!G18</f>
        <v>2272</v>
      </c>
      <c r="H97" s="225">
        <f>'BS(Proposed)'!H18</f>
        <v>2008</v>
      </c>
      <c r="I97" s="225">
        <f>'BS(Proposed)'!I18</f>
        <v>1720</v>
      </c>
      <c r="J97" s="225">
        <f>'BS(Proposed)'!J18</f>
        <v>1407.9999999999998</v>
      </c>
      <c r="K97" s="225">
        <f>'BS(Proposed)'!K18</f>
        <v>1071.9999999999998</v>
      </c>
      <c r="L97" s="225">
        <f>'BS(Proposed)'!L18</f>
        <v>711.99999999999977</v>
      </c>
      <c r="M97" s="225">
        <f>'BS(Proposed)'!M18</f>
        <v>351.99999999999977</v>
      </c>
      <c r="N97" s="225">
        <f>'BS(Proposed)'!N18</f>
        <v>0</v>
      </c>
      <c r="O97" s="225">
        <f>'BS(Proposed)'!O18</f>
        <v>0</v>
      </c>
    </row>
    <row r="99" spans="2:15" x14ac:dyDescent="0.25">
      <c r="B99" s="216" t="s">
        <v>152</v>
      </c>
      <c r="E99" s="225">
        <f>'BS(Proposed)'!E14</f>
        <v>1167.4107810937503</v>
      </c>
      <c r="F99" s="225">
        <f>'BS(Proposed)'!F14</f>
        <v>2296.8627153987504</v>
      </c>
      <c r="G99" s="225">
        <f>'BS(Proposed)'!G14</f>
        <v>2206.4238588200014</v>
      </c>
      <c r="H99" s="225">
        <f>'BS(Proposed)'!H14</f>
        <v>2297.3733906450489</v>
      </c>
      <c r="I99" s="225">
        <f>'BS(Proposed)'!I14</f>
        <v>2474.0072164156782</v>
      </c>
      <c r="J99" s="225">
        <f>'BS(Proposed)'!J14</f>
        <v>2446.6564596251014</v>
      </c>
      <c r="K99" s="225">
        <f>'BS(Proposed)'!K14</f>
        <v>2727.6381707717082</v>
      </c>
      <c r="L99" s="225">
        <f>'BS(Proposed)'!L14</f>
        <v>2668.8870746030348</v>
      </c>
      <c r="M99" s="225">
        <f>'BS(Proposed)'!M14</f>
        <v>2969.433485272581</v>
      </c>
      <c r="N99" s="225">
        <f>'BS(Proposed)'!N14</f>
        <v>3192.5362153900405</v>
      </c>
      <c r="O99" s="225">
        <f>'BS(Proposed)'!O14</f>
        <v>3296.2419672545707</v>
      </c>
    </row>
    <row r="101" spans="2:15" x14ac:dyDescent="0.25">
      <c r="B101" s="216" t="s">
        <v>154</v>
      </c>
      <c r="E101" s="361">
        <f>E97/E99</f>
        <v>2.3367952773608356</v>
      </c>
      <c r="F101" s="361">
        <f t="shared" ref="F101:O101" si="25">F97/F99</f>
        <v>1.0936657133048984</v>
      </c>
      <c r="G101" s="361">
        <f t="shared" si="25"/>
        <v>1.0297205547872696</v>
      </c>
      <c r="H101" s="361">
        <f t="shared" si="25"/>
        <v>0.8740416373657921</v>
      </c>
      <c r="I101" s="361">
        <f t="shared" si="25"/>
        <v>0.69522836820659006</v>
      </c>
      <c r="J101" s="361">
        <f t="shared" si="25"/>
        <v>0.57547924003018636</v>
      </c>
      <c r="K101" s="361">
        <f t="shared" si="25"/>
        <v>0.39301400438193296</v>
      </c>
      <c r="L101" s="361">
        <f t="shared" si="25"/>
        <v>0.26677786661539488</v>
      </c>
      <c r="M101" s="361">
        <f t="shared" si="25"/>
        <v>0.11854112972922433</v>
      </c>
      <c r="N101" s="361">
        <f t="shared" si="25"/>
        <v>0</v>
      </c>
      <c r="O101" s="361">
        <f t="shared" si="25"/>
        <v>0</v>
      </c>
    </row>
    <row r="103" spans="2:15" x14ac:dyDescent="0.25">
      <c r="B103" s="232" t="s">
        <v>149</v>
      </c>
      <c r="C103" s="234"/>
      <c r="D103" s="234"/>
      <c r="E103" s="233">
        <f>AVERAGE(E101:O101)</f>
        <v>0.67120579925292045</v>
      </c>
    </row>
    <row r="106" spans="2:15" x14ac:dyDescent="0.25">
      <c r="B106" s="219" t="s">
        <v>102</v>
      </c>
      <c r="C106" s="217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</row>
    <row r="108" spans="2:15" x14ac:dyDescent="0.25">
      <c r="B108" s="356" t="s">
        <v>709</v>
      </c>
      <c r="C108" s="223">
        <f>'P&amp;L(Proposed)'!E70</f>
        <v>0.22844312875740788</v>
      </c>
      <c r="D108" s="223">
        <f>'P&amp;L(Proposed)'!F70</f>
        <v>0</v>
      </c>
      <c r="E108" s="223" t="str">
        <f>E95</f>
        <v>2025-26</v>
      </c>
      <c r="F108" s="223" t="str">
        <f t="shared" ref="F108:O108" si="26">F95</f>
        <v>2026-27</v>
      </c>
      <c r="G108" s="223" t="str">
        <f t="shared" si="26"/>
        <v>2027-28</v>
      </c>
      <c r="H108" s="223" t="str">
        <f t="shared" si="26"/>
        <v>2028-29</v>
      </c>
      <c r="I108" s="223" t="str">
        <f t="shared" si="26"/>
        <v>2029-30</v>
      </c>
      <c r="J108" s="223" t="str">
        <f t="shared" si="26"/>
        <v>2030-31</v>
      </c>
      <c r="K108" s="223" t="str">
        <f t="shared" si="26"/>
        <v>2031-32</v>
      </c>
      <c r="L108" s="223" t="str">
        <f t="shared" si="26"/>
        <v>2032-33</v>
      </c>
      <c r="M108" s="223" t="str">
        <f t="shared" si="26"/>
        <v>2033-34</v>
      </c>
      <c r="N108" s="223" t="str">
        <f t="shared" si="26"/>
        <v>2034-35</v>
      </c>
      <c r="O108" s="223" t="str">
        <f t="shared" si="26"/>
        <v>2035-36</v>
      </c>
    </row>
    <row r="110" spans="2:15" x14ac:dyDescent="0.25">
      <c r="B110" s="216" t="s">
        <v>158</v>
      </c>
      <c r="E110" s="225">
        <f>'BS(Proposed)'!E43</f>
        <v>390.20929915000005</v>
      </c>
      <c r="F110" s="225">
        <f>'BS(Proposed)'!F43</f>
        <v>2814.5440240834987</v>
      </c>
      <c r="G110" s="225">
        <f>'BS(Proposed)'!G43</f>
        <v>3024.5793867124989</v>
      </c>
      <c r="H110" s="225">
        <f>'BS(Proposed)'!H43</f>
        <v>3336.7846680280477</v>
      </c>
      <c r="I110" s="225">
        <f>'BS(Proposed)'!I43</f>
        <v>3661.0942298548662</v>
      </c>
      <c r="J110" s="225">
        <f>'BS(Proposed)'!J43</f>
        <v>3739.6302159764596</v>
      </c>
      <c r="K110" s="225">
        <f>'BS(Proposed)'!K43</f>
        <v>4082.2161197431251</v>
      </c>
      <c r="L110" s="225">
        <f>'BS(Proposed)'!L43</f>
        <v>3978.6298315023655</v>
      </c>
      <c r="M110" s="225">
        <f>'BS(Proposed)'!M43</f>
        <v>4102.6054986097843</v>
      </c>
      <c r="N110" s="225">
        <f>'BS(Proposed)'!N43</f>
        <v>4226.7138712495143</v>
      </c>
      <c r="O110" s="225">
        <f>'BS(Proposed)'!O43</f>
        <v>4318.4970678471827</v>
      </c>
    </row>
    <row r="112" spans="2:15" x14ac:dyDescent="0.25">
      <c r="B112" s="216" t="s">
        <v>159</v>
      </c>
      <c r="E112" s="225">
        <f>'BS(Proposed)'!E27</f>
        <v>608.70690259374999</v>
      </c>
      <c r="F112" s="225">
        <f>'BS(Proposed)'!F27</f>
        <v>1616.5552406249999</v>
      </c>
      <c r="G112" s="225">
        <f>'BS(Proposed)'!G27</f>
        <v>1745.9091562499998</v>
      </c>
      <c r="H112" s="225">
        <f>'BS(Proposed)'!H27</f>
        <v>1877.7630718749997</v>
      </c>
      <c r="I112" s="225">
        <f>'BS(Proposed)'!I27</f>
        <v>2009.8669875000001</v>
      </c>
      <c r="J112" s="225">
        <f>'BS(Proposed)'!J27</f>
        <v>2142.2409031250004</v>
      </c>
      <c r="K112" s="225">
        <f>'BS(Proposed)'!K27</f>
        <v>2291.5448187500006</v>
      </c>
      <c r="L112" s="225">
        <f>'BS(Proposed)'!L27</f>
        <v>2390.608734375</v>
      </c>
      <c r="M112" s="225">
        <f>'BS(Proposed)'!M27</f>
        <v>2385.8096380000006</v>
      </c>
      <c r="N112" s="225">
        <f>'BS(Proposed)'!N27</f>
        <v>2474.7352403750006</v>
      </c>
      <c r="O112" s="225">
        <f>'BS(Proposed)'!O27</f>
        <v>2319.6608427500005</v>
      </c>
    </row>
    <row r="114" spans="2:15" x14ac:dyDescent="0.25">
      <c r="B114" s="216" t="s">
        <v>160</v>
      </c>
      <c r="E114" s="361">
        <f>E110/E112</f>
        <v>0.64104628596667168</v>
      </c>
      <c r="F114" s="361">
        <f t="shared" ref="F114:O114" si="27">F110/F112</f>
        <v>1.7410750671256536</v>
      </c>
      <c r="G114" s="361">
        <f t="shared" si="27"/>
        <v>1.7323807346362321</v>
      </c>
      <c r="H114" s="361">
        <f t="shared" si="27"/>
        <v>1.7769998345404532</v>
      </c>
      <c r="I114" s="361">
        <f t="shared" si="27"/>
        <v>1.8215604577936608</v>
      </c>
      <c r="J114" s="361">
        <f t="shared" si="27"/>
        <v>1.7456627826129465</v>
      </c>
      <c r="K114" s="361">
        <f t="shared" si="27"/>
        <v>1.7814253888212868</v>
      </c>
      <c r="L114" s="361">
        <f t="shared" si="27"/>
        <v>1.664274782524183</v>
      </c>
      <c r="M114" s="361">
        <f t="shared" si="27"/>
        <v>1.7195862709520093</v>
      </c>
      <c r="N114" s="361">
        <f t="shared" si="27"/>
        <v>1.7079458853986471</v>
      </c>
      <c r="O114" s="361">
        <f t="shared" si="27"/>
        <v>1.8616933080301192</v>
      </c>
    </row>
    <row r="116" spans="2:15" x14ac:dyDescent="0.25">
      <c r="B116" s="232" t="s">
        <v>161</v>
      </c>
      <c r="C116" s="234"/>
      <c r="D116" s="234"/>
      <c r="E116" s="233">
        <f>AVERAGE(E114:O114)</f>
        <v>1.6539682544001693</v>
      </c>
    </row>
  </sheetData>
  <mergeCells count="3">
    <mergeCell ref="B4:O4"/>
    <mergeCell ref="B23:O23"/>
    <mergeCell ref="B42:O42"/>
  </mergeCells>
  <pageMargins left="0.7" right="0.7" top="0.75" bottom="0.75" header="0.3" footer="0.3"/>
  <pageSetup scale="6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06"/>
  <sheetViews>
    <sheetView workbookViewId="0">
      <selection activeCell="N16" sqref="N16"/>
    </sheetView>
  </sheetViews>
  <sheetFormatPr defaultColWidth="8.7109375" defaultRowHeight="12.75" x14ac:dyDescent="0.2"/>
  <cols>
    <col min="1" max="1" width="39.7109375" style="3" customWidth="1"/>
    <col min="2" max="2" width="8.7109375" style="4"/>
    <col min="3" max="4" width="8.28515625" style="4" bestFit="1" customWidth="1"/>
    <col min="5" max="15" width="9.85546875" style="4" bestFit="1" customWidth="1"/>
    <col min="16" max="16384" width="8.7109375" style="3"/>
  </cols>
  <sheetData>
    <row r="4" spans="1:14" ht="15.75" x14ac:dyDescent="0.25">
      <c r="A4" s="29" t="s">
        <v>130</v>
      </c>
      <c r="B4" s="34" t="s">
        <v>134</v>
      </c>
      <c r="C4" s="34"/>
      <c r="D4" s="51"/>
      <c r="E4" s="37"/>
      <c r="F4" s="37"/>
      <c r="G4" s="37"/>
      <c r="H4" s="37"/>
      <c r="I4" s="37"/>
      <c r="J4" s="37"/>
      <c r="K4" s="37"/>
    </row>
    <row r="5" spans="1:14" ht="15.75" x14ac:dyDescent="0.25">
      <c r="A5" s="30"/>
      <c r="B5" s="35" t="s">
        <v>133</v>
      </c>
      <c r="C5" s="35"/>
      <c r="D5" s="51"/>
      <c r="E5" s="37"/>
      <c r="F5" s="37"/>
      <c r="G5" s="37"/>
      <c r="H5" s="37"/>
      <c r="I5" s="37"/>
      <c r="J5" s="37"/>
      <c r="K5" s="37"/>
    </row>
    <row r="6" spans="1:14" ht="15.75" x14ac:dyDescent="0.25">
      <c r="D6" s="51"/>
      <c r="E6" s="37"/>
      <c r="F6" s="37"/>
      <c r="G6" s="37"/>
      <c r="H6" s="37"/>
      <c r="I6" s="37"/>
      <c r="J6" s="37"/>
      <c r="K6" s="37"/>
    </row>
    <row r="7" spans="1:14" ht="16.5" thickBot="1" x14ac:dyDescent="0.3">
      <c r="A7" s="31" t="s">
        <v>4</v>
      </c>
      <c r="B7" s="36" t="str">
        <f>'P&amp;L Existing'!D5</f>
        <v>2023-24</v>
      </c>
      <c r="C7" s="36" t="str">
        <f>'P&amp;L Existing'!E5</f>
        <v>2024-25</v>
      </c>
      <c r="D7" s="36" t="str">
        <f>'P&amp;L Existing'!F5</f>
        <v>2025-26</v>
      </c>
      <c r="E7" s="36" t="str">
        <f>'P&amp;L Existing'!G5</f>
        <v>2026-27</v>
      </c>
      <c r="F7" s="36" t="str">
        <f>'P&amp;L Existing'!H5</f>
        <v>2027-28</v>
      </c>
      <c r="G7" s="36" t="str">
        <f>'P&amp;L Existing'!I5</f>
        <v>2028-29</v>
      </c>
      <c r="H7" s="36" t="str">
        <f>'P&amp;L Existing'!J5</f>
        <v>2029-30</v>
      </c>
      <c r="I7" s="36" t="str">
        <f>'P&amp;L Existing'!K5</f>
        <v>2030-31</v>
      </c>
      <c r="J7" s="36" t="str">
        <f>'P&amp;L Existing'!L5</f>
        <v>2031-32</v>
      </c>
      <c r="K7" s="36" t="str">
        <f>'P&amp;L Existing'!M5</f>
        <v>2032-33</v>
      </c>
      <c r="L7" s="36" t="str">
        <f>'P&amp;L Existing'!N5</f>
        <v>2033-34</v>
      </c>
      <c r="M7" s="36" t="str">
        <f>'P&amp;L Existing'!O5</f>
        <v>2034-35</v>
      </c>
      <c r="N7" s="36" t="str">
        <f>'P&amp;L Existing'!P5</f>
        <v>2035-36</v>
      </c>
    </row>
    <row r="8" spans="1:14" ht="16.5" thickTop="1" x14ac:dyDescent="0.25">
      <c r="A8" s="30"/>
      <c r="B8" s="37"/>
      <c r="C8" s="37"/>
      <c r="D8" s="37"/>
      <c r="E8" s="37"/>
      <c r="F8" s="37"/>
      <c r="G8" s="37"/>
      <c r="H8" s="37"/>
      <c r="I8" s="37"/>
      <c r="J8" s="37"/>
    </row>
    <row r="9" spans="1:14" ht="15.75" x14ac:dyDescent="0.25">
      <c r="A9" s="30" t="s">
        <v>22</v>
      </c>
      <c r="B9" s="37">
        <f>'P&amp;L(Proposed)'!E45</f>
        <v>0</v>
      </c>
      <c r="C9" s="37">
        <f>'P&amp;L(Proposed)'!F45</f>
        <v>0</v>
      </c>
      <c r="D9" s="37">
        <f>'P&amp;L(Proposed)'!G45</f>
        <v>-185.57921890624999</v>
      </c>
      <c r="E9" s="37">
        <f>'P&amp;L(Proposed)'!H45</f>
        <v>743.87271539875019</v>
      </c>
      <c r="F9" s="37">
        <f>'P&amp;L(Proposed)'!I45</f>
        <v>553.43385882000098</v>
      </c>
      <c r="G9" s="37">
        <f>'P&amp;L(Proposed)'!J45</f>
        <v>644.38339064504839</v>
      </c>
      <c r="H9" s="37">
        <f>'P&amp;L(Proposed)'!K45</f>
        <v>721.01721641567792</v>
      </c>
      <c r="I9" s="37">
        <f>'P&amp;L(Proposed)'!L45</f>
        <v>693.66645962510131</v>
      </c>
      <c r="J9" s="37">
        <f>'P&amp;L(Proposed)'!M45</f>
        <v>974.64817077170801</v>
      </c>
      <c r="K9" s="37">
        <f>'P&amp;L(Proposed)'!N45</f>
        <v>915.89707460303441</v>
      </c>
      <c r="L9" s="37">
        <f>'P&amp;L(Proposed)'!O45</f>
        <v>1216.4434852725808</v>
      </c>
      <c r="M9" s="37">
        <f>'P&amp;L(Proposed)'!P45</f>
        <v>1339.5462153900403</v>
      </c>
      <c r="N9" s="37">
        <f>'P&amp;L(Proposed)'!Q45</f>
        <v>1443.2519672545704</v>
      </c>
    </row>
    <row r="10" spans="1:14" ht="15.75" x14ac:dyDescent="0.25">
      <c r="A10" s="30" t="s">
        <v>0</v>
      </c>
      <c r="B10" s="37">
        <f>'P&amp;L(Proposed)'!E47</f>
        <v>0</v>
      </c>
      <c r="C10" s="37">
        <f>'P&amp;L(Proposed)'!F47</f>
        <v>0</v>
      </c>
      <c r="D10" s="37">
        <f>'P&amp;L(Proposed)'!G47</f>
        <v>269.47775000000001</v>
      </c>
      <c r="E10" s="37">
        <f>'P&amp;L(Proposed)'!H47</f>
        <v>503.03348749999998</v>
      </c>
      <c r="F10" s="37">
        <f>'P&amp;L(Proposed)'!I47</f>
        <v>436.127799375</v>
      </c>
      <c r="G10" s="37">
        <f>'P&amp;L(Proposed)'!J47</f>
        <v>378.40303096875004</v>
      </c>
      <c r="H10" s="37">
        <f>'P&amp;L(Proposed)'!K47</f>
        <v>328.56753767343753</v>
      </c>
      <c r="I10" s="37">
        <f>'P&amp;L(Proposed)'!L47</f>
        <v>285.51487223742186</v>
      </c>
      <c r="J10" s="37">
        <f>'P&amp;L(Proposed)'!M47</f>
        <v>248.2968600953086</v>
      </c>
      <c r="K10" s="37">
        <f>'P&amp;L(Proposed)'!N47</f>
        <v>216.10062790516233</v>
      </c>
      <c r="L10" s="37">
        <f>'P&amp;L(Proposed)'!O47</f>
        <v>188.22900086112298</v>
      </c>
      <c r="M10" s="37">
        <f>'P&amp;L(Proposed)'!P47</f>
        <v>164.08377115951606</v>
      </c>
      <c r="N10" s="37">
        <f>'P&amp;L(Proposed)'!Q47</f>
        <v>143.15141387039398</v>
      </c>
    </row>
    <row r="11" spans="1:14" ht="15.75" x14ac:dyDescent="0.25">
      <c r="A11" s="30" t="s">
        <v>135</v>
      </c>
      <c r="B11" s="38">
        <f>'P&amp;L(Proposed)'!E36</f>
        <v>0</v>
      </c>
      <c r="C11" s="38">
        <f>'P&amp;L(Proposed)'!F36</f>
        <v>0</v>
      </c>
      <c r="D11" s="38">
        <f>'P&amp;L(Proposed)'!G36</f>
        <v>22.720000000000002</v>
      </c>
      <c r="E11" s="38">
        <f>'P&amp;L(Proposed)'!H36</f>
        <v>269.95200000000006</v>
      </c>
      <c r="F11" s="38">
        <f>'P&amp;L(Proposed)'!I36</f>
        <v>252.38399999999996</v>
      </c>
      <c r="G11" s="38">
        <f>'P&amp;L(Proposed)'!J36</f>
        <v>230.59199999999998</v>
      </c>
      <c r="H11" s="38">
        <f>'P&amp;L(Proposed)'!K36</f>
        <v>206.49599999999998</v>
      </c>
      <c r="I11" s="38">
        <f>'P&amp;L(Proposed)'!L36</f>
        <v>180.09599999999998</v>
      </c>
      <c r="J11" s="38">
        <f>'P&amp;L(Proposed)'!M36</f>
        <v>151.392</v>
      </c>
      <c r="K11" s="38">
        <f>'P&amp;L(Proposed)'!N36</f>
        <v>120.38399999999999</v>
      </c>
      <c r="L11" s="38">
        <f>'P&amp;L(Proposed)'!O36</f>
        <v>87.071999999999974</v>
      </c>
      <c r="M11" s="38">
        <f>'P&amp;L(Proposed)'!P36</f>
        <v>52.511999999999979</v>
      </c>
      <c r="N11" s="38">
        <f>'P&amp;L(Proposed)'!Q36</f>
        <v>39.599999999999966</v>
      </c>
    </row>
    <row r="12" spans="1:14" ht="15.75" x14ac:dyDescent="0.25">
      <c r="A12" s="406" t="s">
        <v>25</v>
      </c>
      <c r="B12" s="39">
        <f t="shared" ref="B12:N12" si="0">SUM(B9:B11)</f>
        <v>0</v>
      </c>
      <c r="C12" s="39">
        <f t="shared" si="0"/>
        <v>0</v>
      </c>
      <c r="D12" s="39">
        <f t="shared" si="0"/>
        <v>106.61853109375002</v>
      </c>
      <c r="E12" s="39">
        <f t="shared" si="0"/>
        <v>1516.8582028987501</v>
      </c>
      <c r="F12" s="39">
        <f t="shared" si="0"/>
        <v>1241.945658195001</v>
      </c>
      <c r="G12" s="39">
        <f t="shared" si="0"/>
        <v>1253.3784216137983</v>
      </c>
      <c r="H12" s="39">
        <f t="shared" si="0"/>
        <v>1256.0807540891155</v>
      </c>
      <c r="I12" s="39">
        <f t="shared" si="0"/>
        <v>1159.2773318625232</v>
      </c>
      <c r="J12" s="39">
        <f t="shared" si="0"/>
        <v>1374.3370308670167</v>
      </c>
      <c r="K12" s="39">
        <f t="shared" si="0"/>
        <v>1252.3817025081967</v>
      </c>
      <c r="L12" s="39">
        <f t="shared" si="0"/>
        <v>1491.7444861337037</v>
      </c>
      <c r="M12" s="39">
        <f t="shared" si="0"/>
        <v>1556.1419865495563</v>
      </c>
      <c r="N12" s="39">
        <f t="shared" si="0"/>
        <v>1626.0033811249643</v>
      </c>
    </row>
    <row r="13" spans="1:14" ht="15.75" x14ac:dyDescent="0.25">
      <c r="A13" s="30" t="s">
        <v>136</v>
      </c>
      <c r="B13" s="37">
        <f>'BS(Proposed)'!C26</f>
        <v>0</v>
      </c>
      <c r="C13" s="37">
        <f>'BS(Proposed)'!D26</f>
        <v>0</v>
      </c>
      <c r="D13" s="37">
        <f>'BS(Proposed)'!E26</f>
        <v>112</v>
      </c>
      <c r="E13" s="37">
        <f>'BS(Proposed)'!F26</f>
        <v>216</v>
      </c>
      <c r="F13" s="37">
        <f>'BS(Proposed)'!G26</f>
        <v>240</v>
      </c>
      <c r="G13" s="37">
        <f>'BS(Proposed)'!H26</f>
        <v>264</v>
      </c>
      <c r="H13" s="37">
        <f>'BS(Proposed)'!I26</f>
        <v>288</v>
      </c>
      <c r="I13" s="37">
        <f>'BS(Proposed)'!J26</f>
        <v>312</v>
      </c>
      <c r="J13" s="37">
        <f>'BS(Proposed)'!K26</f>
        <v>336</v>
      </c>
      <c r="K13" s="37">
        <f>'BS(Proposed)'!L26</f>
        <v>360</v>
      </c>
      <c r="L13" s="37">
        <f>'BS(Proposed)'!M26</f>
        <v>360</v>
      </c>
      <c r="M13" s="37">
        <f>'BS(Proposed)'!N26</f>
        <v>352</v>
      </c>
      <c r="N13" s="37">
        <f>'BS(Proposed)'!O26</f>
        <v>0</v>
      </c>
    </row>
    <row r="14" spans="1:14" ht="15.75" x14ac:dyDescent="0.25">
      <c r="A14" s="30" t="s">
        <v>135</v>
      </c>
      <c r="B14" s="38">
        <f>'P&amp;L(Proposed)'!E36</f>
        <v>0</v>
      </c>
      <c r="C14" s="38">
        <f>'P&amp;L(Proposed)'!F36</f>
        <v>0</v>
      </c>
      <c r="D14" s="38">
        <f>'P&amp;L(Proposed)'!G36</f>
        <v>22.720000000000002</v>
      </c>
      <c r="E14" s="38">
        <f>'P&amp;L(Proposed)'!H36</f>
        <v>269.95200000000006</v>
      </c>
      <c r="F14" s="38">
        <f>'P&amp;L(Proposed)'!I36</f>
        <v>252.38399999999996</v>
      </c>
      <c r="G14" s="38">
        <f>'P&amp;L(Proposed)'!J36</f>
        <v>230.59199999999998</v>
      </c>
      <c r="H14" s="38">
        <f>'P&amp;L(Proposed)'!K36</f>
        <v>206.49599999999998</v>
      </c>
      <c r="I14" s="38">
        <f>'P&amp;L(Proposed)'!L36</f>
        <v>180.09599999999998</v>
      </c>
      <c r="J14" s="38">
        <f>'P&amp;L(Proposed)'!M36</f>
        <v>151.392</v>
      </c>
      <c r="K14" s="38">
        <f>'P&amp;L(Proposed)'!N36</f>
        <v>120.38399999999999</v>
      </c>
      <c r="L14" s="38">
        <f>'P&amp;L(Proposed)'!O36</f>
        <v>87.071999999999974</v>
      </c>
      <c r="M14" s="38">
        <f>'P&amp;L(Proposed)'!P36</f>
        <v>52.511999999999979</v>
      </c>
      <c r="N14" s="38">
        <f>'P&amp;L(Proposed)'!Q36</f>
        <v>39.599999999999966</v>
      </c>
    </row>
    <row r="15" spans="1:14" ht="15.75" x14ac:dyDescent="0.25">
      <c r="A15" s="406" t="s">
        <v>26</v>
      </c>
      <c r="B15" s="39">
        <f t="shared" ref="B15:N15" si="1">B13+B14</f>
        <v>0</v>
      </c>
      <c r="C15" s="39">
        <f t="shared" si="1"/>
        <v>0</v>
      </c>
      <c r="D15" s="39">
        <f t="shared" si="1"/>
        <v>134.72</v>
      </c>
      <c r="E15" s="39">
        <f t="shared" si="1"/>
        <v>485.95200000000006</v>
      </c>
      <c r="F15" s="39">
        <f t="shared" si="1"/>
        <v>492.38399999999996</v>
      </c>
      <c r="G15" s="39">
        <f t="shared" si="1"/>
        <v>494.59199999999998</v>
      </c>
      <c r="H15" s="39">
        <f t="shared" si="1"/>
        <v>494.49599999999998</v>
      </c>
      <c r="I15" s="39">
        <f t="shared" si="1"/>
        <v>492.096</v>
      </c>
      <c r="J15" s="39">
        <f t="shared" si="1"/>
        <v>487.392</v>
      </c>
      <c r="K15" s="39">
        <f t="shared" si="1"/>
        <v>480.38400000000001</v>
      </c>
      <c r="L15" s="39">
        <f t="shared" si="1"/>
        <v>447.072</v>
      </c>
      <c r="M15" s="39">
        <f t="shared" si="1"/>
        <v>404.512</v>
      </c>
      <c r="N15" s="39">
        <f t="shared" si="1"/>
        <v>39.599999999999966</v>
      </c>
    </row>
    <row r="16" spans="1:14" ht="16.5" thickBot="1" x14ac:dyDescent="0.3">
      <c r="A16" s="31" t="s">
        <v>147</v>
      </c>
      <c r="B16" s="40" t="e">
        <f t="shared" ref="B16:N16" si="2">B12/B15</f>
        <v>#DIV/0!</v>
      </c>
      <c r="C16" s="40" t="e">
        <f t="shared" si="2"/>
        <v>#DIV/0!</v>
      </c>
      <c r="D16" s="40">
        <f t="shared" si="2"/>
        <v>0.79140833650348885</v>
      </c>
      <c r="E16" s="40">
        <f t="shared" si="2"/>
        <v>3.1214157013424164</v>
      </c>
      <c r="F16" s="40">
        <f t="shared" si="2"/>
        <v>2.5223111599787993</v>
      </c>
      <c r="G16" s="40">
        <f t="shared" si="2"/>
        <v>2.5341663868679607</v>
      </c>
      <c r="H16" s="40">
        <f t="shared" si="2"/>
        <v>2.5401231841897922</v>
      </c>
      <c r="I16" s="40">
        <f t="shared" si="2"/>
        <v>2.3557950722268077</v>
      </c>
      <c r="J16" s="40">
        <f t="shared" si="2"/>
        <v>2.8197775730151844</v>
      </c>
      <c r="K16" s="40">
        <f t="shared" si="2"/>
        <v>2.6070429125620267</v>
      </c>
      <c r="L16" s="40">
        <f t="shared" si="2"/>
        <v>3.3366985320791813</v>
      </c>
      <c r="M16" s="40">
        <f t="shared" si="2"/>
        <v>3.8469612435466845</v>
      </c>
      <c r="N16" s="40">
        <f t="shared" si="2"/>
        <v>41.06069144254964</v>
      </c>
    </row>
    <row r="17" spans="1:14" ht="16.5" thickTop="1" x14ac:dyDescent="0.25">
      <c r="A17" s="30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4" ht="15.75" x14ac:dyDescent="0.25">
      <c r="A18" s="24" t="s">
        <v>131</v>
      </c>
      <c r="B18" s="41">
        <f>SUM(D16:M16)/10</f>
        <v>2.6475700102312341</v>
      </c>
      <c r="C18" s="47"/>
      <c r="D18" s="37"/>
      <c r="E18" s="37"/>
      <c r="F18" s="52"/>
      <c r="G18" s="37"/>
      <c r="H18" s="37"/>
      <c r="I18" s="37"/>
      <c r="J18" s="37"/>
      <c r="K18" s="37"/>
    </row>
    <row r="19" spans="1:14" ht="15.75" x14ac:dyDescent="0.25">
      <c r="A19" s="30" t="s">
        <v>858</v>
      </c>
      <c r="B19" s="42">
        <v>1.2</v>
      </c>
      <c r="C19" s="48"/>
      <c r="D19" s="48"/>
      <c r="E19" s="48"/>
      <c r="F19" s="48"/>
      <c r="G19" s="43"/>
      <c r="H19" s="37"/>
      <c r="I19" s="37"/>
      <c r="J19" s="37"/>
      <c r="K19" s="37"/>
    </row>
    <row r="20" spans="1:14" ht="15.75" x14ac:dyDescent="0.25">
      <c r="A20" s="30"/>
      <c r="B20" s="43"/>
      <c r="C20" s="37"/>
      <c r="D20" s="37"/>
      <c r="E20" s="37"/>
      <c r="F20" s="37"/>
      <c r="G20" s="37"/>
      <c r="H20" s="37"/>
      <c r="I20" s="37"/>
      <c r="J20" s="37"/>
      <c r="K20" s="37"/>
    </row>
    <row r="21" spans="1:14" ht="15.75" x14ac:dyDescent="0.25">
      <c r="A21" s="29" t="s">
        <v>137</v>
      </c>
      <c r="B21" s="44" t="s">
        <v>29</v>
      </c>
      <c r="C21" s="49" t="s">
        <v>132</v>
      </c>
      <c r="D21" s="47"/>
      <c r="G21" s="37"/>
      <c r="H21" s="37"/>
      <c r="I21" s="37"/>
      <c r="J21" s="37"/>
      <c r="K21" s="37"/>
    </row>
    <row r="22" spans="1:14" ht="15.75" x14ac:dyDescent="0.25">
      <c r="A22" s="30"/>
      <c r="B22" s="45"/>
      <c r="C22" s="50" t="s">
        <v>138</v>
      </c>
      <c r="D22" s="37"/>
      <c r="G22" s="37"/>
      <c r="H22" s="37"/>
      <c r="I22" s="37"/>
      <c r="J22" s="37"/>
      <c r="K22" s="37"/>
    </row>
    <row r="23" spans="1:14" ht="16.5" thickBot="1" x14ac:dyDescent="0.3">
      <c r="A23" s="31" t="s">
        <v>4</v>
      </c>
      <c r="B23" s="36" t="str">
        <f t="shared" ref="B23:N23" si="3">B7</f>
        <v>2023-24</v>
      </c>
      <c r="C23" s="36" t="str">
        <f t="shared" si="3"/>
        <v>2024-25</v>
      </c>
      <c r="D23" s="36" t="str">
        <f t="shared" si="3"/>
        <v>2025-26</v>
      </c>
      <c r="E23" s="36" t="str">
        <f t="shared" si="3"/>
        <v>2026-27</v>
      </c>
      <c r="F23" s="36" t="str">
        <f t="shared" si="3"/>
        <v>2027-28</v>
      </c>
      <c r="G23" s="36" t="str">
        <f t="shared" si="3"/>
        <v>2028-29</v>
      </c>
      <c r="H23" s="36" t="str">
        <f t="shared" si="3"/>
        <v>2029-30</v>
      </c>
      <c r="I23" s="36" t="str">
        <f t="shared" si="3"/>
        <v>2030-31</v>
      </c>
      <c r="J23" s="36" t="str">
        <f t="shared" si="3"/>
        <v>2031-32</v>
      </c>
      <c r="K23" s="36" t="str">
        <f t="shared" si="3"/>
        <v>2032-33</v>
      </c>
      <c r="L23" s="36" t="str">
        <f t="shared" si="3"/>
        <v>2033-34</v>
      </c>
      <c r="M23" s="36" t="str">
        <f t="shared" si="3"/>
        <v>2034-35</v>
      </c>
      <c r="N23" s="36" t="str">
        <f t="shared" si="3"/>
        <v>2035-36</v>
      </c>
    </row>
    <row r="24" spans="1:14" ht="16.5" thickTop="1" x14ac:dyDescent="0.25">
      <c r="A24" s="30"/>
      <c r="B24" s="37"/>
      <c r="C24" s="37"/>
      <c r="D24" s="37"/>
      <c r="E24" s="37"/>
      <c r="F24" s="37"/>
      <c r="G24" s="37"/>
      <c r="H24" s="37"/>
      <c r="I24" s="37"/>
      <c r="J24" s="37"/>
    </row>
    <row r="25" spans="1:14" ht="15.75" x14ac:dyDescent="0.25">
      <c r="A25" s="30" t="s">
        <v>22</v>
      </c>
      <c r="B25" s="46">
        <f>B9</f>
        <v>0</v>
      </c>
      <c r="C25" s="46">
        <f t="shared" ref="C25:N25" si="4">C9</f>
        <v>0</v>
      </c>
      <c r="D25" s="46">
        <f t="shared" si="4"/>
        <v>-185.57921890624999</v>
      </c>
      <c r="E25" s="46">
        <f t="shared" si="4"/>
        <v>743.87271539875019</v>
      </c>
      <c r="F25" s="46">
        <f t="shared" si="4"/>
        <v>553.43385882000098</v>
      </c>
      <c r="G25" s="46">
        <f t="shared" si="4"/>
        <v>644.38339064504839</v>
      </c>
      <c r="H25" s="46">
        <f t="shared" si="4"/>
        <v>721.01721641567792</v>
      </c>
      <c r="I25" s="46">
        <f t="shared" si="4"/>
        <v>693.66645962510131</v>
      </c>
      <c r="J25" s="46">
        <f t="shared" si="4"/>
        <v>974.64817077170801</v>
      </c>
      <c r="K25" s="46">
        <f t="shared" si="4"/>
        <v>915.89707460303441</v>
      </c>
      <c r="L25" s="46">
        <f t="shared" si="4"/>
        <v>1216.4434852725808</v>
      </c>
      <c r="M25" s="46">
        <f t="shared" si="4"/>
        <v>1339.5462153900403</v>
      </c>
      <c r="N25" s="46">
        <f t="shared" si="4"/>
        <v>1443.2519672545704</v>
      </c>
    </row>
    <row r="26" spans="1:14" ht="15.75" x14ac:dyDescent="0.25">
      <c r="A26" s="30" t="s">
        <v>0</v>
      </c>
      <c r="B26" s="46">
        <f t="shared" ref="B26:B27" si="5">B10</f>
        <v>0</v>
      </c>
      <c r="C26" s="46">
        <f t="shared" ref="C26:N26" si="6">C10</f>
        <v>0</v>
      </c>
      <c r="D26" s="46">
        <f t="shared" si="6"/>
        <v>269.47775000000001</v>
      </c>
      <c r="E26" s="46">
        <f t="shared" si="6"/>
        <v>503.03348749999998</v>
      </c>
      <c r="F26" s="46">
        <f t="shared" si="6"/>
        <v>436.127799375</v>
      </c>
      <c r="G26" s="46">
        <f t="shared" si="6"/>
        <v>378.40303096875004</v>
      </c>
      <c r="H26" s="46">
        <f t="shared" si="6"/>
        <v>328.56753767343753</v>
      </c>
      <c r="I26" s="46">
        <f t="shared" si="6"/>
        <v>285.51487223742186</v>
      </c>
      <c r="J26" s="46">
        <f t="shared" si="6"/>
        <v>248.2968600953086</v>
      </c>
      <c r="K26" s="46">
        <f t="shared" si="6"/>
        <v>216.10062790516233</v>
      </c>
      <c r="L26" s="46">
        <f t="shared" si="6"/>
        <v>188.22900086112298</v>
      </c>
      <c r="M26" s="46">
        <f t="shared" si="6"/>
        <v>164.08377115951606</v>
      </c>
      <c r="N26" s="46">
        <f t="shared" si="6"/>
        <v>143.15141387039398</v>
      </c>
    </row>
    <row r="27" spans="1:14" ht="15.75" x14ac:dyDescent="0.25">
      <c r="A27" s="30" t="s">
        <v>135</v>
      </c>
      <c r="B27" s="46">
        <f t="shared" si="5"/>
        <v>0</v>
      </c>
      <c r="C27" s="46">
        <f t="shared" ref="C27:N27" si="7">C11</f>
        <v>0</v>
      </c>
      <c r="D27" s="46">
        <f t="shared" si="7"/>
        <v>22.720000000000002</v>
      </c>
      <c r="E27" s="46">
        <f t="shared" si="7"/>
        <v>269.95200000000006</v>
      </c>
      <c r="F27" s="46">
        <f t="shared" si="7"/>
        <v>252.38399999999996</v>
      </c>
      <c r="G27" s="46">
        <f t="shared" si="7"/>
        <v>230.59199999999998</v>
      </c>
      <c r="H27" s="46">
        <f t="shared" si="7"/>
        <v>206.49599999999998</v>
      </c>
      <c r="I27" s="46">
        <f t="shared" si="7"/>
        <v>180.09599999999998</v>
      </c>
      <c r="J27" s="46">
        <f t="shared" si="7"/>
        <v>151.392</v>
      </c>
      <c r="K27" s="46">
        <f t="shared" si="7"/>
        <v>120.38399999999999</v>
      </c>
      <c r="L27" s="46">
        <f t="shared" si="7"/>
        <v>87.071999999999974</v>
      </c>
      <c r="M27" s="46">
        <f t="shared" si="7"/>
        <v>52.511999999999979</v>
      </c>
      <c r="N27" s="46">
        <f t="shared" si="7"/>
        <v>39.599999999999966</v>
      </c>
    </row>
    <row r="28" spans="1:14" ht="15.75" x14ac:dyDescent="0.25">
      <c r="A28" s="30" t="s">
        <v>639</v>
      </c>
      <c r="B28" s="46">
        <f>'P&amp;L(Proposed)'!E38</f>
        <v>0</v>
      </c>
      <c r="C28" s="46">
        <f>'P&amp;L(Proposed)'!F38</f>
        <v>0</v>
      </c>
      <c r="D28" s="46">
        <f>'P&amp;L(Proposed)'!G38</f>
        <v>3.1999999999999997</v>
      </c>
      <c r="E28" s="46">
        <f>'P&amp;L(Proposed)'!H38</f>
        <v>38.4</v>
      </c>
      <c r="F28" s="46">
        <f>'P&amp;L(Proposed)'!I38</f>
        <v>38.4</v>
      </c>
      <c r="G28" s="46">
        <f>'P&amp;L(Proposed)'!J38</f>
        <v>38.4</v>
      </c>
      <c r="H28" s="46">
        <f>'P&amp;L(Proposed)'!K38</f>
        <v>38.4</v>
      </c>
      <c r="I28" s="46">
        <f>'P&amp;L(Proposed)'!L38</f>
        <v>38.4</v>
      </c>
      <c r="J28" s="46">
        <f>'P&amp;L(Proposed)'!M38</f>
        <v>38.4</v>
      </c>
      <c r="K28" s="46">
        <f>'P&amp;L(Proposed)'!N38</f>
        <v>38.4</v>
      </c>
      <c r="L28" s="46">
        <f>'P&amp;L(Proposed)'!O38</f>
        <v>38.4</v>
      </c>
      <c r="M28" s="46">
        <f>'P&amp;L(Proposed)'!P38</f>
        <v>38.4</v>
      </c>
      <c r="N28" s="46">
        <f>'P&amp;L(Proposed)'!Q38</f>
        <v>38.4</v>
      </c>
    </row>
    <row r="29" spans="1:14" ht="15.75" x14ac:dyDescent="0.25">
      <c r="A29" s="406" t="s">
        <v>25</v>
      </c>
      <c r="B29" s="212">
        <f t="shared" ref="B29:N29" si="8">SUM(B25:B28)</f>
        <v>0</v>
      </c>
      <c r="C29" s="212">
        <f t="shared" si="8"/>
        <v>0</v>
      </c>
      <c r="D29" s="212">
        <f t="shared" si="8"/>
        <v>109.81853109375002</v>
      </c>
      <c r="E29" s="212">
        <f t="shared" si="8"/>
        <v>1555.2582028987501</v>
      </c>
      <c r="F29" s="212">
        <f t="shared" si="8"/>
        <v>1280.3456581950011</v>
      </c>
      <c r="G29" s="212">
        <f t="shared" si="8"/>
        <v>1291.7784216137984</v>
      </c>
      <c r="H29" s="212">
        <f t="shared" si="8"/>
        <v>1294.4807540891156</v>
      </c>
      <c r="I29" s="212">
        <f t="shared" si="8"/>
        <v>1197.6773318625233</v>
      </c>
      <c r="J29" s="212">
        <f t="shared" si="8"/>
        <v>1412.7370308670168</v>
      </c>
      <c r="K29" s="212">
        <f t="shared" si="8"/>
        <v>1290.7817025081968</v>
      </c>
      <c r="L29" s="212">
        <f t="shared" si="8"/>
        <v>1530.1444861337038</v>
      </c>
      <c r="M29" s="212">
        <f t="shared" si="8"/>
        <v>1594.5419865495564</v>
      </c>
      <c r="N29" s="212">
        <f t="shared" si="8"/>
        <v>1664.4033811249644</v>
      </c>
    </row>
    <row r="30" spans="1:14" ht="15.75" x14ac:dyDescent="0.25">
      <c r="A30" s="30"/>
      <c r="B30" s="37"/>
      <c r="C30" s="37"/>
      <c r="D30" s="37"/>
      <c r="E30" s="37"/>
      <c r="F30" s="37"/>
      <c r="G30" s="37"/>
      <c r="H30" s="37"/>
      <c r="I30" s="37"/>
      <c r="J30" s="37"/>
    </row>
    <row r="31" spans="1:14" ht="15.75" x14ac:dyDescent="0.25">
      <c r="A31" s="30" t="s">
        <v>640</v>
      </c>
      <c r="B31" s="39">
        <f>'P&amp;L(Proposed)'!E39</f>
        <v>0</v>
      </c>
      <c r="C31" s="39">
        <f>'P&amp;L(Proposed)'!F39</f>
        <v>0</v>
      </c>
      <c r="D31" s="39">
        <f>'P&amp;L(Proposed)'!G39</f>
        <v>25.92</v>
      </c>
      <c r="E31" s="39">
        <f>'P&amp;L(Proposed)'!H39</f>
        <v>308.35200000000003</v>
      </c>
      <c r="F31" s="39">
        <f>'P&amp;L(Proposed)'!I39</f>
        <v>290.78399999999993</v>
      </c>
      <c r="G31" s="39">
        <f>'P&amp;L(Proposed)'!J39</f>
        <v>268.99199999999996</v>
      </c>
      <c r="H31" s="39">
        <f>'P&amp;L(Proposed)'!K39</f>
        <v>244.89599999999999</v>
      </c>
      <c r="I31" s="39">
        <f>'P&amp;L(Proposed)'!L39</f>
        <v>218.49599999999998</v>
      </c>
      <c r="J31" s="39">
        <f>'P&amp;L(Proposed)'!M39</f>
        <v>189.792</v>
      </c>
      <c r="K31" s="39">
        <f>'P&amp;L(Proposed)'!N39</f>
        <v>158.78399999999999</v>
      </c>
      <c r="L31" s="39">
        <f>'P&amp;L(Proposed)'!O39</f>
        <v>125.47199999999998</v>
      </c>
      <c r="M31" s="39">
        <f>'P&amp;L(Proposed)'!P39</f>
        <v>90.911999999999978</v>
      </c>
      <c r="N31" s="39">
        <f>'P&amp;L(Proposed)'!Q39</f>
        <v>77.999999999999972</v>
      </c>
    </row>
    <row r="32" spans="1:14" ht="15.75" x14ac:dyDescent="0.25">
      <c r="A32" s="30"/>
      <c r="B32" s="37"/>
      <c r="C32" s="37"/>
      <c r="D32" s="37"/>
      <c r="E32" s="37"/>
      <c r="F32" s="37"/>
      <c r="G32" s="37"/>
      <c r="H32" s="37"/>
      <c r="I32" s="37"/>
      <c r="J32" s="37"/>
    </row>
    <row r="33" spans="1:14" ht="16.5" thickBot="1" x14ac:dyDescent="0.3">
      <c r="A33" s="33" t="s">
        <v>145</v>
      </c>
      <c r="B33" s="36" t="e">
        <f t="shared" ref="B33:N33" si="9">B29/B31</f>
        <v>#DIV/0!</v>
      </c>
      <c r="C33" s="36" t="e">
        <f t="shared" si="9"/>
        <v>#DIV/0!</v>
      </c>
      <c r="D33" s="36">
        <f t="shared" si="9"/>
        <v>4.2368260452835651</v>
      </c>
      <c r="E33" s="36">
        <f t="shared" si="9"/>
        <v>5.0437753051666601</v>
      </c>
      <c r="F33" s="36">
        <f t="shared" si="9"/>
        <v>4.4030815251011104</v>
      </c>
      <c r="G33" s="36">
        <f t="shared" si="9"/>
        <v>4.8022930853475145</v>
      </c>
      <c r="H33" s="36">
        <f t="shared" si="9"/>
        <v>5.2858386992401494</v>
      </c>
      <c r="I33" s="36">
        <f t="shared" si="9"/>
        <v>5.4814611336707459</v>
      </c>
      <c r="J33" s="36">
        <f t="shared" si="9"/>
        <v>7.4436068478493125</v>
      </c>
      <c r="K33" s="36">
        <f t="shared" si="9"/>
        <v>8.1291673122493258</v>
      </c>
      <c r="L33" s="36">
        <f t="shared" si="9"/>
        <v>12.195107164416795</v>
      </c>
      <c r="M33" s="36">
        <f t="shared" si="9"/>
        <v>17.539400591226205</v>
      </c>
      <c r="N33" s="36">
        <f t="shared" si="9"/>
        <v>21.3385048862175</v>
      </c>
    </row>
    <row r="34" spans="1:14" ht="16.5" thickTop="1" x14ac:dyDescent="0.25">
      <c r="A34" s="30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4" ht="15.75" x14ac:dyDescent="0.25">
      <c r="A35" s="32" t="s">
        <v>139</v>
      </c>
      <c r="B35" s="39">
        <f>SUM(D33:N33)/11</f>
        <v>8.7180965996153521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4" ht="15.75" x14ac:dyDescent="0.25">
      <c r="A36" s="30" t="s">
        <v>858</v>
      </c>
      <c r="B36" s="37">
        <v>1.7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4" ht="15.75" x14ac:dyDescent="0.25">
      <c r="A37" s="32" t="s">
        <v>140</v>
      </c>
      <c r="B37" s="44" t="s">
        <v>29</v>
      </c>
      <c r="C37" s="49" t="s">
        <v>141</v>
      </c>
      <c r="D37" s="47"/>
      <c r="F37" s="37"/>
      <c r="G37" s="37"/>
      <c r="H37" s="37"/>
      <c r="I37" s="37"/>
      <c r="J37" s="37"/>
      <c r="K37" s="37"/>
    </row>
    <row r="38" spans="1:14" ht="15.75" x14ac:dyDescent="0.25">
      <c r="A38" s="30"/>
      <c r="B38" s="45"/>
      <c r="C38" s="50" t="s">
        <v>142</v>
      </c>
      <c r="D38" s="37"/>
      <c r="F38" s="37"/>
      <c r="G38" s="37"/>
      <c r="H38" s="37"/>
      <c r="I38" s="37"/>
      <c r="J38" s="37"/>
      <c r="K38" s="37"/>
    </row>
    <row r="39" spans="1:14" ht="15.75" x14ac:dyDescent="0.25">
      <c r="A39" s="30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4" ht="16.5" thickBot="1" x14ac:dyDescent="0.3">
      <c r="A40" s="31" t="s">
        <v>4</v>
      </c>
      <c r="B40" s="36" t="str">
        <f t="shared" ref="B40:N40" si="10">B23</f>
        <v>2023-24</v>
      </c>
      <c r="C40" s="36" t="str">
        <f t="shared" si="10"/>
        <v>2024-25</v>
      </c>
      <c r="D40" s="36" t="str">
        <f t="shared" si="10"/>
        <v>2025-26</v>
      </c>
      <c r="E40" s="36" t="str">
        <f t="shared" si="10"/>
        <v>2026-27</v>
      </c>
      <c r="F40" s="36" t="str">
        <f t="shared" si="10"/>
        <v>2027-28</v>
      </c>
      <c r="G40" s="36" t="str">
        <f t="shared" si="10"/>
        <v>2028-29</v>
      </c>
      <c r="H40" s="36" t="str">
        <f t="shared" si="10"/>
        <v>2029-30</v>
      </c>
      <c r="I40" s="36" t="str">
        <f t="shared" si="10"/>
        <v>2030-31</v>
      </c>
      <c r="J40" s="36" t="str">
        <f t="shared" si="10"/>
        <v>2031-32</v>
      </c>
      <c r="K40" s="36" t="str">
        <f t="shared" si="10"/>
        <v>2032-33</v>
      </c>
      <c r="L40" s="36" t="str">
        <f t="shared" si="10"/>
        <v>2033-34</v>
      </c>
      <c r="M40" s="36" t="str">
        <f t="shared" si="10"/>
        <v>2034-35</v>
      </c>
      <c r="N40" s="36" t="str">
        <f t="shared" si="10"/>
        <v>2035-36</v>
      </c>
    </row>
    <row r="41" spans="1:14" ht="16.5" thickTop="1" x14ac:dyDescent="0.25">
      <c r="A41" s="30"/>
      <c r="B41" s="37"/>
      <c r="C41" s="37"/>
      <c r="D41" s="37"/>
      <c r="E41" s="37"/>
      <c r="F41" s="37"/>
      <c r="G41" s="37"/>
      <c r="H41" s="37"/>
      <c r="I41" s="37"/>
      <c r="J41" s="37"/>
    </row>
    <row r="42" spans="1:14" ht="15.75" x14ac:dyDescent="0.25">
      <c r="A42" s="30" t="s">
        <v>143</v>
      </c>
      <c r="B42" s="37">
        <f>'BS(Proposed)'!C18</f>
        <v>600</v>
      </c>
      <c r="C42" s="37">
        <f>'BS(Proposed)'!D18</f>
        <v>2290</v>
      </c>
      <c r="D42" s="37">
        <f>'BS(Proposed)'!E18</f>
        <v>2728</v>
      </c>
      <c r="E42" s="37">
        <f>'BS(Proposed)'!F18</f>
        <v>2512</v>
      </c>
      <c r="F42" s="37">
        <f>'BS(Proposed)'!G18</f>
        <v>2272</v>
      </c>
      <c r="G42" s="37">
        <f>'BS(Proposed)'!H18</f>
        <v>2008</v>
      </c>
      <c r="H42" s="37">
        <f>'BS(Proposed)'!I18</f>
        <v>1720</v>
      </c>
      <c r="I42" s="37">
        <f>'BS(Proposed)'!J18</f>
        <v>1407.9999999999998</v>
      </c>
      <c r="J42" s="37">
        <f>'BS(Proposed)'!K18</f>
        <v>1071.9999999999998</v>
      </c>
      <c r="K42" s="37">
        <f>'BS(Proposed)'!L18</f>
        <v>711.99999999999977</v>
      </c>
      <c r="L42" s="37">
        <f>'BS(Proposed)'!M18</f>
        <v>351.99999999999977</v>
      </c>
      <c r="M42" s="37">
        <f>'BS(Proposed)'!N18</f>
        <v>0</v>
      </c>
      <c r="N42" s="37">
        <f>'BS(Proposed)'!O18</f>
        <v>0</v>
      </c>
    </row>
    <row r="43" spans="1:14" ht="15.75" x14ac:dyDescent="0.25">
      <c r="A43" s="3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ht="15.75" x14ac:dyDescent="0.25">
      <c r="A44" s="30" t="s">
        <v>144</v>
      </c>
      <c r="B44" s="37">
        <f>'BS(Proposed)'!C31</f>
        <v>945.2</v>
      </c>
      <c r="C44" s="37">
        <f>'BS(Proposed)'!D31</f>
        <v>3381.9399999999996</v>
      </c>
      <c r="D44" s="37">
        <f>'BS(Proposed)'!E31</f>
        <v>4088.9122500000003</v>
      </c>
      <c r="E44" s="37">
        <f>'BS(Proposed)'!F31</f>
        <v>3585.8787625000004</v>
      </c>
      <c r="F44" s="37">
        <f>'BS(Proposed)'!G31</f>
        <v>3149.7509631250005</v>
      </c>
      <c r="G44" s="37">
        <f>'BS(Proposed)'!H31</f>
        <v>2771.34793215625</v>
      </c>
      <c r="H44" s="37">
        <f>'BS(Proposed)'!I31</f>
        <v>2442.7803944828129</v>
      </c>
      <c r="I44" s="37">
        <f>'BS(Proposed)'!J31</f>
        <v>2157.2655222453909</v>
      </c>
      <c r="J44" s="37">
        <f>'BS(Proposed)'!K31</f>
        <v>1908.9686621500823</v>
      </c>
      <c r="K44" s="37">
        <f>'BS(Proposed)'!L31</f>
        <v>1692.86803424492</v>
      </c>
      <c r="L44" s="37">
        <f>'BS(Proposed)'!M31</f>
        <v>1504.6390333837969</v>
      </c>
      <c r="M44" s="37">
        <f>'BS(Proposed)'!N31</f>
        <v>1340.5552622242808</v>
      </c>
      <c r="N44" s="37">
        <f>'BS(Proposed)'!O31</f>
        <v>1197.403848353887</v>
      </c>
    </row>
    <row r="45" spans="1:14" ht="15.75" x14ac:dyDescent="0.25">
      <c r="A45" s="30"/>
      <c r="B45" s="37"/>
      <c r="C45" s="37"/>
      <c r="D45" s="37"/>
      <c r="E45" s="37"/>
      <c r="F45" s="37"/>
      <c r="G45" s="37"/>
      <c r="H45" s="37"/>
      <c r="I45" s="37"/>
      <c r="J45" s="37"/>
    </row>
    <row r="46" spans="1:14" ht="16.5" thickBot="1" x14ac:dyDescent="0.3">
      <c r="A46" s="53" t="s">
        <v>146</v>
      </c>
      <c r="B46" s="36">
        <f t="shared" ref="B46:N46" si="11">B42/B44</f>
        <v>0.63478628861616582</v>
      </c>
      <c r="C46" s="36">
        <f t="shared" si="11"/>
        <v>0.67712614653128089</v>
      </c>
      <c r="D46" s="36">
        <f t="shared" si="11"/>
        <v>0.6671701012903859</v>
      </c>
      <c r="E46" s="36">
        <f t="shared" si="11"/>
        <v>0.70052563579943383</v>
      </c>
      <c r="F46" s="36">
        <f t="shared" si="11"/>
        <v>0.72132686888548581</v>
      </c>
      <c r="G46" s="36">
        <f t="shared" si="11"/>
        <v>0.72455716465657694</v>
      </c>
      <c r="H46" s="36">
        <f t="shared" si="11"/>
        <v>0.70411568878018593</v>
      </c>
      <c r="I46" s="36">
        <f t="shared" si="11"/>
        <v>0.65267811749685878</v>
      </c>
      <c r="J46" s="36">
        <f t="shared" si="11"/>
        <v>0.56155976850484279</v>
      </c>
      <c r="K46" s="36">
        <f t="shared" si="11"/>
        <v>0.4205880113493769</v>
      </c>
      <c r="L46" s="36">
        <f t="shared" si="11"/>
        <v>0.23394315326805237</v>
      </c>
      <c r="M46" s="36">
        <f t="shared" si="11"/>
        <v>0</v>
      </c>
      <c r="N46" s="36">
        <f t="shared" si="11"/>
        <v>0</v>
      </c>
    </row>
    <row r="47" spans="1:14" ht="16.5" thickTop="1" x14ac:dyDescent="0.25">
      <c r="A47" s="30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4" ht="15.75" x14ac:dyDescent="0.25">
      <c r="A48" s="32" t="s">
        <v>148</v>
      </c>
      <c r="B48" s="39">
        <f>SUM(B46:N46)/13</f>
        <v>0.51525976501374204</v>
      </c>
      <c r="C48" s="37"/>
      <c r="D48" s="37"/>
      <c r="E48" s="37"/>
      <c r="F48" s="37"/>
      <c r="G48" s="37"/>
      <c r="H48" s="37"/>
      <c r="I48" s="37"/>
      <c r="J48" s="37"/>
      <c r="K48" s="37"/>
    </row>
    <row r="49" spans="1:14" ht="15.75" x14ac:dyDescent="0.25">
      <c r="A49" s="30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4" ht="15.75" x14ac:dyDescent="0.25">
      <c r="A50" s="30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4" ht="15.75" x14ac:dyDescent="0.25">
      <c r="A51" s="30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4" ht="15.75" x14ac:dyDescent="0.25">
      <c r="A52" s="30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4" ht="15.75" x14ac:dyDescent="0.25">
      <c r="A53" s="32" t="s">
        <v>149</v>
      </c>
      <c r="B53" s="44" t="s">
        <v>29</v>
      </c>
      <c r="C53" s="49" t="s">
        <v>150</v>
      </c>
      <c r="D53" s="47"/>
      <c r="F53" s="37"/>
      <c r="G53" s="37"/>
      <c r="H53" s="37"/>
      <c r="I53" s="37"/>
      <c r="J53" s="37"/>
      <c r="K53" s="37"/>
    </row>
    <row r="54" spans="1:14" ht="15.75" x14ac:dyDescent="0.25">
      <c r="A54" s="30"/>
      <c r="B54" s="45"/>
      <c r="C54" s="50" t="s">
        <v>151</v>
      </c>
      <c r="D54" s="37"/>
      <c r="F54" s="37"/>
      <c r="G54" s="37"/>
      <c r="H54" s="37"/>
      <c r="I54" s="37"/>
      <c r="J54" s="37"/>
      <c r="K54" s="37"/>
    </row>
    <row r="55" spans="1:14" ht="16.5" thickBot="1" x14ac:dyDescent="0.3">
      <c r="A55" s="31" t="s">
        <v>4</v>
      </c>
      <c r="B55" s="36" t="str">
        <f t="shared" ref="B55:N55" si="12">B40</f>
        <v>2023-24</v>
      </c>
      <c r="C55" s="36" t="str">
        <f t="shared" si="12"/>
        <v>2024-25</v>
      </c>
      <c r="D55" s="36" t="str">
        <f t="shared" si="12"/>
        <v>2025-26</v>
      </c>
      <c r="E55" s="36" t="str">
        <f t="shared" si="12"/>
        <v>2026-27</v>
      </c>
      <c r="F55" s="36" t="str">
        <f t="shared" si="12"/>
        <v>2027-28</v>
      </c>
      <c r="G55" s="36" t="str">
        <f t="shared" si="12"/>
        <v>2028-29</v>
      </c>
      <c r="H55" s="36" t="str">
        <f t="shared" si="12"/>
        <v>2029-30</v>
      </c>
      <c r="I55" s="36" t="str">
        <f t="shared" si="12"/>
        <v>2030-31</v>
      </c>
      <c r="J55" s="36" t="str">
        <f t="shared" si="12"/>
        <v>2031-32</v>
      </c>
      <c r="K55" s="36" t="str">
        <f t="shared" si="12"/>
        <v>2032-33</v>
      </c>
      <c r="L55" s="36" t="str">
        <f t="shared" si="12"/>
        <v>2033-34</v>
      </c>
      <c r="M55" s="36" t="str">
        <f t="shared" si="12"/>
        <v>2034-35</v>
      </c>
      <c r="N55" s="36" t="str">
        <f t="shared" si="12"/>
        <v>2035-36</v>
      </c>
    </row>
    <row r="56" spans="1:14" ht="16.5" thickTop="1" x14ac:dyDescent="0.25">
      <c r="A56" s="30"/>
      <c r="B56" s="37"/>
      <c r="C56" s="37"/>
      <c r="D56" s="37"/>
      <c r="E56" s="37"/>
      <c r="F56" s="37"/>
      <c r="G56" s="37"/>
      <c r="H56" s="37"/>
      <c r="I56" s="37"/>
      <c r="J56" s="37"/>
    </row>
    <row r="57" spans="1:14" ht="15.75" x14ac:dyDescent="0.25">
      <c r="A57" s="30" t="s">
        <v>153</v>
      </c>
      <c r="B57" s="37">
        <f>B42</f>
        <v>600</v>
      </c>
      <c r="C57" s="37">
        <f t="shared" ref="C57:N57" si="13">C42</f>
        <v>2290</v>
      </c>
      <c r="D57" s="37">
        <f t="shared" si="13"/>
        <v>2728</v>
      </c>
      <c r="E57" s="37">
        <f t="shared" si="13"/>
        <v>2512</v>
      </c>
      <c r="F57" s="37">
        <f t="shared" si="13"/>
        <v>2272</v>
      </c>
      <c r="G57" s="37">
        <f t="shared" si="13"/>
        <v>2008</v>
      </c>
      <c r="H57" s="37">
        <f t="shared" si="13"/>
        <v>1720</v>
      </c>
      <c r="I57" s="37">
        <f t="shared" si="13"/>
        <v>1407.9999999999998</v>
      </c>
      <c r="J57" s="37">
        <f t="shared" si="13"/>
        <v>1071.9999999999998</v>
      </c>
      <c r="K57" s="37">
        <f t="shared" si="13"/>
        <v>711.99999999999977</v>
      </c>
      <c r="L57" s="37">
        <f t="shared" si="13"/>
        <v>351.99999999999977</v>
      </c>
      <c r="M57" s="37">
        <f t="shared" si="13"/>
        <v>0</v>
      </c>
      <c r="N57" s="37">
        <f t="shared" si="13"/>
        <v>0</v>
      </c>
    </row>
    <row r="58" spans="1:14" ht="15.75" x14ac:dyDescent="0.25">
      <c r="A58" s="30"/>
      <c r="B58" s="37"/>
      <c r="C58" s="37"/>
      <c r="D58" s="37"/>
      <c r="E58" s="37"/>
      <c r="F58" s="37"/>
      <c r="G58" s="37"/>
      <c r="H58" s="37"/>
      <c r="I58" s="37"/>
      <c r="J58" s="37"/>
    </row>
    <row r="59" spans="1:14" ht="15.75" x14ac:dyDescent="0.25">
      <c r="A59" s="30" t="s">
        <v>152</v>
      </c>
      <c r="B59" s="37">
        <f>'BS(Proposed)'!C14</f>
        <v>345.2</v>
      </c>
      <c r="C59" s="37">
        <f>'BS(Proposed)'!D14</f>
        <v>1091.94</v>
      </c>
      <c r="D59" s="37">
        <f>'BS(Proposed)'!E14</f>
        <v>1167.4107810937503</v>
      </c>
      <c r="E59" s="37">
        <f>'BS(Proposed)'!F14</f>
        <v>2296.8627153987504</v>
      </c>
      <c r="F59" s="37">
        <f>'BS(Proposed)'!G14</f>
        <v>2206.4238588200014</v>
      </c>
      <c r="G59" s="37">
        <f>'BS(Proposed)'!H14</f>
        <v>2297.3733906450489</v>
      </c>
      <c r="H59" s="37">
        <f>'BS(Proposed)'!I14</f>
        <v>2474.0072164156782</v>
      </c>
      <c r="I59" s="37">
        <f>'BS(Proposed)'!J14</f>
        <v>2446.6564596251014</v>
      </c>
      <c r="J59" s="37">
        <f>'BS(Proposed)'!K14</f>
        <v>2727.6381707717082</v>
      </c>
      <c r="K59" s="37">
        <f>'BS(Proposed)'!L14</f>
        <v>2668.8870746030348</v>
      </c>
      <c r="L59" s="37">
        <f>'BS(Proposed)'!M14</f>
        <v>2969.433485272581</v>
      </c>
      <c r="M59" s="37">
        <f>'BS(Proposed)'!N14</f>
        <v>3192.5362153900405</v>
      </c>
      <c r="N59" s="37">
        <f>'BS(Proposed)'!O14</f>
        <v>3296.2419672545707</v>
      </c>
    </row>
    <row r="60" spans="1:14" ht="15.75" x14ac:dyDescent="0.25">
      <c r="A60" s="30"/>
      <c r="B60" s="37"/>
      <c r="C60" s="37"/>
      <c r="D60" s="37"/>
      <c r="E60" s="37"/>
      <c r="F60" s="37"/>
      <c r="G60" s="37"/>
      <c r="H60" s="37"/>
      <c r="I60" s="37"/>
      <c r="J60" s="37"/>
    </row>
    <row r="61" spans="1:14" ht="16.5" thickBot="1" x14ac:dyDescent="0.3">
      <c r="A61" s="33" t="s">
        <v>154</v>
      </c>
      <c r="B61" s="36">
        <f t="shared" ref="B61:N61" si="14">B57/B59</f>
        <v>1.7381228273464659</v>
      </c>
      <c r="C61" s="36">
        <f t="shared" si="14"/>
        <v>2.0971848270051465</v>
      </c>
      <c r="D61" s="36">
        <f t="shared" si="14"/>
        <v>2.3367952773608356</v>
      </c>
      <c r="E61" s="36">
        <f t="shared" si="14"/>
        <v>1.0936657133048984</v>
      </c>
      <c r="F61" s="36">
        <f t="shared" si="14"/>
        <v>1.0297205547872696</v>
      </c>
      <c r="G61" s="36">
        <f t="shared" si="14"/>
        <v>0.8740416373657921</v>
      </c>
      <c r="H61" s="36">
        <f t="shared" si="14"/>
        <v>0.69522836820659006</v>
      </c>
      <c r="I61" s="36">
        <f t="shared" si="14"/>
        <v>0.57547924003018636</v>
      </c>
      <c r="J61" s="36">
        <f t="shared" si="14"/>
        <v>0.39301400438193296</v>
      </c>
      <c r="K61" s="36">
        <f t="shared" si="14"/>
        <v>0.26677786661539488</v>
      </c>
      <c r="L61" s="36">
        <f t="shared" si="14"/>
        <v>0.11854112972922433</v>
      </c>
      <c r="M61" s="36">
        <f t="shared" si="14"/>
        <v>0</v>
      </c>
      <c r="N61" s="36">
        <f t="shared" si="14"/>
        <v>0</v>
      </c>
    </row>
    <row r="62" spans="1:14" ht="16.5" thickTop="1" x14ac:dyDescent="0.25">
      <c r="A62" s="30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4" ht="15.75" x14ac:dyDescent="0.25">
      <c r="A63" s="32" t="s">
        <v>155</v>
      </c>
      <c r="B63" s="39">
        <f>SUM(B61:N61)/15</f>
        <v>0.74790476307558262</v>
      </c>
      <c r="C63" s="37"/>
      <c r="D63" s="37"/>
      <c r="E63" s="37"/>
      <c r="F63" s="37"/>
      <c r="G63" s="37"/>
      <c r="H63" s="37"/>
      <c r="I63" s="37"/>
      <c r="J63" s="37"/>
      <c r="K63" s="37"/>
    </row>
    <row r="64" spans="1:14" ht="15.75" x14ac:dyDescent="0.25">
      <c r="A64" s="30" t="s">
        <v>858</v>
      </c>
      <c r="B64" s="37">
        <v>2.5</v>
      </c>
      <c r="C64" s="37"/>
      <c r="D64" s="37"/>
      <c r="E64" s="37"/>
      <c r="F64" s="37"/>
      <c r="G64" s="37"/>
      <c r="H64" s="37"/>
      <c r="I64" s="37"/>
      <c r="J64" s="37"/>
      <c r="K64" s="37"/>
    </row>
    <row r="65" spans="1:14" ht="15.75" x14ac:dyDescent="0.25">
      <c r="A65" s="32" t="s">
        <v>641</v>
      </c>
      <c r="B65" s="44" t="s">
        <v>29</v>
      </c>
      <c r="C65" s="49" t="s">
        <v>156</v>
      </c>
      <c r="D65" s="47"/>
      <c r="F65" s="37"/>
      <c r="G65" s="37"/>
      <c r="H65" s="37"/>
      <c r="I65" s="37"/>
      <c r="J65" s="37"/>
      <c r="K65" s="37"/>
    </row>
    <row r="66" spans="1:14" ht="15.75" x14ac:dyDescent="0.25">
      <c r="A66" s="30"/>
      <c r="B66" s="45"/>
      <c r="C66" s="50" t="s">
        <v>157</v>
      </c>
      <c r="D66" s="37"/>
      <c r="F66" s="37"/>
      <c r="G66" s="37"/>
      <c r="H66" s="37"/>
      <c r="I66" s="37"/>
      <c r="J66" s="37"/>
      <c r="K66" s="37"/>
    </row>
    <row r="67" spans="1:14" ht="15.75" x14ac:dyDescent="0.25">
      <c r="A67" s="30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4" ht="16.5" thickBot="1" x14ac:dyDescent="0.3">
      <c r="A68" s="31" t="s">
        <v>4</v>
      </c>
      <c r="B68" s="36" t="str">
        <f t="shared" ref="B68:N68" si="15">B55</f>
        <v>2023-24</v>
      </c>
      <c r="C68" s="36" t="str">
        <f t="shared" si="15"/>
        <v>2024-25</v>
      </c>
      <c r="D68" s="36" t="str">
        <f t="shared" si="15"/>
        <v>2025-26</v>
      </c>
      <c r="E68" s="36" t="str">
        <f t="shared" si="15"/>
        <v>2026-27</v>
      </c>
      <c r="F68" s="36" t="str">
        <f t="shared" si="15"/>
        <v>2027-28</v>
      </c>
      <c r="G68" s="36" t="str">
        <f t="shared" si="15"/>
        <v>2028-29</v>
      </c>
      <c r="H68" s="36" t="str">
        <f t="shared" si="15"/>
        <v>2029-30</v>
      </c>
      <c r="I68" s="36" t="str">
        <f t="shared" si="15"/>
        <v>2030-31</v>
      </c>
      <c r="J68" s="36" t="str">
        <f t="shared" si="15"/>
        <v>2031-32</v>
      </c>
      <c r="K68" s="36" t="str">
        <f t="shared" si="15"/>
        <v>2032-33</v>
      </c>
      <c r="L68" s="36" t="str">
        <f t="shared" si="15"/>
        <v>2033-34</v>
      </c>
      <c r="M68" s="36" t="str">
        <f t="shared" si="15"/>
        <v>2034-35</v>
      </c>
      <c r="N68" s="36" t="str">
        <f t="shared" si="15"/>
        <v>2035-36</v>
      </c>
    </row>
    <row r="69" spans="1:14" ht="16.5" thickTop="1" x14ac:dyDescent="0.25">
      <c r="A69" s="30"/>
      <c r="B69" s="37"/>
      <c r="C69" s="37"/>
      <c r="D69" s="37"/>
      <c r="E69" s="37"/>
      <c r="F69" s="37"/>
      <c r="G69" s="37"/>
      <c r="H69" s="37"/>
      <c r="I69" s="37"/>
      <c r="J69" s="37"/>
    </row>
    <row r="70" spans="1:14" ht="15.75" x14ac:dyDescent="0.25">
      <c r="A70" s="30" t="s">
        <v>158</v>
      </c>
      <c r="B70" s="37">
        <f>'BS(Proposed)'!C43</f>
        <v>0</v>
      </c>
      <c r="C70" s="37">
        <f>'BS(Proposed)'!D43</f>
        <v>0</v>
      </c>
      <c r="D70" s="37">
        <f>'BS(Proposed)'!E43</f>
        <v>390.20929915000005</v>
      </c>
      <c r="E70" s="37">
        <f>'BS(Proposed)'!F43</f>
        <v>2814.5440240834987</v>
      </c>
      <c r="F70" s="37">
        <f>'BS(Proposed)'!G43</f>
        <v>3024.5793867124989</v>
      </c>
      <c r="G70" s="37">
        <f>'BS(Proposed)'!H43</f>
        <v>3336.7846680280477</v>
      </c>
      <c r="H70" s="37">
        <f>'BS(Proposed)'!I43</f>
        <v>3661.0942298548662</v>
      </c>
      <c r="I70" s="37">
        <f>'BS(Proposed)'!J43</f>
        <v>3739.6302159764596</v>
      </c>
      <c r="J70" s="37">
        <f>'BS(Proposed)'!K43</f>
        <v>4082.2161197431251</v>
      </c>
      <c r="K70" s="37">
        <f>'BS(Proposed)'!L43</f>
        <v>3978.6298315023655</v>
      </c>
      <c r="L70" s="37">
        <f>'BS(Proposed)'!M43</f>
        <v>4102.6054986097843</v>
      </c>
      <c r="M70" s="37">
        <f>'BS(Proposed)'!N43</f>
        <v>4226.7138712495143</v>
      </c>
      <c r="N70" s="37">
        <f>'BS(Proposed)'!O43</f>
        <v>4318.4970678471827</v>
      </c>
    </row>
    <row r="71" spans="1:14" ht="15.75" x14ac:dyDescent="0.25">
      <c r="A71" s="30"/>
      <c r="B71" s="37"/>
      <c r="C71" s="37"/>
      <c r="D71" s="37"/>
      <c r="E71" s="37"/>
      <c r="F71" s="37"/>
      <c r="G71" s="37"/>
      <c r="H71" s="37"/>
      <c r="I71" s="37"/>
      <c r="J71" s="37"/>
    </row>
    <row r="72" spans="1:14" ht="15.75" x14ac:dyDescent="0.25">
      <c r="A72" s="30" t="s">
        <v>159</v>
      </c>
      <c r="B72" s="37">
        <f>'BS(Proposed)'!C27</f>
        <v>0</v>
      </c>
      <c r="C72" s="37">
        <f>'BS(Proposed)'!D27</f>
        <v>0</v>
      </c>
      <c r="D72" s="37">
        <f>'BS(Proposed)'!E27</f>
        <v>608.70690259374999</v>
      </c>
      <c r="E72" s="37">
        <f>'BS(Proposed)'!F27</f>
        <v>1616.5552406249999</v>
      </c>
      <c r="F72" s="37">
        <f>'BS(Proposed)'!G27</f>
        <v>1745.9091562499998</v>
      </c>
      <c r="G72" s="37">
        <f>'BS(Proposed)'!H27</f>
        <v>1877.7630718749997</v>
      </c>
      <c r="H72" s="37">
        <f>'BS(Proposed)'!I27</f>
        <v>2009.8669875000001</v>
      </c>
      <c r="I72" s="37">
        <f>'BS(Proposed)'!J27</f>
        <v>2142.2409031250004</v>
      </c>
      <c r="J72" s="37">
        <f>'BS(Proposed)'!K27</f>
        <v>2291.5448187500006</v>
      </c>
      <c r="K72" s="37">
        <f>'BS(Proposed)'!L27</f>
        <v>2390.608734375</v>
      </c>
      <c r="L72" s="37">
        <f>'BS(Proposed)'!M27</f>
        <v>2385.8096380000006</v>
      </c>
      <c r="M72" s="37">
        <f>'BS(Proposed)'!N27</f>
        <v>2474.7352403750006</v>
      </c>
      <c r="N72" s="37">
        <f>'BS(Proposed)'!O27</f>
        <v>2319.6608427500005</v>
      </c>
    </row>
    <row r="73" spans="1:14" ht="15.75" x14ac:dyDescent="0.25">
      <c r="A73" s="30"/>
      <c r="B73" s="37"/>
      <c r="C73" s="37"/>
      <c r="D73" s="37"/>
      <c r="E73" s="37"/>
      <c r="F73" s="37"/>
      <c r="G73" s="37"/>
      <c r="H73" s="37"/>
      <c r="I73" s="37"/>
      <c r="J73" s="37"/>
    </row>
    <row r="74" spans="1:14" ht="16.5" thickBot="1" x14ac:dyDescent="0.3">
      <c r="A74" s="33" t="s">
        <v>160</v>
      </c>
      <c r="B74" s="36" t="e">
        <f t="shared" ref="B74:N74" si="16">B70/B72</f>
        <v>#DIV/0!</v>
      </c>
      <c r="C74" s="36" t="e">
        <f t="shared" si="16"/>
        <v>#DIV/0!</v>
      </c>
      <c r="D74" s="36">
        <f t="shared" si="16"/>
        <v>0.64104628596667168</v>
      </c>
      <c r="E74" s="36">
        <f t="shared" si="16"/>
        <v>1.7410750671256536</v>
      </c>
      <c r="F74" s="36">
        <f t="shared" si="16"/>
        <v>1.7323807346362321</v>
      </c>
      <c r="G74" s="36">
        <f t="shared" si="16"/>
        <v>1.7769998345404532</v>
      </c>
      <c r="H74" s="36">
        <f t="shared" si="16"/>
        <v>1.8215604577936608</v>
      </c>
      <c r="I74" s="36">
        <f t="shared" si="16"/>
        <v>1.7456627826129465</v>
      </c>
      <c r="J74" s="36">
        <f t="shared" si="16"/>
        <v>1.7814253888212868</v>
      </c>
      <c r="K74" s="36">
        <f t="shared" si="16"/>
        <v>1.664274782524183</v>
      </c>
      <c r="L74" s="36">
        <f t="shared" si="16"/>
        <v>1.7195862709520093</v>
      </c>
      <c r="M74" s="36">
        <f t="shared" si="16"/>
        <v>1.7079458853986471</v>
      </c>
      <c r="N74" s="36">
        <f t="shared" si="16"/>
        <v>1.8616933080301192</v>
      </c>
    </row>
    <row r="75" spans="1:14" ht="16.5" thickTop="1" x14ac:dyDescent="0.25">
      <c r="A75" s="30"/>
      <c r="B75" s="37"/>
      <c r="C75" s="37"/>
      <c r="D75" s="37"/>
      <c r="E75" s="37"/>
      <c r="F75" s="37"/>
      <c r="G75" s="37"/>
      <c r="H75" s="37"/>
      <c r="I75" s="37"/>
      <c r="J75" s="37"/>
      <c r="K75" s="37"/>
    </row>
    <row r="76" spans="1:14" ht="15.75" x14ac:dyDescent="0.25">
      <c r="A76" s="32" t="s">
        <v>161</v>
      </c>
      <c r="B76" s="37">
        <f>SUM(D74:N74)/11</f>
        <v>1.6539682544001693</v>
      </c>
      <c r="C76" s="37"/>
      <c r="D76" s="37"/>
      <c r="E76" s="37"/>
      <c r="F76" s="37"/>
      <c r="G76" s="37"/>
      <c r="H76" s="37"/>
      <c r="I76" s="37"/>
      <c r="J76" s="37"/>
      <c r="K76" s="37"/>
    </row>
    <row r="77" spans="1:14" ht="15.75" x14ac:dyDescent="0.25">
      <c r="A77" s="30" t="s">
        <v>858</v>
      </c>
      <c r="B77" s="37">
        <v>1.2</v>
      </c>
      <c r="C77" s="37"/>
      <c r="D77" s="37"/>
      <c r="E77" s="37"/>
      <c r="F77" s="37"/>
      <c r="G77" s="37"/>
      <c r="H77" s="37"/>
      <c r="I77" s="37"/>
      <c r="J77" s="37"/>
      <c r="K77" s="37"/>
    </row>
    <row r="78" spans="1:14" ht="15.75" x14ac:dyDescent="0.25">
      <c r="A78" s="54" t="s">
        <v>162</v>
      </c>
      <c r="B78" s="44" t="s">
        <v>29</v>
      </c>
      <c r="C78" s="49" t="s">
        <v>163</v>
      </c>
      <c r="D78" s="47"/>
      <c r="F78" s="37"/>
    </row>
    <row r="79" spans="1:14" ht="15.75" x14ac:dyDescent="0.25">
      <c r="B79" s="45"/>
      <c r="C79" s="50" t="s">
        <v>164</v>
      </c>
      <c r="D79" s="37"/>
      <c r="F79" s="37"/>
    </row>
    <row r="81" spans="1:14" ht="16.5" thickBot="1" x14ac:dyDescent="0.3">
      <c r="A81" s="31" t="s">
        <v>4</v>
      </c>
      <c r="B81" s="36" t="str">
        <f t="shared" ref="B81:N81" si="17">B68</f>
        <v>2023-24</v>
      </c>
      <c r="C81" s="36" t="str">
        <f t="shared" si="17"/>
        <v>2024-25</v>
      </c>
      <c r="D81" s="36" t="str">
        <f t="shared" si="17"/>
        <v>2025-26</v>
      </c>
      <c r="E81" s="36" t="str">
        <f t="shared" si="17"/>
        <v>2026-27</v>
      </c>
      <c r="F81" s="36" t="str">
        <f t="shared" si="17"/>
        <v>2027-28</v>
      </c>
      <c r="G81" s="36" t="str">
        <f t="shared" si="17"/>
        <v>2028-29</v>
      </c>
      <c r="H81" s="36" t="str">
        <f t="shared" si="17"/>
        <v>2029-30</v>
      </c>
      <c r="I81" s="36" t="str">
        <f t="shared" si="17"/>
        <v>2030-31</v>
      </c>
      <c r="J81" s="36" t="str">
        <f t="shared" si="17"/>
        <v>2031-32</v>
      </c>
      <c r="K81" s="36" t="str">
        <f t="shared" si="17"/>
        <v>2032-33</v>
      </c>
      <c r="L81" s="36" t="str">
        <f t="shared" si="17"/>
        <v>2033-34</v>
      </c>
      <c r="M81" s="36" t="str">
        <f t="shared" si="17"/>
        <v>2034-35</v>
      </c>
      <c r="N81" s="36" t="str">
        <f t="shared" si="17"/>
        <v>2035-36</v>
      </c>
    </row>
    <row r="82" spans="1:14" ht="13.5" thickTop="1" x14ac:dyDescent="0.2"/>
    <row r="83" spans="1:14" ht="15.75" x14ac:dyDescent="0.25">
      <c r="A83" s="30" t="s">
        <v>158</v>
      </c>
      <c r="B83" s="4">
        <f>B70</f>
        <v>0</v>
      </c>
      <c r="C83" s="4">
        <f t="shared" ref="C83:N83" si="18">C70</f>
        <v>0</v>
      </c>
      <c r="D83" s="4">
        <f t="shared" si="18"/>
        <v>390.20929915000005</v>
      </c>
      <c r="E83" s="4">
        <f t="shared" si="18"/>
        <v>2814.5440240834987</v>
      </c>
      <c r="F83" s="4">
        <f t="shared" si="18"/>
        <v>3024.5793867124989</v>
      </c>
      <c r="G83" s="4">
        <f t="shared" si="18"/>
        <v>3336.7846680280477</v>
      </c>
      <c r="H83" s="4">
        <f t="shared" si="18"/>
        <v>3661.0942298548662</v>
      </c>
      <c r="I83" s="4">
        <f t="shared" si="18"/>
        <v>3739.6302159764596</v>
      </c>
      <c r="J83" s="4">
        <f t="shared" si="18"/>
        <v>4082.2161197431251</v>
      </c>
      <c r="K83" s="4">
        <f t="shared" si="18"/>
        <v>3978.6298315023655</v>
      </c>
      <c r="L83" s="4">
        <f t="shared" si="18"/>
        <v>4102.6054986097843</v>
      </c>
      <c r="M83" s="4">
        <f t="shared" si="18"/>
        <v>4226.7138712495143</v>
      </c>
      <c r="N83" s="4">
        <f t="shared" si="18"/>
        <v>4318.4970678471827</v>
      </c>
    </row>
    <row r="85" spans="1:14" x14ac:dyDescent="0.2">
      <c r="A85" s="3" t="s">
        <v>165</v>
      </c>
      <c r="B85" s="4">
        <f>'BS(Proposed)'!C39</f>
        <v>0</v>
      </c>
      <c r="C85" s="4">
        <f>'BS(Proposed)'!D39</f>
        <v>0</v>
      </c>
      <c r="D85" s="4">
        <f>'BS(Proposed)'!E39</f>
        <v>35</v>
      </c>
      <c r="E85" s="4">
        <f>'BS(Proposed)'!F39</f>
        <v>758.54819249999991</v>
      </c>
      <c r="F85" s="4">
        <f>'BS(Proposed)'!G39</f>
        <v>1011.39759</v>
      </c>
      <c r="G85" s="4">
        <f>'BS(Proposed)'!H39</f>
        <v>1205.2487947499999</v>
      </c>
      <c r="H85" s="4">
        <f>'BS(Proposed)'!I39</f>
        <v>1314.8168670000005</v>
      </c>
      <c r="I85" s="4">
        <f>'BS(Proposed)'!J39</f>
        <v>1205.2487947500003</v>
      </c>
      <c r="J85" s="4">
        <f>'BS(Proposed)'!K39</f>
        <v>1297.9602405000005</v>
      </c>
      <c r="K85" s="4">
        <f>'BS(Proposed)'!L39</f>
        <v>1137.8222887500001</v>
      </c>
      <c r="L85" s="4">
        <f>'BS(Proposed)'!M39</f>
        <v>1213.6771080000005</v>
      </c>
      <c r="M85" s="4">
        <f>'BS(Proposed)'!N39</f>
        <v>1289.5319272500005</v>
      </c>
      <c r="N85" s="4">
        <f>'BS(Proposed)'!O39</f>
        <v>1365.3867465000005</v>
      </c>
    </row>
    <row r="87" spans="1:14" ht="15.75" x14ac:dyDescent="0.25">
      <c r="A87" s="30" t="s">
        <v>166</v>
      </c>
      <c r="B87" s="4">
        <f>B72</f>
        <v>0</v>
      </c>
      <c r="C87" s="4">
        <f t="shared" ref="C87:N87" si="19">C72</f>
        <v>0</v>
      </c>
      <c r="D87" s="4">
        <f t="shared" si="19"/>
        <v>608.70690259374999</v>
      </c>
      <c r="E87" s="4">
        <f t="shared" si="19"/>
        <v>1616.5552406249999</v>
      </c>
      <c r="F87" s="4">
        <f t="shared" si="19"/>
        <v>1745.9091562499998</v>
      </c>
      <c r="G87" s="4">
        <f t="shared" si="19"/>
        <v>1877.7630718749997</v>
      </c>
      <c r="H87" s="4">
        <f t="shared" si="19"/>
        <v>2009.8669875000001</v>
      </c>
      <c r="I87" s="4">
        <f t="shared" si="19"/>
        <v>2142.2409031250004</v>
      </c>
      <c r="J87" s="4">
        <f t="shared" si="19"/>
        <v>2291.5448187500006</v>
      </c>
      <c r="K87" s="4">
        <f t="shared" si="19"/>
        <v>2390.608734375</v>
      </c>
      <c r="L87" s="4">
        <f t="shared" si="19"/>
        <v>2385.8096380000006</v>
      </c>
      <c r="M87" s="4">
        <f t="shared" si="19"/>
        <v>2474.7352403750006</v>
      </c>
      <c r="N87" s="4">
        <f t="shared" si="19"/>
        <v>2319.6608427500005</v>
      </c>
    </row>
    <row r="89" spans="1:14" ht="13.5" thickBot="1" x14ac:dyDescent="0.25">
      <c r="A89" s="21" t="s">
        <v>167</v>
      </c>
      <c r="B89" s="25" t="e">
        <f t="shared" ref="B89:N89" si="20">(B83-B85)/B87</f>
        <v>#DIV/0!</v>
      </c>
      <c r="C89" s="25" t="e">
        <f t="shared" si="20"/>
        <v>#DIV/0!</v>
      </c>
      <c r="D89" s="25">
        <f t="shared" si="20"/>
        <v>0.5835473487099031</v>
      </c>
      <c r="E89" s="25">
        <f t="shared" si="20"/>
        <v>1.2718376581975637</v>
      </c>
      <c r="F89" s="25">
        <f t="shared" si="20"/>
        <v>1.1530850786283566</v>
      </c>
      <c r="G89" s="25">
        <f t="shared" si="20"/>
        <v>1.1351463372584321</v>
      </c>
      <c r="H89" s="25">
        <f t="shared" si="20"/>
        <v>1.1673794223434228</v>
      </c>
      <c r="I89" s="25">
        <f t="shared" si="20"/>
        <v>1.1830515501451879</v>
      </c>
      <c r="J89" s="25">
        <f t="shared" si="20"/>
        <v>1.2150126222544884</v>
      </c>
      <c r="K89" s="25">
        <f t="shared" si="20"/>
        <v>1.1883197371045602</v>
      </c>
      <c r="L89" s="25">
        <f t="shared" si="20"/>
        <v>1.2108796714525565</v>
      </c>
      <c r="M89" s="25">
        <f t="shared" si="20"/>
        <v>1.1868671428279487</v>
      </c>
      <c r="N89" s="25">
        <f t="shared" si="20"/>
        <v>1.2730784892873459</v>
      </c>
    </row>
    <row r="90" spans="1:14" ht="13.5" thickTop="1" x14ac:dyDescent="0.2"/>
    <row r="91" spans="1:14" ht="15.75" x14ac:dyDescent="0.25">
      <c r="A91" s="32" t="s">
        <v>168</v>
      </c>
      <c r="B91" s="39">
        <f>SUM(D89:N89)/11</f>
        <v>1.1425640962008876</v>
      </c>
    </row>
    <row r="92" spans="1:14" x14ac:dyDescent="0.2">
      <c r="A92" s="3" t="s">
        <v>858</v>
      </c>
      <c r="B92" s="4">
        <v>0.9</v>
      </c>
    </row>
    <row r="93" spans="1:14" ht="15.75" x14ac:dyDescent="0.25">
      <c r="A93" s="54" t="s">
        <v>169</v>
      </c>
      <c r="C93" s="44" t="s">
        <v>29</v>
      </c>
      <c r="D93" s="49" t="s">
        <v>170</v>
      </c>
      <c r="E93" s="47"/>
      <c r="G93" s="37"/>
    </row>
    <row r="94" spans="1:14" ht="15.75" x14ac:dyDescent="0.25">
      <c r="C94" s="45"/>
      <c r="D94" s="50" t="s">
        <v>171</v>
      </c>
      <c r="E94" s="37"/>
      <c r="G94" s="37"/>
    </row>
    <row r="96" spans="1:14" ht="16.5" thickBot="1" x14ac:dyDescent="0.3">
      <c r="A96" s="31" t="s">
        <v>4</v>
      </c>
      <c r="B96" s="36" t="str">
        <f t="shared" ref="B96:N96" si="21">B81</f>
        <v>2023-24</v>
      </c>
      <c r="C96" s="36" t="str">
        <f t="shared" si="21"/>
        <v>2024-25</v>
      </c>
      <c r="D96" s="36" t="str">
        <f t="shared" si="21"/>
        <v>2025-26</v>
      </c>
      <c r="E96" s="36" t="str">
        <f t="shared" si="21"/>
        <v>2026-27</v>
      </c>
      <c r="F96" s="36" t="str">
        <f t="shared" si="21"/>
        <v>2027-28</v>
      </c>
      <c r="G96" s="36" t="str">
        <f t="shared" si="21"/>
        <v>2028-29</v>
      </c>
      <c r="H96" s="36" t="str">
        <f t="shared" si="21"/>
        <v>2029-30</v>
      </c>
      <c r="I96" s="36" t="str">
        <f t="shared" si="21"/>
        <v>2030-31</v>
      </c>
      <c r="J96" s="36" t="str">
        <f t="shared" si="21"/>
        <v>2031-32</v>
      </c>
      <c r="K96" s="36" t="str">
        <f t="shared" si="21"/>
        <v>2032-33</v>
      </c>
      <c r="L96" s="36" t="str">
        <f t="shared" si="21"/>
        <v>2033-34</v>
      </c>
      <c r="M96" s="36" t="str">
        <f t="shared" si="21"/>
        <v>2034-35</v>
      </c>
      <c r="N96" s="36" t="str">
        <f t="shared" si="21"/>
        <v>2035-36</v>
      </c>
    </row>
    <row r="97" spans="1:14" ht="13.5" thickTop="1" x14ac:dyDescent="0.2"/>
    <row r="98" spans="1:14" x14ac:dyDescent="0.2">
      <c r="A98" s="3" t="s">
        <v>172</v>
      </c>
      <c r="B98" s="4">
        <f>'BS(Proposed)'!C29-'BS(Proposed)'!C18</f>
        <v>345.20000000000005</v>
      </c>
      <c r="C98" s="4">
        <f>'BS(Proposed)'!D29-'BS(Proposed)'!D18</f>
        <v>1091.94</v>
      </c>
      <c r="D98" s="4">
        <f>'BS(Proposed)'!E29-'BS(Proposed)'!E18</f>
        <v>1776.1176836875002</v>
      </c>
      <c r="E98" s="4">
        <f>'BS(Proposed)'!F29-'BS(Proposed)'!F18</f>
        <v>3913.4179560237508</v>
      </c>
      <c r="F98" s="4">
        <f>'BS(Proposed)'!G29-'BS(Proposed)'!G18</f>
        <v>3952.3330150700012</v>
      </c>
      <c r="G98" s="4">
        <f>'BS(Proposed)'!H29-'BS(Proposed)'!H18</f>
        <v>4175.1364625200486</v>
      </c>
      <c r="H98" s="4">
        <f>'BS(Proposed)'!I29-'BS(Proposed)'!I18</f>
        <v>4483.8742039156787</v>
      </c>
      <c r="I98" s="4">
        <f>'BS(Proposed)'!J29-'BS(Proposed)'!J18</f>
        <v>4588.8973627501018</v>
      </c>
      <c r="J98" s="4">
        <f>'BS(Proposed)'!K29-'BS(Proposed)'!K18</f>
        <v>5019.1829895217088</v>
      </c>
      <c r="K98" s="4">
        <f>'BS(Proposed)'!L29-'BS(Proposed)'!L18</f>
        <v>5059.4958089780339</v>
      </c>
      <c r="L98" s="4">
        <f>'BS(Proposed)'!M29-'BS(Proposed)'!M18</f>
        <v>5355.2431232725812</v>
      </c>
      <c r="M98" s="4">
        <f>'BS(Proposed)'!N29-'BS(Proposed)'!N18</f>
        <v>5667.2714557650415</v>
      </c>
      <c r="N98" s="4">
        <f>'BS(Proposed)'!O29-'BS(Proposed)'!O18</f>
        <v>5615.9028100045707</v>
      </c>
    </row>
    <row r="100" spans="1:14" x14ac:dyDescent="0.2">
      <c r="A100" s="3" t="s">
        <v>173</v>
      </c>
      <c r="B100" s="4">
        <f>'BS(Proposed)'!C14</f>
        <v>345.2</v>
      </c>
      <c r="C100" s="4">
        <f>'BS(Proposed)'!D14</f>
        <v>1091.94</v>
      </c>
      <c r="D100" s="4">
        <f>'BS(Proposed)'!E14</f>
        <v>1167.4107810937503</v>
      </c>
      <c r="E100" s="4">
        <f>'BS(Proposed)'!F14</f>
        <v>2296.8627153987504</v>
      </c>
      <c r="F100" s="4">
        <f>'BS(Proposed)'!G14</f>
        <v>2206.4238588200014</v>
      </c>
      <c r="G100" s="4">
        <f>'BS(Proposed)'!H14</f>
        <v>2297.3733906450489</v>
      </c>
      <c r="H100" s="4">
        <f>'BS(Proposed)'!I14</f>
        <v>2474.0072164156782</v>
      </c>
      <c r="I100" s="4">
        <f>'BS(Proposed)'!J14</f>
        <v>2446.6564596251014</v>
      </c>
      <c r="J100" s="4">
        <f>'BS(Proposed)'!K14</f>
        <v>2727.6381707717082</v>
      </c>
      <c r="K100" s="4">
        <f>'BS(Proposed)'!L14</f>
        <v>2668.8870746030348</v>
      </c>
      <c r="L100" s="4">
        <f>'BS(Proposed)'!M14</f>
        <v>2969.433485272581</v>
      </c>
      <c r="M100" s="4">
        <f>'BS(Proposed)'!N14</f>
        <v>3192.5362153900405</v>
      </c>
      <c r="N100" s="4">
        <f>'BS(Proposed)'!O14</f>
        <v>3296.2419672545707</v>
      </c>
    </row>
    <row r="102" spans="1:14" ht="13.5" thickBot="1" x14ac:dyDescent="0.25">
      <c r="A102" s="22" t="s">
        <v>169</v>
      </c>
      <c r="B102" s="25">
        <f t="shared" ref="B102:N102" si="22">B98/B100</f>
        <v>1.0000000000000002</v>
      </c>
      <c r="C102" s="25">
        <f t="shared" si="22"/>
        <v>1</v>
      </c>
      <c r="D102" s="25">
        <f t="shared" si="22"/>
        <v>1.521416207946487</v>
      </c>
      <c r="E102" s="25">
        <f t="shared" si="22"/>
        <v>1.70381012752186</v>
      </c>
      <c r="F102" s="25">
        <f t="shared" si="22"/>
        <v>1.7912845708547198</v>
      </c>
      <c r="G102" s="25">
        <f t="shared" si="22"/>
        <v>1.8173521463778108</v>
      </c>
      <c r="H102" s="25">
        <f t="shared" si="22"/>
        <v>1.8123933407162327</v>
      </c>
      <c r="I102" s="25">
        <f t="shared" si="22"/>
        <v>1.8755789537584913</v>
      </c>
      <c r="J102" s="25">
        <f t="shared" si="22"/>
        <v>1.840120527460456</v>
      </c>
      <c r="K102" s="25">
        <f t="shared" si="22"/>
        <v>1.895732441107713</v>
      </c>
      <c r="L102" s="25">
        <f t="shared" si="22"/>
        <v>1.8034561642255453</v>
      </c>
      <c r="M102" s="25">
        <f t="shared" si="22"/>
        <v>1.7751627776202552</v>
      </c>
      <c r="N102" s="25">
        <f t="shared" si="22"/>
        <v>1.7037289330679926</v>
      </c>
    </row>
    <row r="103" spans="1:14" ht="13.5" thickTop="1" x14ac:dyDescent="0.2"/>
    <row r="105" spans="1:14" x14ac:dyDescent="0.2">
      <c r="A105" s="54" t="s">
        <v>174</v>
      </c>
      <c r="B105" s="26">
        <f>SUM(B102:N102)/13</f>
        <v>1.6569258608198125</v>
      </c>
    </row>
    <row r="106" spans="1:14" x14ac:dyDescent="0.2">
      <c r="A106" s="3" t="s">
        <v>858</v>
      </c>
      <c r="B106" s="4">
        <v>4</v>
      </c>
    </row>
  </sheetData>
  <pageMargins left="0.7" right="0.7" top="0.75" bottom="0.75" header="0.3" footer="0.3"/>
  <pageSetup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showGridLines="0" zoomScaleNormal="100" workbookViewId="0">
      <selection activeCell="D23" sqref="D23"/>
    </sheetView>
  </sheetViews>
  <sheetFormatPr defaultColWidth="8.7109375" defaultRowHeight="15" x14ac:dyDescent="0.25"/>
  <cols>
    <col min="1" max="1" width="4.140625" style="216" customWidth="1"/>
    <col min="2" max="2" width="48.7109375" style="216" bestFit="1" customWidth="1"/>
    <col min="3" max="3" width="8.7109375" style="216"/>
    <col min="4" max="4" width="13" style="225" customWidth="1"/>
    <col min="5" max="5" width="13.5703125" style="216" customWidth="1"/>
    <col min="6" max="6" width="16.5703125" style="216" customWidth="1"/>
    <col min="7" max="7" width="13" style="216" customWidth="1"/>
    <col min="8" max="8" width="14.5703125" style="216" customWidth="1"/>
    <col min="9" max="9" width="13.140625" style="216" customWidth="1"/>
    <col min="10" max="16384" width="8.7109375" style="216"/>
  </cols>
  <sheetData>
    <row r="2" spans="2:12" s="242" customFormat="1" ht="17.25" customHeight="1" x14ac:dyDescent="0.2">
      <c r="B2" s="221" t="str">
        <f>'P&amp;L(Proposed)'!B2:Q2</f>
        <v>MANCARE LABORATORIES PVT. LTD. Plot  No. -11, Pharma City, Selaqui Industrial Area, Dehradun, Uttarakhand- 248011</v>
      </c>
      <c r="C2" s="221"/>
      <c r="D2" s="312"/>
      <c r="E2" s="221"/>
      <c r="F2" s="221"/>
      <c r="G2" s="221"/>
      <c r="H2" s="221"/>
      <c r="I2" s="221"/>
    </row>
    <row r="3" spans="2:12" ht="11.25" customHeight="1" x14ac:dyDescent="0.25"/>
    <row r="4" spans="2:12" ht="17.25" customHeight="1" x14ac:dyDescent="0.25">
      <c r="B4" s="219" t="s">
        <v>784</v>
      </c>
      <c r="C4" s="217"/>
      <c r="D4" s="314"/>
      <c r="E4" s="217"/>
      <c r="F4" s="217"/>
      <c r="G4" s="217"/>
      <c r="H4" s="217"/>
      <c r="I4" s="217"/>
    </row>
    <row r="5" spans="2:12" ht="13.5" customHeight="1" x14ac:dyDescent="0.25"/>
    <row r="6" spans="2:12" x14ac:dyDescent="0.25">
      <c r="B6" s="306" t="s">
        <v>45</v>
      </c>
      <c r="C6" s="307"/>
      <c r="D6" s="308"/>
      <c r="E6" s="307"/>
      <c r="F6" s="307"/>
      <c r="G6" s="307"/>
      <c r="H6" s="307"/>
      <c r="I6" s="307"/>
    </row>
    <row r="7" spans="2:12" x14ac:dyDescent="0.25">
      <c r="B7" s="305"/>
      <c r="C7" s="253"/>
      <c r="D7" s="248"/>
      <c r="E7" s="304"/>
      <c r="F7" s="304"/>
      <c r="G7" s="304"/>
      <c r="H7" s="304"/>
      <c r="I7" s="304"/>
    </row>
    <row r="8" spans="2:12" x14ac:dyDescent="0.25">
      <c r="B8" s="305" t="s">
        <v>39</v>
      </c>
      <c r="C8" s="253"/>
      <c r="D8" s="349" t="s">
        <v>481</v>
      </c>
      <c r="E8" s="304">
        <v>165.4</v>
      </c>
      <c r="F8" s="304"/>
      <c r="G8" s="304"/>
      <c r="H8" s="304"/>
      <c r="I8" s="304"/>
    </row>
    <row r="9" spans="2:12" x14ac:dyDescent="0.25">
      <c r="B9" s="305" t="s">
        <v>480</v>
      </c>
      <c r="C9" s="253"/>
      <c r="D9" s="248">
        <f>936.65+275+377.73</f>
        <v>1589.38</v>
      </c>
      <c r="E9" s="304">
        <v>133</v>
      </c>
      <c r="F9" s="248">
        <v>266.38</v>
      </c>
      <c r="G9" s="248">
        <v>0</v>
      </c>
      <c r="H9" s="304"/>
      <c r="I9" s="304"/>
    </row>
    <row r="10" spans="2:12" x14ac:dyDescent="0.25">
      <c r="B10" s="305" t="s">
        <v>46</v>
      </c>
      <c r="C10" s="253"/>
      <c r="D10" s="248">
        <f>'Quotation P&amp;M'!H388/100000</f>
        <v>2218.3269479999999</v>
      </c>
      <c r="E10" s="304">
        <v>34</v>
      </c>
      <c r="F10" s="304">
        <v>333</v>
      </c>
      <c r="G10" s="248">
        <v>201.33</v>
      </c>
      <c r="H10" s="304"/>
      <c r="I10" s="304"/>
      <c r="L10" s="225"/>
    </row>
    <row r="11" spans="2:12" x14ac:dyDescent="0.25">
      <c r="B11" s="305" t="s">
        <v>71</v>
      </c>
      <c r="C11" s="253"/>
      <c r="D11" s="248">
        <f>'Rep(Building)'!E27+'Rep(Building)'!E40+'Rep(Building)'!E53-'Rep(Building)'!E52+'Rep(P&amp;M)'!E27+'Rep(P&amp;M)'!E40+'Rep(P&amp;M)'!E53-'Rep(P&amp;M)'!E52</f>
        <v>385.28000000000003</v>
      </c>
      <c r="E11" s="248">
        <f>'Rep(Building)'!E27+'Rep(P&amp;M)'!E27</f>
        <v>12.8</v>
      </c>
      <c r="F11" s="248">
        <f>'Rep(Building)'!E40+'Rep(P&amp;M)'!E40</f>
        <v>147.35999999999999</v>
      </c>
      <c r="G11" s="248">
        <f>D11-E11-F11</f>
        <v>225.12000000000003</v>
      </c>
      <c r="H11" s="304"/>
      <c r="I11" s="304"/>
    </row>
    <row r="12" spans="2:12" x14ac:dyDescent="0.25">
      <c r="B12" s="309"/>
      <c r="C12" s="310"/>
      <c r="D12" s="350">
        <f>SUM(D9:D11)</f>
        <v>4192.9869479999998</v>
      </c>
      <c r="E12" s="350">
        <f>SUM(E9:E11)</f>
        <v>179.8</v>
      </c>
      <c r="F12" s="350">
        <f>SUM(F8:F11)</f>
        <v>746.74</v>
      </c>
      <c r="G12" s="350">
        <f>SUM(G8:G11)</f>
        <v>426.45000000000005</v>
      </c>
      <c r="H12" s="350">
        <f>E12+F12+G12</f>
        <v>1352.99</v>
      </c>
      <c r="I12" s="351">
        <f>SUM(I8:I11)</f>
        <v>0</v>
      </c>
    </row>
    <row r="13" spans="2:12" ht="19.5" customHeight="1" x14ac:dyDescent="0.25">
      <c r="B13" s="311" t="s">
        <v>783</v>
      </c>
      <c r="C13" s="307"/>
      <c r="D13" s="352"/>
      <c r="E13" s="246"/>
      <c r="F13" s="246"/>
      <c r="G13" s="246"/>
      <c r="H13" s="246"/>
      <c r="I13" s="246"/>
    </row>
    <row r="14" spans="2:12" x14ac:dyDescent="0.25">
      <c r="B14" s="305"/>
      <c r="C14" s="253"/>
      <c r="D14" s="248"/>
      <c r="E14" s="320" t="s">
        <v>49</v>
      </c>
      <c r="F14" s="320" t="s">
        <v>50</v>
      </c>
      <c r="G14" s="320" t="s">
        <v>51</v>
      </c>
      <c r="H14" s="320" t="s">
        <v>52</v>
      </c>
      <c r="I14" s="320" t="s">
        <v>53</v>
      </c>
    </row>
    <row r="15" spans="2:12" x14ac:dyDescent="0.25">
      <c r="B15" s="305" t="s">
        <v>445</v>
      </c>
      <c r="C15" s="253"/>
      <c r="D15" s="248">
        <v>1190</v>
      </c>
      <c r="E15" s="304">
        <v>133</v>
      </c>
      <c r="F15" s="304">
        <v>266.38</v>
      </c>
      <c r="G15" s="304">
        <v>0</v>
      </c>
      <c r="H15" s="304"/>
      <c r="I15" s="304"/>
    </row>
    <row r="16" spans="2:12" x14ac:dyDescent="0.25">
      <c r="B16" s="305" t="s">
        <v>31</v>
      </c>
      <c r="C16" s="253"/>
      <c r="D16" s="248">
        <v>1650</v>
      </c>
      <c r="E16" s="304">
        <v>34</v>
      </c>
      <c r="F16" s="304">
        <v>333</v>
      </c>
      <c r="G16" s="248">
        <v>201.33</v>
      </c>
      <c r="H16" s="304"/>
      <c r="I16" s="304"/>
      <c r="K16" s="225"/>
    </row>
    <row r="17" spans="2:11" x14ac:dyDescent="0.25">
      <c r="B17" s="305" t="s">
        <v>72</v>
      </c>
      <c r="C17" s="253"/>
      <c r="D17" s="248">
        <f>D20-D15-D16-D18</f>
        <v>967.70694799999978</v>
      </c>
      <c r="E17" s="248">
        <f>SUM(E15:E16)</f>
        <v>167</v>
      </c>
      <c r="F17" s="248">
        <f>SUM(F15:F16)</f>
        <v>599.38</v>
      </c>
      <c r="G17" s="248">
        <f>SUM(G15:G16)</f>
        <v>201.33</v>
      </c>
      <c r="H17" s="248">
        <f>SUM(E17:G17)</f>
        <v>967.71</v>
      </c>
      <c r="I17" s="248">
        <f>H17+D11</f>
        <v>1352.99</v>
      </c>
    </row>
    <row r="18" spans="2:11" x14ac:dyDescent="0.25">
      <c r="B18" s="305" t="s">
        <v>71</v>
      </c>
      <c r="C18" s="253"/>
      <c r="D18" s="248">
        <f>D11</f>
        <v>385.28000000000003</v>
      </c>
      <c r="E18" s="304">
        <v>12.8</v>
      </c>
      <c r="F18" s="304">
        <v>164.16</v>
      </c>
      <c r="G18" s="304">
        <v>108</v>
      </c>
      <c r="H18" s="248"/>
      <c r="I18" s="304"/>
    </row>
    <row r="19" spans="2:11" x14ac:dyDescent="0.25">
      <c r="B19" s="305"/>
      <c r="C19" s="253"/>
      <c r="D19" s="248"/>
      <c r="E19" s="304"/>
      <c r="F19" s="304"/>
      <c r="G19" s="304"/>
      <c r="H19" s="248"/>
      <c r="I19" s="304"/>
    </row>
    <row r="20" spans="2:11" x14ac:dyDescent="0.25">
      <c r="B20" s="310"/>
      <c r="C20" s="310"/>
      <c r="D20" s="350">
        <f>D12</f>
        <v>4192.9869479999998</v>
      </c>
      <c r="E20" s="350">
        <f>E17+E11</f>
        <v>179.8</v>
      </c>
      <c r="F20" s="350">
        <f t="shared" ref="F20:G20" si="0">F17+F11</f>
        <v>746.74</v>
      </c>
      <c r="G20" s="350">
        <f t="shared" si="0"/>
        <v>426.45000000000005</v>
      </c>
      <c r="H20" s="350">
        <f>E20+F20+G20</f>
        <v>1352.99</v>
      </c>
      <c r="I20" s="351"/>
    </row>
    <row r="22" spans="2:11" x14ac:dyDescent="0.25">
      <c r="B22" s="225">
        <f>(D15+D16)/H20</f>
        <v>2.099054686287408</v>
      </c>
      <c r="D22" s="225">
        <f>D16-568.33</f>
        <v>1081.67</v>
      </c>
      <c r="H22" s="225"/>
    </row>
    <row r="25" spans="2:11" x14ac:dyDescent="0.25">
      <c r="H25" s="225"/>
      <c r="I25" s="225"/>
    </row>
    <row r="26" spans="2:11" x14ac:dyDescent="0.25">
      <c r="B26" s="225"/>
      <c r="H26" s="225"/>
    </row>
    <row r="27" spans="2:11" x14ac:dyDescent="0.25">
      <c r="E27" s="225"/>
      <c r="K27" s="225"/>
    </row>
    <row r="28" spans="2:11" x14ac:dyDescent="0.25">
      <c r="E28" s="225"/>
    </row>
  </sheetData>
  <pageMargins left="0.7" right="0.7" top="0.75" bottom="0.75" header="0.3" footer="0.3"/>
  <pageSetup scale="85" orientation="landscape" r:id="rId1"/>
  <ignoredErrors>
    <ignoredError sqref="H12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2"/>
  <sheetViews>
    <sheetView showGridLines="0" topLeftCell="A13" workbookViewId="0">
      <selection activeCell="E13" sqref="E13"/>
    </sheetView>
  </sheetViews>
  <sheetFormatPr defaultColWidth="9.140625" defaultRowHeight="15" x14ac:dyDescent="0.25"/>
  <cols>
    <col min="1" max="1" width="4" style="316" customWidth="1"/>
    <col min="2" max="2" width="17.5703125" style="316" customWidth="1"/>
    <col min="3" max="3" width="11.7109375" style="316" customWidth="1"/>
    <col min="4" max="4" width="1.140625" style="316" hidden="1" customWidth="1"/>
    <col min="5" max="5" width="46.85546875" style="316" customWidth="1"/>
    <col min="6" max="6" width="21.28515625" style="316" customWidth="1"/>
    <col min="7" max="7" width="32.42578125" style="316" customWidth="1"/>
    <col min="8" max="16384" width="9.140625" style="316"/>
  </cols>
  <sheetData>
    <row r="2" spans="2:7" x14ac:dyDescent="0.25">
      <c r="B2" s="317" t="str">
        <f>'P&amp;L(Proposed)'!B2:Q2</f>
        <v>MANCARE LABORATORIES PVT. LTD. Plot  No. -11, Pharma City, Selaqui Industrial Area, Dehradun, Uttarakhand- 248011</v>
      </c>
      <c r="C2" s="317"/>
      <c r="D2" s="317"/>
      <c r="E2" s="317"/>
      <c r="F2" s="317"/>
      <c r="G2" s="317"/>
    </row>
    <row r="5" spans="2:7" ht="45" customHeight="1" x14ac:dyDescent="0.25">
      <c r="B5" s="315" t="s">
        <v>815</v>
      </c>
      <c r="C5" s="315" t="s">
        <v>785</v>
      </c>
      <c r="D5" s="315" t="s">
        <v>786</v>
      </c>
      <c r="E5" s="315" t="s">
        <v>787</v>
      </c>
      <c r="F5" s="315" t="s">
        <v>788</v>
      </c>
      <c r="G5" s="315" t="s">
        <v>789</v>
      </c>
    </row>
    <row r="6" spans="2:7" x14ac:dyDescent="0.25">
      <c r="B6" s="519" t="s">
        <v>790</v>
      </c>
      <c r="C6" s="520" t="s">
        <v>449</v>
      </c>
      <c r="D6" s="520" t="s">
        <v>791</v>
      </c>
      <c r="E6" s="260" t="s">
        <v>792</v>
      </c>
      <c r="F6" s="520">
        <v>0.88380000000000003</v>
      </c>
      <c r="G6" s="521" t="s">
        <v>794</v>
      </c>
    </row>
    <row r="7" spans="2:7" x14ac:dyDescent="0.25">
      <c r="B7" s="519"/>
      <c r="C7" s="520"/>
      <c r="D7" s="520"/>
      <c r="E7" s="260" t="s">
        <v>793</v>
      </c>
      <c r="F7" s="520"/>
      <c r="G7" s="521"/>
    </row>
    <row r="8" spans="2:7" x14ac:dyDescent="0.25">
      <c r="B8" s="519"/>
      <c r="C8" s="520"/>
      <c r="D8" s="520"/>
      <c r="E8" s="260"/>
      <c r="F8" s="520"/>
      <c r="G8" s="521"/>
    </row>
    <row r="9" spans="2:7" x14ac:dyDescent="0.25">
      <c r="B9" s="519" t="s">
        <v>795</v>
      </c>
      <c r="C9" s="520" t="s">
        <v>450</v>
      </c>
      <c r="D9" s="520" t="s">
        <v>796</v>
      </c>
      <c r="E9" s="260" t="s">
        <v>797</v>
      </c>
      <c r="F9" s="520">
        <v>2.25</v>
      </c>
      <c r="G9" s="521" t="s">
        <v>794</v>
      </c>
    </row>
    <row r="10" spans="2:7" x14ac:dyDescent="0.25">
      <c r="B10" s="519"/>
      <c r="C10" s="520"/>
      <c r="D10" s="520"/>
      <c r="E10" s="260" t="s">
        <v>798</v>
      </c>
      <c r="F10" s="520"/>
      <c r="G10" s="521"/>
    </row>
    <row r="11" spans="2:7" x14ac:dyDescent="0.25">
      <c r="B11" s="519"/>
      <c r="C11" s="520"/>
      <c r="D11" s="520"/>
      <c r="E11" s="260" t="s">
        <v>799</v>
      </c>
      <c r="F11" s="520"/>
      <c r="G11" s="521"/>
    </row>
    <row r="12" spans="2:7" x14ac:dyDescent="0.25">
      <c r="B12" s="519"/>
      <c r="C12" s="520"/>
      <c r="D12" s="520"/>
      <c r="E12" s="260" t="s">
        <v>800</v>
      </c>
      <c r="F12" s="520"/>
      <c r="G12" s="521"/>
    </row>
    <row r="13" spans="2:7" x14ac:dyDescent="0.25">
      <c r="B13" s="519"/>
      <c r="C13" s="520"/>
      <c r="D13" s="520"/>
      <c r="E13" s="260" t="s">
        <v>801</v>
      </c>
      <c r="F13" s="520"/>
      <c r="G13" s="521"/>
    </row>
    <row r="14" spans="2:7" x14ac:dyDescent="0.25">
      <c r="B14" s="519"/>
      <c r="C14" s="520"/>
      <c r="D14" s="520"/>
      <c r="E14" s="353"/>
      <c r="F14" s="520"/>
      <c r="G14" s="521"/>
    </row>
    <row r="15" spans="2:7" x14ac:dyDescent="0.25">
      <c r="B15" s="519" t="s">
        <v>802</v>
      </c>
      <c r="C15" s="520" t="s">
        <v>451</v>
      </c>
      <c r="D15" s="520" t="s">
        <v>796</v>
      </c>
      <c r="E15" s="260" t="s">
        <v>803</v>
      </c>
      <c r="F15" s="520">
        <v>2</v>
      </c>
      <c r="G15" s="521" t="s">
        <v>794</v>
      </c>
    </row>
    <row r="16" spans="2:7" x14ac:dyDescent="0.25">
      <c r="B16" s="519"/>
      <c r="C16" s="520"/>
      <c r="D16" s="520"/>
      <c r="E16" s="260" t="s">
        <v>804</v>
      </c>
      <c r="F16" s="520"/>
      <c r="G16" s="521"/>
    </row>
    <row r="17" spans="2:7" x14ac:dyDescent="0.25">
      <c r="B17" s="519"/>
      <c r="C17" s="520"/>
      <c r="D17" s="520"/>
      <c r="E17" s="260" t="s">
        <v>805</v>
      </c>
      <c r="F17" s="520"/>
      <c r="G17" s="521"/>
    </row>
    <row r="18" spans="2:7" x14ac:dyDescent="0.25">
      <c r="B18" s="519"/>
      <c r="C18" s="520"/>
      <c r="D18" s="520"/>
      <c r="E18" s="260" t="s">
        <v>806</v>
      </c>
      <c r="F18" s="520"/>
      <c r="G18" s="521"/>
    </row>
    <row r="19" spans="2:7" x14ac:dyDescent="0.25">
      <c r="B19" s="519"/>
      <c r="C19" s="520"/>
      <c r="D19" s="520"/>
      <c r="E19" s="260" t="s">
        <v>807</v>
      </c>
      <c r="F19" s="520"/>
      <c r="G19" s="521"/>
    </row>
    <row r="20" spans="2:7" ht="59.25" customHeight="1" x14ac:dyDescent="0.25">
      <c r="B20" s="354" t="s">
        <v>808</v>
      </c>
      <c r="C20" s="260" t="s">
        <v>452</v>
      </c>
      <c r="D20" s="260" t="s">
        <v>809</v>
      </c>
      <c r="E20" s="260" t="s">
        <v>810</v>
      </c>
      <c r="F20" s="260">
        <v>17</v>
      </c>
      <c r="G20" s="319" t="s">
        <v>794</v>
      </c>
    </row>
    <row r="21" spans="2:7" ht="30" x14ac:dyDescent="0.25">
      <c r="B21" s="519" t="s">
        <v>811</v>
      </c>
      <c r="C21" s="260" t="s">
        <v>483</v>
      </c>
      <c r="D21" s="520" t="s">
        <v>812</v>
      </c>
      <c r="E21" s="260" t="s">
        <v>813</v>
      </c>
      <c r="F21" s="520">
        <v>40</v>
      </c>
      <c r="G21" s="521" t="s">
        <v>794</v>
      </c>
    </row>
    <row r="22" spans="2:7" ht="30" x14ac:dyDescent="0.25">
      <c r="B22" s="519"/>
      <c r="C22" s="260" t="s">
        <v>485</v>
      </c>
      <c r="D22" s="520"/>
      <c r="E22" s="260" t="s">
        <v>814</v>
      </c>
      <c r="F22" s="520"/>
      <c r="G22" s="521"/>
    </row>
    <row r="26" spans="2:7" ht="12.75" customHeight="1" x14ac:dyDescent="0.25"/>
    <row r="27" spans="2:7" ht="12.75" customHeight="1" x14ac:dyDescent="0.25"/>
    <row r="28" spans="2:7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6.5" customHeight="1" x14ac:dyDescent="0.25"/>
    <row r="39" ht="12.75" customHeight="1" x14ac:dyDescent="0.25"/>
    <row r="41" ht="12.75" customHeight="1" x14ac:dyDescent="0.25"/>
    <row r="42" ht="12.75" customHeight="1" x14ac:dyDescent="0.25"/>
  </sheetData>
  <mergeCells count="19">
    <mergeCell ref="B6:B8"/>
    <mergeCell ref="C6:C8"/>
    <mergeCell ref="D6:D8"/>
    <mergeCell ref="F6:F8"/>
    <mergeCell ref="G6:G8"/>
    <mergeCell ref="B21:B22"/>
    <mergeCell ref="D21:D22"/>
    <mergeCell ref="F21:F22"/>
    <mergeCell ref="G21:G22"/>
    <mergeCell ref="B9:B14"/>
    <mergeCell ref="C9:C14"/>
    <mergeCell ref="D9:D14"/>
    <mergeCell ref="F9:F14"/>
    <mergeCell ref="G9:G14"/>
    <mergeCell ref="B15:B19"/>
    <mergeCell ref="C15:C19"/>
    <mergeCell ref="D15:D19"/>
    <mergeCell ref="F15:F19"/>
    <mergeCell ref="G15:G19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6"/>
  <sheetViews>
    <sheetView zoomScale="115" zoomScaleNormal="115" workbookViewId="0">
      <selection activeCell="B355" sqref="B355:B363"/>
    </sheetView>
  </sheetViews>
  <sheetFormatPr defaultRowHeight="12.75" x14ac:dyDescent="0.2"/>
  <cols>
    <col min="2" max="2" width="21.7109375" bestFit="1" customWidth="1"/>
    <col min="3" max="3" width="36.85546875" bestFit="1" customWidth="1"/>
    <col min="4" max="4" width="15.140625" customWidth="1"/>
    <col min="8" max="9" width="10" bestFit="1" customWidth="1"/>
  </cols>
  <sheetData>
    <row r="1" spans="1:8" x14ac:dyDescent="0.2">
      <c r="A1" s="523" t="s">
        <v>498</v>
      </c>
      <c r="B1" s="523"/>
      <c r="C1" s="523"/>
      <c r="D1" s="523"/>
      <c r="E1" s="523"/>
      <c r="F1" s="523"/>
      <c r="G1" s="523"/>
      <c r="H1" s="523"/>
    </row>
    <row r="2" spans="1:8" x14ac:dyDescent="0.2">
      <c r="A2" s="156" t="s">
        <v>176</v>
      </c>
      <c r="B2" s="157"/>
      <c r="C2" s="157"/>
      <c r="D2" s="158" t="s">
        <v>180</v>
      </c>
      <c r="E2" s="157"/>
      <c r="F2" s="157"/>
      <c r="G2" s="158" t="s">
        <v>184</v>
      </c>
      <c r="H2" s="158" t="s">
        <v>186</v>
      </c>
    </row>
    <row r="3" spans="1:8" ht="12" customHeight="1" x14ac:dyDescent="0.2">
      <c r="A3" s="156" t="s">
        <v>177</v>
      </c>
      <c r="B3" s="159" t="s">
        <v>178</v>
      </c>
      <c r="C3" s="158" t="s">
        <v>179</v>
      </c>
      <c r="D3" s="158" t="s">
        <v>181</v>
      </c>
      <c r="E3" s="158" t="s">
        <v>182</v>
      </c>
      <c r="F3" s="160" t="s">
        <v>183</v>
      </c>
      <c r="G3" s="158" t="s">
        <v>185</v>
      </c>
      <c r="H3" s="158" t="s">
        <v>185</v>
      </c>
    </row>
    <row r="4" spans="1:8" s="155" customFormat="1" ht="18" x14ac:dyDescent="0.2">
      <c r="A4" s="161">
        <v>1</v>
      </c>
      <c r="B4" s="162" t="s">
        <v>494</v>
      </c>
      <c r="C4" s="163"/>
      <c r="D4" s="163"/>
      <c r="E4" s="163"/>
      <c r="F4" s="163"/>
      <c r="G4" s="163"/>
      <c r="H4" s="163"/>
    </row>
    <row r="5" spans="1:8" s="155" customFormat="1" ht="18" x14ac:dyDescent="0.2">
      <c r="A5" s="164">
        <v>1.1000000000000001</v>
      </c>
      <c r="B5" s="165" t="s">
        <v>188</v>
      </c>
      <c r="C5" s="166"/>
      <c r="D5" s="166"/>
      <c r="E5" s="166"/>
      <c r="F5" s="166"/>
      <c r="G5" s="166"/>
      <c r="H5" s="166"/>
    </row>
    <row r="6" spans="1:8" s="155" customFormat="1" x14ac:dyDescent="0.2">
      <c r="A6" s="167" t="s">
        <v>189</v>
      </c>
      <c r="B6" s="168" t="s">
        <v>299</v>
      </c>
      <c r="C6" s="547"/>
      <c r="D6" s="167" t="s">
        <v>191</v>
      </c>
      <c r="E6" s="167">
        <v>2</v>
      </c>
      <c r="F6" s="169" t="s">
        <v>192</v>
      </c>
      <c r="G6" s="167">
        <v>312053</v>
      </c>
      <c r="H6" s="167">
        <v>624106</v>
      </c>
    </row>
    <row r="7" spans="1:8" x14ac:dyDescent="0.2">
      <c r="A7" s="167" t="s">
        <v>193</v>
      </c>
      <c r="B7" s="168" t="s">
        <v>194</v>
      </c>
      <c r="C7" s="547"/>
      <c r="D7" s="167" t="s">
        <v>191</v>
      </c>
      <c r="E7" s="167">
        <v>1</v>
      </c>
      <c r="F7" s="169" t="s">
        <v>192</v>
      </c>
      <c r="G7" s="167">
        <v>312053</v>
      </c>
      <c r="H7" s="167">
        <v>312056</v>
      </c>
    </row>
    <row r="8" spans="1:8" x14ac:dyDescent="0.2">
      <c r="A8" s="167" t="s">
        <v>195</v>
      </c>
      <c r="B8" s="168" t="s">
        <v>196</v>
      </c>
      <c r="C8" s="547"/>
      <c r="D8" s="167" t="s">
        <v>197</v>
      </c>
      <c r="E8" s="167">
        <v>1</v>
      </c>
      <c r="F8" s="169" t="s">
        <v>192</v>
      </c>
      <c r="G8" s="167">
        <v>7888</v>
      </c>
      <c r="H8" s="167">
        <v>7888</v>
      </c>
    </row>
    <row r="9" spans="1:8" x14ac:dyDescent="0.2">
      <c r="A9" s="167" t="s">
        <v>198</v>
      </c>
      <c r="B9" s="168" t="s">
        <v>196</v>
      </c>
      <c r="C9" s="547"/>
      <c r="D9" s="167" t="s">
        <v>199</v>
      </c>
      <c r="E9" s="167">
        <v>2</v>
      </c>
      <c r="F9" s="169" t="s">
        <v>192</v>
      </c>
      <c r="G9" s="167">
        <v>7888</v>
      </c>
      <c r="H9" s="167">
        <v>15776</v>
      </c>
    </row>
    <row r="10" spans="1:8" x14ac:dyDescent="0.2">
      <c r="A10" s="167" t="s">
        <v>200</v>
      </c>
      <c r="B10" s="168" t="s">
        <v>196</v>
      </c>
      <c r="C10" s="547"/>
      <c r="D10" s="167" t="s">
        <v>495</v>
      </c>
      <c r="E10" s="167">
        <v>2</v>
      </c>
      <c r="F10" s="169" t="s">
        <v>192</v>
      </c>
      <c r="G10" s="167">
        <v>3813</v>
      </c>
      <c r="H10" s="167">
        <v>7626</v>
      </c>
    </row>
    <row r="11" spans="1:8" x14ac:dyDescent="0.2">
      <c r="A11" s="170"/>
      <c r="B11" s="170"/>
      <c r="C11" s="547"/>
      <c r="D11" s="170"/>
      <c r="E11" s="170"/>
      <c r="F11" s="170"/>
      <c r="G11" s="170"/>
      <c r="H11" s="170">
        <f>SUM(H6:H10)</f>
        <v>967452</v>
      </c>
    </row>
    <row r="12" spans="1:8" ht="18" x14ac:dyDescent="0.2">
      <c r="A12" s="166"/>
      <c r="B12" s="165" t="s">
        <v>496</v>
      </c>
      <c r="C12" s="166"/>
      <c r="D12" s="166"/>
      <c r="E12" s="166"/>
      <c r="F12" s="166"/>
      <c r="G12" s="166"/>
      <c r="H12" s="166"/>
    </row>
    <row r="13" spans="1:8" x14ac:dyDescent="0.2">
      <c r="A13" s="170"/>
      <c r="B13" s="170"/>
      <c r="C13" s="565"/>
      <c r="D13" s="170"/>
      <c r="E13" s="170"/>
      <c r="F13" s="170"/>
      <c r="G13" s="170"/>
      <c r="H13" s="170"/>
    </row>
    <row r="14" spans="1:8" x14ac:dyDescent="0.2">
      <c r="A14" s="171">
        <v>1.3</v>
      </c>
      <c r="B14" s="172" t="s">
        <v>497</v>
      </c>
      <c r="C14" s="565"/>
      <c r="D14" s="170"/>
      <c r="E14" s="170"/>
      <c r="F14" s="170"/>
      <c r="G14" s="170"/>
      <c r="H14" s="175">
        <f>SUM(H6:H13)</f>
        <v>1934904</v>
      </c>
    </row>
    <row r="15" spans="1:8" x14ac:dyDescent="0.2">
      <c r="A15" s="152"/>
      <c r="B15" s="152"/>
      <c r="C15" s="152"/>
      <c r="D15" s="152"/>
      <c r="E15" s="152"/>
      <c r="F15" s="152"/>
      <c r="G15" s="152"/>
      <c r="H15" s="152"/>
    </row>
    <row r="16" spans="1:8" x14ac:dyDescent="0.2">
      <c r="A16" s="173"/>
      <c r="B16" s="152"/>
      <c r="C16" s="152"/>
      <c r="D16" s="152"/>
      <c r="E16" s="152"/>
      <c r="F16" s="152"/>
      <c r="G16" s="152"/>
      <c r="H16" s="152"/>
    </row>
    <row r="17" spans="1:8" x14ac:dyDescent="0.2">
      <c r="A17" s="526" t="s">
        <v>498</v>
      </c>
      <c r="B17" s="526"/>
      <c r="C17" s="526"/>
      <c r="D17" s="526"/>
      <c r="E17" s="526"/>
      <c r="F17" s="526"/>
      <c r="G17" s="526"/>
      <c r="H17" s="526"/>
    </row>
    <row r="18" spans="1:8" x14ac:dyDescent="0.2">
      <c r="A18" s="156" t="s">
        <v>176</v>
      </c>
      <c r="B18" s="157"/>
      <c r="C18" s="157"/>
      <c r="D18" s="158" t="s">
        <v>180</v>
      </c>
      <c r="E18" s="157"/>
      <c r="F18" s="157"/>
      <c r="G18" s="158" t="s">
        <v>184</v>
      </c>
      <c r="H18" s="158" t="s">
        <v>186</v>
      </c>
    </row>
    <row r="19" spans="1:8" x14ac:dyDescent="0.2">
      <c r="A19" s="156" t="s">
        <v>177</v>
      </c>
      <c r="B19" s="158" t="s">
        <v>178</v>
      </c>
      <c r="C19" s="158" t="s">
        <v>179</v>
      </c>
      <c r="D19" s="158" t="s">
        <v>181</v>
      </c>
      <c r="E19" s="158" t="s">
        <v>182</v>
      </c>
      <c r="F19" s="160" t="s">
        <v>183</v>
      </c>
      <c r="G19" s="158" t="s">
        <v>185</v>
      </c>
      <c r="H19" s="158" t="s">
        <v>185</v>
      </c>
    </row>
    <row r="20" spans="1:8" x14ac:dyDescent="0.2">
      <c r="A20" s="167" t="s">
        <v>499</v>
      </c>
      <c r="B20" s="168" t="s">
        <v>500</v>
      </c>
      <c r="C20" s="574"/>
      <c r="D20" s="167" t="s">
        <v>501</v>
      </c>
      <c r="E20" s="167">
        <v>1</v>
      </c>
      <c r="F20" s="169" t="s">
        <v>192</v>
      </c>
      <c r="G20" s="174">
        <v>185000</v>
      </c>
      <c r="H20" s="174">
        <v>185000</v>
      </c>
    </row>
    <row r="21" spans="1:8" x14ac:dyDescent="0.2">
      <c r="A21" s="167" t="s">
        <v>502</v>
      </c>
      <c r="B21" s="168" t="s">
        <v>503</v>
      </c>
      <c r="C21" s="574"/>
      <c r="D21" s="167" t="s">
        <v>504</v>
      </c>
      <c r="E21" s="167">
        <v>5</v>
      </c>
      <c r="F21" s="169" t="s">
        <v>192</v>
      </c>
      <c r="G21" s="174">
        <v>2800</v>
      </c>
      <c r="H21" s="174">
        <v>14000</v>
      </c>
    </row>
    <row r="22" spans="1:8" x14ac:dyDescent="0.2">
      <c r="A22" s="167" t="s">
        <v>505</v>
      </c>
      <c r="B22" s="168" t="s">
        <v>506</v>
      </c>
      <c r="C22" s="574"/>
      <c r="D22" s="167" t="s">
        <v>507</v>
      </c>
      <c r="E22" s="167">
        <v>1</v>
      </c>
      <c r="F22" s="169" t="s">
        <v>192</v>
      </c>
      <c r="G22" s="174">
        <v>3469000</v>
      </c>
      <c r="H22" s="174">
        <v>3469000</v>
      </c>
    </row>
    <row r="23" spans="1:8" x14ac:dyDescent="0.2">
      <c r="A23" s="167" t="s">
        <v>508</v>
      </c>
      <c r="B23" s="168" t="s">
        <v>509</v>
      </c>
      <c r="C23" s="574"/>
      <c r="D23" s="167" t="s">
        <v>510</v>
      </c>
      <c r="E23" s="167">
        <v>1</v>
      </c>
      <c r="F23" s="169" t="s">
        <v>192</v>
      </c>
      <c r="G23" s="174">
        <v>155000</v>
      </c>
      <c r="H23" s="174">
        <v>155000</v>
      </c>
    </row>
    <row r="24" spans="1:8" x14ac:dyDescent="0.2">
      <c r="A24" s="167" t="s">
        <v>511</v>
      </c>
      <c r="B24" s="168" t="s">
        <v>512</v>
      </c>
      <c r="C24" s="574"/>
      <c r="D24" s="167" t="s">
        <v>513</v>
      </c>
      <c r="E24" s="167">
        <v>1</v>
      </c>
      <c r="F24" s="169" t="s">
        <v>192</v>
      </c>
      <c r="G24" s="174">
        <v>325000</v>
      </c>
      <c r="H24" s="174">
        <v>325000</v>
      </c>
    </row>
    <row r="25" spans="1:8" s="153" customFormat="1" x14ac:dyDescent="0.2">
      <c r="A25" s="524" t="s">
        <v>514</v>
      </c>
      <c r="B25" s="569" t="s">
        <v>515</v>
      </c>
      <c r="C25" s="574"/>
      <c r="D25" s="524" t="s">
        <v>516</v>
      </c>
      <c r="E25" s="524">
        <v>1</v>
      </c>
      <c r="F25" s="560" t="s">
        <v>192</v>
      </c>
      <c r="G25" s="575">
        <v>1530000</v>
      </c>
      <c r="H25" s="575">
        <v>1530000</v>
      </c>
    </row>
    <row r="26" spans="1:8" x14ac:dyDescent="0.2">
      <c r="A26" s="524"/>
      <c r="B26" s="569"/>
      <c r="C26" s="574"/>
      <c r="D26" s="524"/>
      <c r="E26" s="524"/>
      <c r="F26" s="560"/>
      <c r="G26" s="575"/>
      <c r="H26" s="575"/>
    </row>
    <row r="27" spans="1:8" x14ac:dyDescent="0.2">
      <c r="A27" s="167" t="s">
        <v>517</v>
      </c>
      <c r="B27" s="168" t="s">
        <v>518</v>
      </c>
      <c r="C27" s="574"/>
      <c r="D27" s="167" t="s">
        <v>519</v>
      </c>
      <c r="E27" s="167">
        <v>1</v>
      </c>
      <c r="F27" s="169" t="s">
        <v>192</v>
      </c>
      <c r="G27" s="174">
        <v>640000</v>
      </c>
      <c r="H27" s="174">
        <v>640000</v>
      </c>
    </row>
    <row r="28" spans="1:8" x14ac:dyDescent="0.2">
      <c r="A28" s="167" t="s">
        <v>520</v>
      </c>
      <c r="B28" s="168" t="s">
        <v>521</v>
      </c>
      <c r="C28" s="574"/>
      <c r="D28" s="167" t="s">
        <v>522</v>
      </c>
      <c r="E28" s="167">
        <v>1</v>
      </c>
      <c r="F28" s="169" t="s">
        <v>192</v>
      </c>
      <c r="G28" s="171">
        <v>7888</v>
      </c>
      <c r="H28" s="171">
        <v>7888</v>
      </c>
    </row>
    <row r="29" spans="1:8" x14ac:dyDescent="0.2">
      <c r="A29" s="170"/>
      <c r="B29" s="170"/>
      <c r="C29" s="574"/>
      <c r="D29" s="170"/>
      <c r="E29" s="170"/>
      <c r="F29" s="170"/>
      <c r="G29" s="175"/>
      <c r="H29" s="175">
        <f>SUM(H20:H28)</f>
        <v>6325888</v>
      </c>
    </row>
    <row r="30" spans="1:8" x14ac:dyDescent="0.2">
      <c r="A30" s="164">
        <v>1.4</v>
      </c>
      <c r="B30" s="165" t="s">
        <v>523</v>
      </c>
      <c r="C30" s="166"/>
      <c r="D30" s="166"/>
      <c r="E30" s="166"/>
      <c r="F30" s="166"/>
      <c r="G30" s="176"/>
      <c r="H30" s="176"/>
    </row>
    <row r="31" spans="1:8" x14ac:dyDescent="0.2">
      <c r="A31" s="524" t="s">
        <v>524</v>
      </c>
      <c r="B31" s="569" t="s">
        <v>525</v>
      </c>
      <c r="C31" s="567"/>
      <c r="D31" s="573" t="s">
        <v>526</v>
      </c>
      <c r="E31" s="177"/>
      <c r="F31" s="177"/>
      <c r="G31" s="555">
        <v>3075000</v>
      </c>
      <c r="H31" s="555">
        <v>3075000</v>
      </c>
    </row>
    <row r="32" spans="1:8" x14ac:dyDescent="0.2">
      <c r="A32" s="524"/>
      <c r="B32" s="569"/>
      <c r="C32" s="567"/>
      <c r="D32" s="573"/>
      <c r="E32" s="177"/>
      <c r="F32" s="177"/>
      <c r="G32" s="555"/>
      <c r="H32" s="555"/>
    </row>
    <row r="33" spans="1:8" x14ac:dyDescent="0.2">
      <c r="A33" s="524"/>
      <c r="B33" s="569"/>
      <c r="C33" s="567"/>
      <c r="D33" s="573"/>
      <c r="E33" s="177"/>
      <c r="F33" s="177"/>
      <c r="G33" s="555"/>
      <c r="H33" s="555"/>
    </row>
    <row r="34" spans="1:8" x14ac:dyDescent="0.2">
      <c r="A34" s="524"/>
      <c r="B34" s="569"/>
      <c r="C34" s="567"/>
      <c r="D34" s="573"/>
      <c r="E34" s="167">
        <v>1</v>
      </c>
      <c r="F34" s="169" t="s">
        <v>192</v>
      </c>
      <c r="G34" s="555"/>
      <c r="H34" s="555"/>
    </row>
    <row r="35" spans="1:8" x14ac:dyDescent="0.2">
      <c r="A35" s="524" t="s">
        <v>527</v>
      </c>
      <c r="B35" s="569" t="s">
        <v>525</v>
      </c>
      <c r="C35" s="567"/>
      <c r="D35" s="573" t="s">
        <v>528</v>
      </c>
      <c r="E35" s="177"/>
      <c r="F35" s="177"/>
      <c r="G35" s="555">
        <v>1030000</v>
      </c>
      <c r="H35" s="555">
        <v>1030000</v>
      </c>
    </row>
    <row r="36" spans="1:8" x14ac:dyDescent="0.2">
      <c r="A36" s="524"/>
      <c r="B36" s="569"/>
      <c r="C36" s="567"/>
      <c r="D36" s="573"/>
      <c r="E36" s="177"/>
      <c r="F36" s="177"/>
      <c r="G36" s="555"/>
      <c r="H36" s="555"/>
    </row>
    <row r="37" spans="1:8" x14ac:dyDescent="0.2">
      <c r="A37" s="524"/>
      <c r="B37" s="569"/>
      <c r="C37" s="567"/>
      <c r="D37" s="573"/>
      <c r="E37" s="177"/>
      <c r="F37" s="177"/>
      <c r="G37" s="555"/>
      <c r="H37" s="555"/>
    </row>
    <row r="38" spans="1:8" x14ac:dyDescent="0.2">
      <c r="A38" s="524"/>
      <c r="B38" s="569"/>
      <c r="C38" s="567"/>
      <c r="D38" s="573"/>
      <c r="E38" s="178"/>
      <c r="F38" s="178"/>
      <c r="G38" s="555"/>
      <c r="H38" s="555"/>
    </row>
    <row r="39" spans="1:8" x14ac:dyDescent="0.2">
      <c r="A39" s="524"/>
      <c r="B39" s="569"/>
      <c r="C39" s="567"/>
      <c r="D39" s="573"/>
      <c r="E39" s="167">
        <v>1</v>
      </c>
      <c r="F39" s="169" t="s">
        <v>192</v>
      </c>
      <c r="G39" s="555"/>
      <c r="H39" s="555"/>
    </row>
    <row r="40" spans="1:8" x14ac:dyDescent="0.2">
      <c r="A40" s="167"/>
      <c r="B40" s="168"/>
      <c r="C40" s="188"/>
      <c r="D40" s="207"/>
      <c r="E40" s="167"/>
      <c r="F40" s="169"/>
      <c r="G40" s="171"/>
      <c r="H40" s="171">
        <f>SUM(H31:H39)</f>
        <v>4105000</v>
      </c>
    </row>
    <row r="41" spans="1:8" x14ac:dyDescent="0.2">
      <c r="A41" s="164">
        <v>1.5</v>
      </c>
      <c r="B41" s="165" t="s">
        <v>529</v>
      </c>
      <c r="C41" s="166"/>
      <c r="D41" s="166"/>
      <c r="E41" s="166"/>
      <c r="F41" s="166"/>
      <c r="G41" s="176"/>
      <c r="H41" s="176"/>
    </row>
    <row r="42" spans="1:8" x14ac:dyDescent="0.2">
      <c r="A42" s="167" t="s">
        <v>530</v>
      </c>
      <c r="B42" s="168" t="s">
        <v>531</v>
      </c>
      <c r="C42" s="564"/>
      <c r="D42" s="167">
        <v>48</v>
      </c>
      <c r="E42" s="167">
        <v>1</v>
      </c>
      <c r="F42" s="169" t="s">
        <v>192</v>
      </c>
      <c r="G42" s="171">
        <v>3850000</v>
      </c>
      <c r="H42" s="172">
        <v>3850000</v>
      </c>
    </row>
    <row r="43" spans="1:8" ht="18" x14ac:dyDescent="0.2">
      <c r="A43" s="170"/>
      <c r="B43" s="168" t="s">
        <v>532</v>
      </c>
      <c r="C43" s="564"/>
      <c r="D43" s="167" t="s">
        <v>533</v>
      </c>
      <c r="E43" s="167">
        <v>1</v>
      </c>
      <c r="F43" s="169" t="s">
        <v>192</v>
      </c>
      <c r="G43" s="171">
        <v>375000</v>
      </c>
      <c r="H43" s="171">
        <v>375000</v>
      </c>
    </row>
    <row r="44" spans="1:8" x14ac:dyDescent="0.2">
      <c r="A44" s="170"/>
      <c r="B44" s="168" t="s">
        <v>534</v>
      </c>
      <c r="C44" s="564"/>
      <c r="D44" s="167" t="s">
        <v>199</v>
      </c>
      <c r="E44" s="167">
        <v>1</v>
      </c>
      <c r="F44" s="169" t="s">
        <v>192</v>
      </c>
      <c r="G44" s="171">
        <v>6387</v>
      </c>
      <c r="H44" s="171">
        <v>6387</v>
      </c>
    </row>
    <row r="45" spans="1:8" ht="18" x14ac:dyDescent="0.2">
      <c r="A45" s="170"/>
      <c r="B45" s="168" t="s">
        <v>535</v>
      </c>
      <c r="C45" s="564"/>
      <c r="D45" s="167" t="s">
        <v>536</v>
      </c>
      <c r="E45" s="167">
        <v>1</v>
      </c>
      <c r="F45" s="169" t="s">
        <v>192</v>
      </c>
      <c r="G45" s="171"/>
      <c r="H45" s="171"/>
    </row>
    <row r="46" spans="1:8" x14ac:dyDescent="0.2">
      <c r="A46" s="170"/>
      <c r="B46" s="170"/>
      <c r="C46" s="564"/>
      <c r="D46" s="170"/>
      <c r="E46" s="170"/>
      <c r="F46" s="170"/>
      <c r="G46" s="170"/>
      <c r="H46" s="170"/>
    </row>
    <row r="47" spans="1:8" x14ac:dyDescent="0.2">
      <c r="A47" s="179"/>
      <c r="B47" s="152"/>
      <c r="C47" s="152"/>
      <c r="D47" s="152"/>
      <c r="E47" s="152"/>
      <c r="F47" s="152"/>
      <c r="G47" s="152"/>
      <c r="H47" s="152"/>
    </row>
    <row r="48" spans="1:8" x14ac:dyDescent="0.2">
      <c r="A48" s="180"/>
      <c r="B48" s="152"/>
      <c r="C48" s="152"/>
      <c r="D48" s="152"/>
      <c r="E48" s="152"/>
      <c r="F48" s="152"/>
      <c r="G48" s="152"/>
      <c r="H48" s="208">
        <f>SUM(H42:H47)</f>
        <v>4231387</v>
      </c>
    </row>
    <row r="49" spans="1:8" x14ac:dyDescent="0.2">
      <c r="A49" s="526" t="s">
        <v>498</v>
      </c>
      <c r="B49" s="526"/>
      <c r="C49" s="526"/>
      <c r="D49" s="526"/>
      <c r="E49" s="526"/>
      <c r="F49" s="526"/>
      <c r="G49" s="526"/>
      <c r="H49" s="526"/>
    </row>
    <row r="50" spans="1:8" x14ac:dyDescent="0.2">
      <c r="A50" s="156" t="s">
        <v>176</v>
      </c>
      <c r="B50" s="157"/>
      <c r="C50" s="157"/>
      <c r="D50" s="158" t="s">
        <v>180</v>
      </c>
      <c r="E50" s="157"/>
      <c r="F50" s="157"/>
      <c r="G50" s="158" t="s">
        <v>184</v>
      </c>
      <c r="H50" s="158" t="s">
        <v>186</v>
      </c>
    </row>
    <row r="51" spans="1:8" x14ac:dyDescent="0.2">
      <c r="A51" s="156" t="s">
        <v>177</v>
      </c>
      <c r="B51" s="158" t="s">
        <v>178</v>
      </c>
      <c r="C51" s="158" t="s">
        <v>179</v>
      </c>
      <c r="D51" s="158" t="s">
        <v>181</v>
      </c>
      <c r="E51" s="158" t="s">
        <v>182</v>
      </c>
      <c r="F51" s="160" t="s">
        <v>183</v>
      </c>
      <c r="G51" s="158" t="s">
        <v>185</v>
      </c>
      <c r="H51" s="158" t="s">
        <v>185</v>
      </c>
    </row>
    <row r="52" spans="1:8" x14ac:dyDescent="0.2">
      <c r="A52" s="169" t="s">
        <v>537</v>
      </c>
      <c r="B52" s="168" t="s">
        <v>538</v>
      </c>
      <c r="C52" s="547"/>
      <c r="D52" s="167" t="s">
        <v>539</v>
      </c>
      <c r="E52" s="167">
        <v>1</v>
      </c>
      <c r="F52" s="169" t="s">
        <v>192</v>
      </c>
      <c r="G52" s="171">
        <v>425000</v>
      </c>
      <c r="H52" s="171">
        <v>425000</v>
      </c>
    </row>
    <row r="53" spans="1:8" ht="18" x14ac:dyDescent="0.2">
      <c r="A53" s="170"/>
      <c r="B53" s="168" t="s">
        <v>540</v>
      </c>
      <c r="C53" s="547"/>
      <c r="D53" s="170"/>
      <c r="E53" s="167">
        <v>1</v>
      </c>
      <c r="F53" s="169" t="s">
        <v>192</v>
      </c>
      <c r="G53" s="171"/>
      <c r="H53" s="171"/>
    </row>
    <row r="54" spans="1:8" x14ac:dyDescent="0.2">
      <c r="A54" s="170"/>
      <c r="B54" s="168" t="s">
        <v>534</v>
      </c>
      <c r="C54" s="547"/>
      <c r="D54" s="167" t="s">
        <v>199</v>
      </c>
      <c r="E54" s="167">
        <v>1</v>
      </c>
      <c r="F54" s="169" t="s">
        <v>192</v>
      </c>
      <c r="G54" s="171">
        <v>6387</v>
      </c>
      <c r="H54" s="171">
        <v>6387</v>
      </c>
    </row>
    <row r="55" spans="1:8" ht="18" x14ac:dyDescent="0.2">
      <c r="A55" s="170"/>
      <c r="B55" s="168" t="s">
        <v>535</v>
      </c>
      <c r="C55" s="547"/>
      <c r="D55" s="167" t="s">
        <v>536</v>
      </c>
      <c r="E55" s="167">
        <v>1</v>
      </c>
      <c r="F55" s="169" t="s">
        <v>192</v>
      </c>
      <c r="G55" s="171"/>
      <c r="H55" s="171"/>
    </row>
    <row r="56" spans="1:8" x14ac:dyDescent="0.2">
      <c r="A56" s="170"/>
      <c r="B56" s="170"/>
      <c r="C56" s="547"/>
      <c r="D56" s="170"/>
      <c r="E56" s="170"/>
      <c r="F56" s="170"/>
      <c r="G56" s="175"/>
      <c r="H56" s="175">
        <f>SUM(H52:H55)</f>
        <v>431387</v>
      </c>
    </row>
    <row r="57" spans="1:8" x14ac:dyDescent="0.2">
      <c r="A57" s="181">
        <v>1.6</v>
      </c>
      <c r="B57" s="165" t="s">
        <v>541</v>
      </c>
      <c r="C57" s="166"/>
      <c r="D57" s="166"/>
      <c r="E57" s="166"/>
      <c r="F57" s="166"/>
      <c r="G57" s="176"/>
      <c r="H57" s="176"/>
    </row>
    <row r="58" spans="1:8" x14ac:dyDescent="0.2">
      <c r="A58" s="530"/>
      <c r="B58" s="569" t="s">
        <v>542</v>
      </c>
      <c r="C58" s="568"/>
      <c r="D58" s="524" t="s">
        <v>543</v>
      </c>
      <c r="E58" s="524">
        <v>1</v>
      </c>
      <c r="F58" s="560" t="s">
        <v>192</v>
      </c>
      <c r="G58" s="555"/>
      <c r="H58" s="555" t="s">
        <v>544</v>
      </c>
    </row>
    <row r="59" spans="1:8" x14ac:dyDescent="0.2">
      <c r="A59" s="530"/>
      <c r="B59" s="569"/>
      <c r="C59" s="568"/>
      <c r="D59" s="524"/>
      <c r="E59" s="524"/>
      <c r="F59" s="560"/>
      <c r="G59" s="555"/>
      <c r="H59" s="555"/>
    </row>
    <row r="60" spans="1:8" x14ac:dyDescent="0.2">
      <c r="A60" s="181">
        <v>1.7</v>
      </c>
      <c r="B60" s="165" t="s">
        <v>545</v>
      </c>
      <c r="C60" s="166"/>
      <c r="D60" s="166"/>
      <c r="E60" s="166"/>
      <c r="F60" s="166"/>
      <c r="G60" s="176"/>
      <c r="H60" s="176"/>
    </row>
    <row r="61" spans="1:8" x14ac:dyDescent="0.2">
      <c r="A61" s="169" t="s">
        <v>546</v>
      </c>
      <c r="B61" s="168" t="s">
        <v>547</v>
      </c>
      <c r="C61" s="557"/>
      <c r="D61" s="167" t="s">
        <v>548</v>
      </c>
      <c r="E61" s="167">
        <v>1</v>
      </c>
      <c r="F61" s="169" t="s">
        <v>192</v>
      </c>
      <c r="G61" s="171">
        <v>1450000</v>
      </c>
      <c r="H61" s="171">
        <v>1450000</v>
      </c>
    </row>
    <row r="62" spans="1:8" x14ac:dyDescent="0.2">
      <c r="A62" s="169" t="s">
        <v>549</v>
      </c>
      <c r="B62" s="168" t="s">
        <v>550</v>
      </c>
      <c r="C62" s="557"/>
      <c r="D62" s="167" t="s">
        <v>551</v>
      </c>
      <c r="E62" s="167">
        <v>1</v>
      </c>
      <c r="F62" s="169" t="s">
        <v>192</v>
      </c>
      <c r="G62" s="171"/>
      <c r="H62" s="171"/>
    </row>
    <row r="63" spans="1:8" x14ac:dyDescent="0.2">
      <c r="A63" s="169" t="s">
        <v>552</v>
      </c>
      <c r="B63" s="168" t="s">
        <v>553</v>
      </c>
      <c r="C63" s="557"/>
      <c r="D63" s="167" t="s">
        <v>554</v>
      </c>
      <c r="E63" s="167">
        <v>1</v>
      </c>
      <c r="F63" s="169" t="s">
        <v>192</v>
      </c>
      <c r="G63" s="171">
        <v>6000000</v>
      </c>
      <c r="H63" s="171">
        <v>6000000</v>
      </c>
    </row>
    <row r="64" spans="1:8" s="154" customFormat="1" x14ac:dyDescent="0.2">
      <c r="A64" s="169" t="s">
        <v>555</v>
      </c>
      <c r="B64" s="168" t="s">
        <v>556</v>
      </c>
      <c r="C64" s="557"/>
      <c r="D64" s="167" t="s">
        <v>341</v>
      </c>
      <c r="E64" s="167">
        <v>1</v>
      </c>
      <c r="F64" s="169" t="s">
        <v>268</v>
      </c>
      <c r="G64" s="171">
        <v>960000</v>
      </c>
      <c r="H64" s="171">
        <v>960000</v>
      </c>
    </row>
    <row r="65" spans="1:8" x14ac:dyDescent="0.2">
      <c r="A65" s="170"/>
      <c r="B65" s="170"/>
      <c r="C65" s="557"/>
      <c r="D65" s="170"/>
      <c r="E65" s="170"/>
      <c r="F65" s="170"/>
      <c r="G65" s="175"/>
      <c r="H65" s="175"/>
    </row>
    <row r="66" spans="1:8" x14ac:dyDescent="0.2">
      <c r="A66" s="170"/>
      <c r="B66" s="170"/>
      <c r="C66" s="557"/>
      <c r="D66" s="170"/>
      <c r="E66" s="170"/>
      <c r="F66" s="170"/>
      <c r="G66" s="175"/>
      <c r="H66" s="175">
        <f>SUM(H61:H65)</f>
        <v>8410000</v>
      </c>
    </row>
    <row r="67" spans="1:8" x14ac:dyDescent="0.2">
      <c r="A67" s="181">
        <v>1.8</v>
      </c>
      <c r="B67" s="165" t="s">
        <v>557</v>
      </c>
      <c r="C67" s="166"/>
      <c r="D67" s="166"/>
      <c r="E67" s="166"/>
      <c r="F67" s="166"/>
      <c r="G67" s="176"/>
      <c r="H67" s="176"/>
    </row>
    <row r="68" spans="1:8" x14ac:dyDescent="0.2">
      <c r="A68" s="169" t="s">
        <v>558</v>
      </c>
      <c r="B68" s="168" t="s">
        <v>559</v>
      </c>
      <c r="C68" s="557"/>
      <c r="D68" s="167" t="s">
        <v>296</v>
      </c>
      <c r="E68" s="167">
        <v>3</v>
      </c>
      <c r="F68" s="169" t="s">
        <v>192</v>
      </c>
      <c r="G68" s="171">
        <v>100000</v>
      </c>
      <c r="H68" s="171">
        <v>100000</v>
      </c>
    </row>
    <row r="69" spans="1:8" x14ac:dyDescent="0.2">
      <c r="A69" s="169" t="s">
        <v>560</v>
      </c>
      <c r="B69" s="168" t="s">
        <v>534</v>
      </c>
      <c r="C69" s="557"/>
      <c r="D69" s="167" t="s">
        <v>561</v>
      </c>
      <c r="E69" s="167">
        <v>2</v>
      </c>
      <c r="F69" s="169" t="s">
        <v>192</v>
      </c>
      <c r="G69" s="171">
        <v>44067</v>
      </c>
      <c r="H69" s="171">
        <v>88134</v>
      </c>
    </row>
    <row r="70" spans="1:8" x14ac:dyDescent="0.2">
      <c r="A70" s="169" t="s">
        <v>562</v>
      </c>
      <c r="B70" s="168" t="s">
        <v>563</v>
      </c>
      <c r="C70" s="557"/>
      <c r="D70" s="167" t="s">
        <v>389</v>
      </c>
      <c r="E70" s="167">
        <v>2</v>
      </c>
      <c r="F70" s="169" t="s">
        <v>192</v>
      </c>
      <c r="G70" s="171"/>
      <c r="H70" s="171"/>
    </row>
    <row r="71" spans="1:8" x14ac:dyDescent="0.2">
      <c r="A71" s="169" t="s">
        <v>564</v>
      </c>
      <c r="B71" s="168" t="s">
        <v>565</v>
      </c>
      <c r="C71" s="557"/>
      <c r="D71" s="167" t="s">
        <v>389</v>
      </c>
      <c r="E71" s="167">
        <v>1</v>
      </c>
      <c r="F71" s="169" t="s">
        <v>192</v>
      </c>
      <c r="G71" s="171">
        <v>200000</v>
      </c>
      <c r="H71" s="171">
        <v>200000</v>
      </c>
    </row>
    <row r="72" spans="1:8" x14ac:dyDescent="0.2">
      <c r="A72" s="169" t="s">
        <v>566</v>
      </c>
      <c r="B72" s="168" t="s">
        <v>567</v>
      </c>
      <c r="C72" s="557"/>
      <c r="D72" s="167" t="s">
        <v>389</v>
      </c>
      <c r="E72" s="167">
        <v>1</v>
      </c>
      <c r="F72" s="169" t="s">
        <v>192</v>
      </c>
      <c r="G72" s="171">
        <v>60500</v>
      </c>
      <c r="H72" s="171">
        <v>60500</v>
      </c>
    </row>
    <row r="73" spans="1:8" x14ac:dyDescent="0.2">
      <c r="A73" s="170" t="s">
        <v>568</v>
      </c>
      <c r="B73" s="170" t="s">
        <v>569</v>
      </c>
      <c r="C73" s="557"/>
      <c r="D73" s="170" t="s">
        <v>570</v>
      </c>
      <c r="E73" s="170">
        <v>1</v>
      </c>
      <c r="F73" s="170" t="s">
        <v>192</v>
      </c>
      <c r="G73" s="175">
        <v>4000000</v>
      </c>
      <c r="H73" s="175">
        <v>4000000</v>
      </c>
    </row>
    <row r="74" spans="1:8" x14ac:dyDescent="0.2">
      <c r="A74" s="170"/>
      <c r="B74" s="170"/>
      <c r="C74" s="170"/>
      <c r="D74" s="170"/>
      <c r="E74" s="170"/>
      <c r="F74" s="170"/>
      <c r="G74" s="175"/>
      <c r="H74" s="175">
        <f>SUM(H68:H73)</f>
        <v>4448634</v>
      </c>
    </row>
    <row r="75" spans="1:8" x14ac:dyDescent="0.2">
      <c r="A75" s="181">
        <v>1.9</v>
      </c>
      <c r="B75" s="165" t="s">
        <v>571</v>
      </c>
      <c r="C75" s="166"/>
      <c r="D75" s="166"/>
      <c r="E75" s="166"/>
      <c r="F75" s="166"/>
      <c r="G75" s="176"/>
      <c r="H75" s="176"/>
    </row>
    <row r="76" spans="1:8" x14ac:dyDescent="0.2">
      <c r="A76" s="169" t="s">
        <v>572</v>
      </c>
      <c r="B76" s="168" t="s">
        <v>573</v>
      </c>
      <c r="C76" s="553"/>
      <c r="D76" s="167" t="s">
        <v>389</v>
      </c>
      <c r="E76" s="182"/>
      <c r="F76" s="182"/>
      <c r="G76" s="183"/>
      <c r="H76" s="183"/>
    </row>
    <row r="77" spans="1:8" x14ac:dyDescent="0.2">
      <c r="A77" s="169" t="s">
        <v>574</v>
      </c>
      <c r="B77" s="168" t="s">
        <v>575</v>
      </c>
      <c r="C77" s="553"/>
      <c r="D77" s="167" t="s">
        <v>389</v>
      </c>
      <c r="E77" s="184"/>
      <c r="F77" s="184"/>
      <c r="G77" s="185"/>
      <c r="H77" s="185"/>
    </row>
    <row r="78" spans="1:8" x14ac:dyDescent="0.2">
      <c r="A78" s="169" t="s">
        <v>576</v>
      </c>
      <c r="B78" s="168" t="s">
        <v>577</v>
      </c>
      <c r="C78" s="553"/>
      <c r="D78" s="167" t="s">
        <v>389</v>
      </c>
      <c r="E78" s="172">
        <v>1</v>
      </c>
      <c r="F78" s="172" t="s">
        <v>578</v>
      </c>
      <c r="G78" s="172">
        <v>42000</v>
      </c>
      <c r="H78" s="172">
        <v>42000</v>
      </c>
    </row>
    <row r="79" spans="1:8" x14ac:dyDescent="0.2">
      <c r="A79" s="169" t="s">
        <v>579</v>
      </c>
      <c r="B79" s="168" t="s">
        <v>580</v>
      </c>
      <c r="C79" s="553"/>
      <c r="D79" s="167" t="s">
        <v>389</v>
      </c>
      <c r="E79" s="172"/>
      <c r="F79" s="172" t="s">
        <v>578</v>
      </c>
      <c r="G79" s="172">
        <v>35000</v>
      </c>
      <c r="H79" s="172">
        <v>35000</v>
      </c>
    </row>
    <row r="80" spans="1:8" x14ac:dyDescent="0.2">
      <c r="A80" s="169" t="s">
        <v>581</v>
      </c>
      <c r="B80" s="168" t="s">
        <v>582</v>
      </c>
      <c r="C80" s="553"/>
      <c r="D80" s="167" t="s">
        <v>583</v>
      </c>
      <c r="E80" s="168">
        <v>1</v>
      </c>
      <c r="F80" s="168" t="s">
        <v>578</v>
      </c>
      <c r="G80" s="172">
        <v>138000</v>
      </c>
      <c r="H80" s="172">
        <v>138000</v>
      </c>
    </row>
    <row r="81" spans="1:8" x14ac:dyDescent="0.2">
      <c r="A81" s="169" t="s">
        <v>584</v>
      </c>
      <c r="B81" s="168" t="s">
        <v>585</v>
      </c>
      <c r="C81" s="553"/>
      <c r="D81" s="167" t="s">
        <v>389</v>
      </c>
      <c r="E81" s="168">
        <v>1</v>
      </c>
      <c r="F81" s="168" t="s">
        <v>192</v>
      </c>
      <c r="G81" s="168"/>
      <c r="H81" s="168"/>
    </row>
    <row r="82" spans="1:8" x14ac:dyDescent="0.2">
      <c r="A82" s="170"/>
      <c r="B82" s="170"/>
      <c r="C82" s="170"/>
      <c r="D82" s="170"/>
      <c r="E82" s="170"/>
      <c r="F82" s="170"/>
      <c r="G82" s="170"/>
      <c r="H82" s="170"/>
    </row>
    <row r="83" spans="1:8" x14ac:dyDescent="0.2">
      <c r="A83" s="152"/>
      <c r="B83" s="152"/>
      <c r="C83" s="152"/>
      <c r="D83" s="152"/>
      <c r="E83" s="152"/>
      <c r="F83" s="152"/>
      <c r="G83" s="152"/>
      <c r="H83" s="152"/>
    </row>
    <row r="84" spans="1:8" x14ac:dyDescent="0.2">
      <c r="A84" s="173"/>
      <c r="B84" s="152"/>
      <c r="C84" s="152"/>
      <c r="D84" s="152"/>
      <c r="E84" s="152"/>
      <c r="F84" s="152"/>
      <c r="G84" s="152"/>
      <c r="H84" s="208">
        <f>SUM(H78:H83)</f>
        <v>215000</v>
      </c>
    </row>
    <row r="85" spans="1:8" x14ac:dyDescent="0.2">
      <c r="A85" s="526" t="s">
        <v>498</v>
      </c>
      <c r="B85" s="526"/>
      <c r="C85" s="526"/>
      <c r="D85" s="526"/>
      <c r="E85" s="526"/>
      <c r="F85" s="526"/>
      <c r="G85" s="526"/>
      <c r="H85" s="526"/>
    </row>
    <row r="86" spans="1:8" x14ac:dyDescent="0.2">
      <c r="A86" s="156" t="s">
        <v>176</v>
      </c>
      <c r="B86" s="157"/>
      <c r="C86" s="157"/>
      <c r="D86" s="158" t="s">
        <v>180</v>
      </c>
      <c r="E86" s="157"/>
      <c r="F86" s="157"/>
      <c r="G86" s="158" t="s">
        <v>184</v>
      </c>
      <c r="H86" s="158" t="s">
        <v>186</v>
      </c>
    </row>
    <row r="87" spans="1:8" x14ac:dyDescent="0.2">
      <c r="A87" s="156" t="s">
        <v>177</v>
      </c>
      <c r="B87" s="158" t="s">
        <v>178</v>
      </c>
      <c r="C87" s="158" t="s">
        <v>179</v>
      </c>
      <c r="D87" s="158" t="s">
        <v>181</v>
      </c>
      <c r="E87" s="158" t="s">
        <v>182</v>
      </c>
      <c r="F87" s="160" t="s">
        <v>183</v>
      </c>
      <c r="G87" s="158" t="s">
        <v>185</v>
      </c>
      <c r="H87" s="158" t="s">
        <v>185</v>
      </c>
    </row>
    <row r="88" spans="1:8" ht="27" x14ac:dyDescent="0.2">
      <c r="A88" s="571">
        <v>2</v>
      </c>
      <c r="B88" s="162" t="s">
        <v>586</v>
      </c>
      <c r="C88" s="572"/>
      <c r="D88" s="572"/>
      <c r="E88" s="572"/>
      <c r="F88" s="572"/>
      <c r="G88" s="572"/>
      <c r="H88" s="572"/>
    </row>
    <row r="89" spans="1:8" x14ac:dyDescent="0.2">
      <c r="A89" s="571"/>
      <c r="B89" s="162" t="s">
        <v>587</v>
      </c>
      <c r="C89" s="572"/>
      <c r="D89" s="572"/>
      <c r="E89" s="572"/>
      <c r="F89" s="572"/>
      <c r="G89" s="572"/>
      <c r="H89" s="572"/>
    </row>
    <row r="90" spans="1:8" ht="18" x14ac:dyDescent="0.2">
      <c r="A90" s="181">
        <v>2.1</v>
      </c>
      <c r="B90" s="165" t="s">
        <v>188</v>
      </c>
      <c r="C90" s="166"/>
      <c r="D90" s="166"/>
      <c r="E90" s="166"/>
      <c r="F90" s="166"/>
      <c r="G90" s="166"/>
      <c r="H90" s="166"/>
    </row>
    <row r="91" spans="1:8" x14ac:dyDescent="0.2">
      <c r="A91" s="169" t="s">
        <v>243</v>
      </c>
      <c r="B91" s="168" t="s">
        <v>588</v>
      </c>
      <c r="C91" s="564"/>
      <c r="D91" s="167" t="s">
        <v>191</v>
      </c>
      <c r="E91" s="167">
        <v>1</v>
      </c>
      <c r="F91" s="169" t="s">
        <v>192</v>
      </c>
      <c r="G91" s="171">
        <v>299600</v>
      </c>
      <c r="H91" s="171">
        <v>299600</v>
      </c>
    </row>
    <row r="92" spans="1:8" x14ac:dyDescent="0.2">
      <c r="A92" s="169" t="s">
        <v>244</v>
      </c>
      <c r="B92" s="168" t="s">
        <v>194</v>
      </c>
      <c r="C92" s="564"/>
      <c r="D92" s="167" t="s">
        <v>191</v>
      </c>
      <c r="E92" s="167">
        <v>1</v>
      </c>
      <c r="F92" s="169" t="s">
        <v>192</v>
      </c>
      <c r="G92" s="171">
        <v>312053</v>
      </c>
      <c r="H92" s="171">
        <v>312053</v>
      </c>
    </row>
    <row r="93" spans="1:8" x14ac:dyDescent="0.2">
      <c r="A93" s="169" t="s">
        <v>245</v>
      </c>
      <c r="B93" s="168" t="s">
        <v>196</v>
      </c>
      <c r="C93" s="564"/>
      <c r="D93" s="167" t="s">
        <v>197</v>
      </c>
      <c r="E93" s="167">
        <v>1</v>
      </c>
      <c r="F93" s="169" t="s">
        <v>192</v>
      </c>
      <c r="G93" s="171">
        <v>7888</v>
      </c>
      <c r="H93" s="171">
        <v>7888</v>
      </c>
    </row>
    <row r="94" spans="1:8" x14ac:dyDescent="0.2">
      <c r="A94" s="169" t="s">
        <v>246</v>
      </c>
      <c r="B94" s="168" t="s">
        <v>196</v>
      </c>
      <c r="C94" s="564"/>
      <c r="D94" s="167" t="s">
        <v>199</v>
      </c>
      <c r="E94" s="167">
        <v>2</v>
      </c>
      <c r="F94" s="169" t="s">
        <v>192</v>
      </c>
      <c r="G94" s="171">
        <v>7888</v>
      </c>
      <c r="H94" s="171">
        <v>15776</v>
      </c>
    </row>
    <row r="95" spans="1:8" x14ac:dyDescent="0.2">
      <c r="A95" s="169" t="s">
        <v>247</v>
      </c>
      <c r="B95" s="168" t="s">
        <v>196</v>
      </c>
      <c r="C95" s="564"/>
      <c r="D95" s="167" t="s">
        <v>495</v>
      </c>
      <c r="E95" s="167">
        <v>2</v>
      </c>
      <c r="F95" s="169" t="s">
        <v>192</v>
      </c>
      <c r="G95" s="171">
        <v>3813</v>
      </c>
      <c r="H95" s="171">
        <v>7626</v>
      </c>
    </row>
    <row r="96" spans="1:8" x14ac:dyDescent="0.2">
      <c r="A96" s="170"/>
      <c r="B96" s="170"/>
      <c r="C96" s="564"/>
      <c r="D96" s="170"/>
      <c r="E96" s="170"/>
      <c r="F96" s="170"/>
      <c r="G96" s="175"/>
      <c r="H96" s="175">
        <f>SUM(H91:H95)</f>
        <v>642943</v>
      </c>
    </row>
    <row r="97" spans="1:8" ht="18" x14ac:dyDescent="0.2">
      <c r="A97" s="181">
        <v>2.2000000000000002</v>
      </c>
      <c r="B97" s="165" t="s">
        <v>248</v>
      </c>
      <c r="C97" s="166"/>
      <c r="D97" s="166"/>
      <c r="E97" s="166"/>
      <c r="F97" s="166"/>
      <c r="G97" s="176"/>
      <c r="H97" s="176"/>
    </row>
    <row r="98" spans="1:8" x14ac:dyDescent="0.2">
      <c r="A98" s="169" t="s">
        <v>249</v>
      </c>
      <c r="B98" s="168" t="s">
        <v>250</v>
      </c>
      <c r="C98" s="570"/>
      <c r="D98" s="167" t="s">
        <v>251</v>
      </c>
      <c r="E98" s="167">
        <v>2</v>
      </c>
      <c r="F98" s="169" t="s">
        <v>192</v>
      </c>
      <c r="G98" s="171">
        <v>2050000</v>
      </c>
      <c r="H98" s="171">
        <v>2050000</v>
      </c>
    </row>
    <row r="99" spans="1:8" x14ac:dyDescent="0.2">
      <c r="A99" s="560" t="s">
        <v>252</v>
      </c>
      <c r="B99" s="569" t="s">
        <v>253</v>
      </c>
      <c r="C99" s="570"/>
      <c r="D99" s="186" t="s">
        <v>205</v>
      </c>
      <c r="E99" s="177"/>
      <c r="F99" s="177"/>
      <c r="G99" s="555">
        <v>2850000</v>
      </c>
      <c r="H99" s="555">
        <v>2850000</v>
      </c>
    </row>
    <row r="100" spans="1:8" ht="22.5" x14ac:dyDescent="0.2">
      <c r="A100" s="560"/>
      <c r="B100" s="569"/>
      <c r="C100" s="570"/>
      <c r="D100" s="186" t="s">
        <v>589</v>
      </c>
      <c r="E100" s="177"/>
      <c r="F100" s="177"/>
      <c r="G100" s="555"/>
      <c r="H100" s="555"/>
    </row>
    <row r="101" spans="1:8" x14ac:dyDescent="0.2">
      <c r="A101" s="560"/>
      <c r="B101" s="569"/>
      <c r="C101" s="570"/>
      <c r="D101" s="187"/>
      <c r="E101" s="188"/>
      <c r="F101" s="169" t="s">
        <v>192</v>
      </c>
      <c r="G101" s="555"/>
      <c r="H101" s="555"/>
    </row>
    <row r="102" spans="1:8" x14ac:dyDescent="0.2">
      <c r="A102" s="560"/>
      <c r="B102" s="569"/>
      <c r="C102" s="570"/>
      <c r="D102" s="187"/>
      <c r="E102" s="167">
        <v>1</v>
      </c>
      <c r="F102" s="187"/>
      <c r="G102" s="555"/>
      <c r="H102" s="555"/>
    </row>
    <row r="103" spans="1:8" x14ac:dyDescent="0.2">
      <c r="A103" s="169" t="s">
        <v>254</v>
      </c>
      <c r="B103" s="168" t="s">
        <v>209</v>
      </c>
      <c r="C103" s="570"/>
      <c r="D103" s="167" t="s">
        <v>255</v>
      </c>
      <c r="E103" s="167">
        <v>2</v>
      </c>
      <c r="F103" s="169" t="s">
        <v>192</v>
      </c>
      <c r="G103" s="171">
        <v>269950</v>
      </c>
      <c r="H103" s="171">
        <v>269950</v>
      </c>
    </row>
    <row r="104" spans="1:8" x14ac:dyDescent="0.2">
      <c r="A104" s="170"/>
      <c r="B104" s="170"/>
      <c r="C104" s="570"/>
      <c r="D104" s="170"/>
      <c r="E104" s="170"/>
      <c r="F104" s="170"/>
      <c r="G104" s="175"/>
      <c r="H104" s="175">
        <f>SUM(H98:H103)</f>
        <v>5169950</v>
      </c>
    </row>
    <row r="105" spans="1:8" ht="18" x14ac:dyDescent="0.2">
      <c r="A105" s="181">
        <v>2.2999999999999998</v>
      </c>
      <c r="B105" s="165" t="s">
        <v>256</v>
      </c>
      <c r="C105" s="166"/>
      <c r="D105" s="166"/>
      <c r="E105" s="166"/>
      <c r="F105" s="166"/>
      <c r="G105" s="176"/>
      <c r="H105" s="176"/>
    </row>
    <row r="106" spans="1:8" ht="18" x14ac:dyDescent="0.2">
      <c r="A106" s="169" t="s">
        <v>257</v>
      </c>
      <c r="B106" s="168" t="s">
        <v>258</v>
      </c>
      <c r="C106" s="566"/>
      <c r="D106" s="167" t="s">
        <v>259</v>
      </c>
      <c r="E106" s="167">
        <v>1</v>
      </c>
      <c r="F106" s="169" t="s">
        <v>192</v>
      </c>
      <c r="G106" s="171">
        <v>3250000</v>
      </c>
      <c r="H106" s="171">
        <v>3250000</v>
      </c>
    </row>
    <row r="107" spans="1:8" x14ac:dyDescent="0.2">
      <c r="A107" s="169" t="s">
        <v>590</v>
      </c>
      <c r="B107" s="168" t="s">
        <v>591</v>
      </c>
      <c r="C107" s="566"/>
      <c r="D107" s="167"/>
      <c r="E107" s="167">
        <v>1</v>
      </c>
      <c r="F107" s="169" t="s">
        <v>592</v>
      </c>
      <c r="G107" s="171">
        <v>135000</v>
      </c>
      <c r="H107" s="171">
        <v>135000</v>
      </c>
    </row>
    <row r="108" spans="1:8" ht="18" x14ac:dyDescent="0.2">
      <c r="A108" s="169" t="s">
        <v>260</v>
      </c>
      <c r="B108" s="168" t="s">
        <v>593</v>
      </c>
      <c r="C108" s="566"/>
      <c r="D108" s="167" t="s">
        <v>259</v>
      </c>
      <c r="E108" s="167">
        <v>1</v>
      </c>
      <c r="F108" s="169" t="s">
        <v>192</v>
      </c>
      <c r="G108" s="171">
        <v>2600000</v>
      </c>
      <c r="H108" s="171">
        <v>2600000</v>
      </c>
    </row>
    <row r="109" spans="1:8" ht="36" x14ac:dyDescent="0.2">
      <c r="A109" s="169" t="s">
        <v>262</v>
      </c>
      <c r="B109" s="168" t="s">
        <v>594</v>
      </c>
      <c r="C109" s="566"/>
      <c r="D109" s="167" t="s">
        <v>264</v>
      </c>
      <c r="E109" s="167">
        <v>1</v>
      </c>
      <c r="F109" s="169" t="s">
        <v>192</v>
      </c>
      <c r="G109" s="171">
        <v>5170000</v>
      </c>
      <c r="H109" s="171">
        <v>5170000</v>
      </c>
    </row>
    <row r="110" spans="1:8" ht="27" x14ac:dyDescent="0.2">
      <c r="A110" s="169" t="s">
        <v>595</v>
      </c>
      <c r="B110" s="168" t="s">
        <v>596</v>
      </c>
      <c r="C110" s="566"/>
      <c r="D110" s="167" t="s">
        <v>597</v>
      </c>
      <c r="E110" s="167">
        <v>1</v>
      </c>
      <c r="F110" s="169" t="s">
        <v>598</v>
      </c>
      <c r="G110" s="171">
        <v>685000</v>
      </c>
      <c r="H110" s="171">
        <v>685000</v>
      </c>
    </row>
    <row r="111" spans="1:8" ht="18" x14ac:dyDescent="0.2">
      <c r="A111" s="169" t="s">
        <v>265</v>
      </c>
      <c r="B111" s="168" t="s">
        <v>266</v>
      </c>
      <c r="C111" s="566"/>
      <c r="D111" s="167" t="s">
        <v>267</v>
      </c>
      <c r="E111" s="167">
        <v>1</v>
      </c>
      <c r="F111" s="169" t="s">
        <v>268</v>
      </c>
      <c r="G111" s="171"/>
      <c r="H111" s="171"/>
    </row>
    <row r="112" spans="1:8" ht="27" x14ac:dyDescent="0.2">
      <c r="A112" s="169" t="s">
        <v>269</v>
      </c>
      <c r="B112" s="168" t="s">
        <v>270</v>
      </c>
      <c r="C112" s="566"/>
      <c r="D112" s="167" t="s">
        <v>267</v>
      </c>
      <c r="E112" s="167">
        <v>1</v>
      </c>
      <c r="F112" s="169" t="s">
        <v>268</v>
      </c>
      <c r="G112" s="171"/>
      <c r="H112" s="171"/>
    </row>
    <row r="113" spans="1:8" x14ac:dyDescent="0.2">
      <c r="A113" s="170"/>
      <c r="B113" s="170"/>
      <c r="C113" s="566"/>
      <c r="D113" s="170"/>
      <c r="E113" s="170"/>
      <c r="F113" s="170"/>
      <c r="G113" s="175"/>
      <c r="H113" s="175">
        <f>SUM(H106:H112)</f>
        <v>11840000</v>
      </c>
    </row>
    <row r="114" spans="1:8" ht="18" x14ac:dyDescent="0.2">
      <c r="A114" s="181">
        <v>2.4</v>
      </c>
      <c r="B114" s="165" t="s">
        <v>271</v>
      </c>
      <c r="C114" s="166"/>
      <c r="D114" s="166"/>
      <c r="E114" s="166"/>
      <c r="F114" s="166"/>
      <c r="G114" s="176"/>
      <c r="H114" s="176"/>
    </row>
    <row r="115" spans="1:8" ht="27" x14ac:dyDescent="0.2">
      <c r="A115" s="169" t="s">
        <v>272</v>
      </c>
      <c r="B115" s="168" t="s">
        <v>599</v>
      </c>
      <c r="C115" s="567"/>
      <c r="D115" s="167" t="s">
        <v>220</v>
      </c>
      <c r="E115" s="167">
        <v>1</v>
      </c>
      <c r="F115" s="169" t="s">
        <v>192</v>
      </c>
      <c r="G115" s="171">
        <v>200000</v>
      </c>
      <c r="H115" s="171">
        <v>200000</v>
      </c>
    </row>
    <row r="116" spans="1:8" ht="18" x14ac:dyDescent="0.2">
      <c r="A116" s="169" t="s">
        <v>273</v>
      </c>
      <c r="B116" s="168" t="s">
        <v>222</v>
      </c>
      <c r="C116" s="567"/>
      <c r="D116" s="167" t="s">
        <v>220</v>
      </c>
      <c r="E116" s="167">
        <v>1</v>
      </c>
      <c r="F116" s="169" t="s">
        <v>192</v>
      </c>
      <c r="G116" s="171">
        <v>3835000</v>
      </c>
      <c r="H116" s="171">
        <v>3835000</v>
      </c>
    </row>
    <row r="117" spans="1:8" ht="27" x14ac:dyDescent="0.2">
      <c r="A117" s="169" t="s">
        <v>275</v>
      </c>
      <c r="B117" s="168" t="s">
        <v>276</v>
      </c>
      <c r="C117" s="567"/>
      <c r="D117" s="167" t="s">
        <v>220</v>
      </c>
      <c r="E117" s="167">
        <v>1</v>
      </c>
      <c r="F117" s="169" t="s">
        <v>192</v>
      </c>
      <c r="G117" s="171">
        <v>3387500</v>
      </c>
      <c r="H117" s="171">
        <v>3387500</v>
      </c>
    </row>
    <row r="118" spans="1:8" ht="18" x14ac:dyDescent="0.2">
      <c r="A118" s="169" t="s">
        <v>600</v>
      </c>
      <c r="B118" s="168" t="s">
        <v>601</v>
      </c>
      <c r="C118" s="567"/>
      <c r="D118" s="167"/>
      <c r="E118" s="167">
        <v>1</v>
      </c>
      <c r="F118" s="169" t="s">
        <v>192</v>
      </c>
      <c r="G118" s="171">
        <v>75000</v>
      </c>
      <c r="H118" s="171">
        <v>75000</v>
      </c>
    </row>
    <row r="119" spans="1:8" ht="18" x14ac:dyDescent="0.2">
      <c r="A119" s="169" t="s">
        <v>277</v>
      </c>
      <c r="B119" s="168" t="s">
        <v>602</v>
      </c>
      <c r="C119" s="567"/>
      <c r="D119" s="167" t="s">
        <v>220</v>
      </c>
      <c r="E119" s="167">
        <v>1</v>
      </c>
      <c r="F119" s="169" t="s">
        <v>192</v>
      </c>
      <c r="G119" s="171">
        <v>1860000</v>
      </c>
      <c r="H119" s="171">
        <v>1860000</v>
      </c>
    </row>
    <row r="120" spans="1:8" ht="18" x14ac:dyDescent="0.2">
      <c r="A120" s="169" t="s">
        <v>279</v>
      </c>
      <c r="B120" s="168" t="s">
        <v>280</v>
      </c>
      <c r="C120" s="567"/>
      <c r="D120" s="167" t="s">
        <v>281</v>
      </c>
      <c r="E120" s="167">
        <v>1</v>
      </c>
      <c r="F120" s="169" t="s">
        <v>192</v>
      </c>
      <c r="G120" s="171">
        <v>340000</v>
      </c>
      <c r="H120" s="171">
        <v>340000</v>
      </c>
    </row>
    <row r="121" spans="1:8" x14ac:dyDescent="0.2">
      <c r="A121" s="169" t="s">
        <v>282</v>
      </c>
      <c r="B121" s="168" t="s">
        <v>603</v>
      </c>
      <c r="C121" s="567"/>
      <c r="D121" s="167" t="s">
        <v>220</v>
      </c>
      <c r="E121" s="167">
        <v>1</v>
      </c>
      <c r="F121" s="169" t="s">
        <v>192</v>
      </c>
      <c r="G121" s="171">
        <v>585000</v>
      </c>
      <c r="H121" s="171">
        <v>585000</v>
      </c>
    </row>
    <row r="122" spans="1:8" ht="18" x14ac:dyDescent="0.2">
      <c r="A122" s="169" t="s">
        <v>283</v>
      </c>
      <c r="B122" s="168" t="s">
        <v>266</v>
      </c>
      <c r="C122" s="567"/>
      <c r="D122" s="167" t="s">
        <v>284</v>
      </c>
      <c r="E122" s="167">
        <v>1</v>
      </c>
      <c r="F122" s="169" t="s">
        <v>268</v>
      </c>
      <c r="G122" s="171"/>
      <c r="H122" s="171"/>
    </row>
    <row r="123" spans="1:8" ht="27" x14ac:dyDescent="0.2">
      <c r="A123" s="169" t="s">
        <v>285</v>
      </c>
      <c r="B123" s="168" t="s">
        <v>270</v>
      </c>
      <c r="C123" s="567"/>
      <c r="D123" s="167" t="s">
        <v>284</v>
      </c>
      <c r="E123" s="167">
        <v>1</v>
      </c>
      <c r="F123" s="169" t="s">
        <v>268</v>
      </c>
      <c r="G123" s="171"/>
      <c r="H123" s="171"/>
    </row>
    <row r="124" spans="1:8" x14ac:dyDescent="0.2">
      <c r="A124" s="170"/>
      <c r="B124" s="170"/>
      <c r="C124" s="170"/>
      <c r="D124" s="170"/>
      <c r="E124" s="170"/>
      <c r="F124" s="170"/>
      <c r="G124" s="175"/>
      <c r="H124" s="175"/>
    </row>
    <row r="125" spans="1:8" x14ac:dyDescent="0.2">
      <c r="A125" s="152"/>
      <c r="B125" s="152"/>
      <c r="C125" s="152"/>
      <c r="D125" s="152"/>
      <c r="E125" s="152"/>
      <c r="F125" s="152"/>
      <c r="G125" s="152"/>
      <c r="H125" s="152"/>
    </row>
    <row r="126" spans="1:8" x14ac:dyDescent="0.2">
      <c r="A126" s="173"/>
      <c r="B126" s="152"/>
      <c r="C126" s="152"/>
      <c r="D126" s="152"/>
      <c r="E126" s="152"/>
      <c r="F126" s="152"/>
      <c r="G126" s="152"/>
      <c r="H126" s="209">
        <f>SUM(H115:H125)</f>
        <v>10282500</v>
      </c>
    </row>
    <row r="127" spans="1:8" x14ac:dyDescent="0.2">
      <c r="A127" s="526" t="s">
        <v>498</v>
      </c>
      <c r="B127" s="526"/>
      <c r="C127" s="526"/>
      <c r="D127" s="526"/>
      <c r="E127" s="526"/>
      <c r="F127" s="526"/>
      <c r="G127" s="526"/>
      <c r="H127" s="526"/>
    </row>
    <row r="128" spans="1:8" x14ac:dyDescent="0.2">
      <c r="A128" s="156" t="s">
        <v>176</v>
      </c>
      <c r="B128" s="157"/>
      <c r="C128" s="157"/>
      <c r="D128" s="158" t="s">
        <v>180</v>
      </c>
      <c r="E128" s="157"/>
      <c r="F128" s="157"/>
      <c r="G128" s="158" t="s">
        <v>184</v>
      </c>
      <c r="H128" s="158" t="s">
        <v>186</v>
      </c>
    </row>
    <row r="129" spans="1:8" x14ac:dyDescent="0.2">
      <c r="A129" s="156" t="s">
        <v>177</v>
      </c>
      <c r="B129" s="158" t="s">
        <v>178</v>
      </c>
      <c r="C129" s="158" t="s">
        <v>179</v>
      </c>
      <c r="D129" s="158" t="s">
        <v>181</v>
      </c>
      <c r="E129" s="158" t="s">
        <v>182</v>
      </c>
      <c r="F129" s="160" t="s">
        <v>183</v>
      </c>
      <c r="G129" s="158" t="s">
        <v>185</v>
      </c>
      <c r="H129" s="158" t="s">
        <v>185</v>
      </c>
    </row>
    <row r="130" spans="1:8" x14ac:dyDescent="0.2">
      <c r="A130" s="170"/>
      <c r="B130" s="170"/>
      <c r="C130" s="170"/>
      <c r="D130" s="170"/>
      <c r="E130" s="170"/>
      <c r="F130" s="170"/>
      <c r="G130" s="172"/>
      <c r="H130" s="172"/>
    </row>
    <row r="131" spans="1:8" ht="27" x14ac:dyDescent="0.2">
      <c r="A131" s="181">
        <v>2.5</v>
      </c>
      <c r="B131" s="165" t="s">
        <v>286</v>
      </c>
      <c r="C131" s="166"/>
      <c r="D131" s="166"/>
      <c r="E131" s="166"/>
      <c r="F131" s="166"/>
      <c r="G131" s="165"/>
      <c r="H131" s="165"/>
    </row>
    <row r="132" spans="1:8" x14ac:dyDescent="0.2">
      <c r="A132" s="169" t="s">
        <v>287</v>
      </c>
      <c r="B132" s="168" t="s">
        <v>235</v>
      </c>
      <c r="C132" s="568"/>
      <c r="D132" s="167" t="s">
        <v>236</v>
      </c>
      <c r="E132" s="167">
        <v>1</v>
      </c>
      <c r="F132" s="169" t="s">
        <v>192</v>
      </c>
      <c r="G132" s="171">
        <v>7888</v>
      </c>
      <c r="H132" s="171">
        <v>7888</v>
      </c>
    </row>
    <row r="133" spans="1:8" x14ac:dyDescent="0.2">
      <c r="A133" s="169" t="s">
        <v>288</v>
      </c>
      <c r="B133" s="168" t="s">
        <v>238</v>
      </c>
      <c r="C133" s="568"/>
      <c r="D133" s="167" t="s">
        <v>239</v>
      </c>
      <c r="E133" s="167">
        <v>1</v>
      </c>
      <c r="F133" s="169" t="s">
        <v>177</v>
      </c>
      <c r="G133" s="171">
        <v>60500</v>
      </c>
      <c r="H133" s="171">
        <v>60500</v>
      </c>
    </row>
    <row r="134" spans="1:8" x14ac:dyDescent="0.2">
      <c r="A134" s="169" t="s">
        <v>289</v>
      </c>
      <c r="B134" s="168" t="s">
        <v>604</v>
      </c>
      <c r="C134" s="568"/>
      <c r="D134" s="167" t="s">
        <v>239</v>
      </c>
      <c r="E134" s="167">
        <v>2</v>
      </c>
      <c r="F134" s="169" t="s">
        <v>177</v>
      </c>
      <c r="G134" s="171">
        <v>60500</v>
      </c>
      <c r="H134" s="171">
        <v>60500</v>
      </c>
    </row>
    <row r="135" spans="1:8" ht="13.5" x14ac:dyDescent="0.2">
      <c r="A135" s="560" t="s">
        <v>290</v>
      </c>
      <c r="B135" s="569" t="s">
        <v>291</v>
      </c>
      <c r="C135" s="568"/>
      <c r="D135" s="167" t="s">
        <v>292</v>
      </c>
      <c r="E135" s="189"/>
      <c r="F135" s="189"/>
      <c r="G135" s="555">
        <v>4500000</v>
      </c>
      <c r="H135" s="555">
        <v>4500000</v>
      </c>
    </row>
    <row r="136" spans="1:8" x14ac:dyDescent="0.2">
      <c r="A136" s="560"/>
      <c r="B136" s="569"/>
      <c r="C136" s="568"/>
      <c r="D136" s="167" t="s">
        <v>293</v>
      </c>
      <c r="E136" s="167">
        <v>1</v>
      </c>
      <c r="F136" s="169" t="s">
        <v>177</v>
      </c>
      <c r="G136" s="555"/>
      <c r="H136" s="555"/>
    </row>
    <row r="137" spans="1:8" x14ac:dyDescent="0.2">
      <c r="A137" s="169" t="s">
        <v>294</v>
      </c>
      <c r="B137" s="168" t="s">
        <v>295</v>
      </c>
      <c r="C137" s="568"/>
      <c r="D137" s="167" t="s">
        <v>296</v>
      </c>
      <c r="E137" s="167">
        <v>2</v>
      </c>
      <c r="F137" s="169" t="s">
        <v>192</v>
      </c>
      <c r="G137" s="171">
        <v>100000</v>
      </c>
      <c r="H137" s="171">
        <v>100000</v>
      </c>
    </row>
    <row r="138" spans="1:8" x14ac:dyDescent="0.2">
      <c r="A138" s="170"/>
      <c r="B138" s="170"/>
      <c r="C138" s="170"/>
      <c r="D138" s="170"/>
      <c r="E138" s="170"/>
      <c r="F138" s="170"/>
      <c r="G138" s="172"/>
      <c r="H138" s="172">
        <f>SUM(H132:H137)</f>
        <v>4728888</v>
      </c>
    </row>
    <row r="139" spans="1:8" ht="27" x14ac:dyDescent="0.2">
      <c r="A139" s="161">
        <v>3</v>
      </c>
      <c r="B139" s="162" t="s">
        <v>605</v>
      </c>
      <c r="C139" s="163"/>
      <c r="D139" s="163"/>
      <c r="E139" s="163"/>
      <c r="F139" s="163"/>
      <c r="G139" s="162"/>
      <c r="H139" s="162"/>
    </row>
    <row r="140" spans="1:8" ht="18" x14ac:dyDescent="0.2">
      <c r="A140" s="181">
        <v>3.1</v>
      </c>
      <c r="B140" s="165" t="s">
        <v>188</v>
      </c>
      <c r="C140" s="166"/>
      <c r="D140" s="166"/>
      <c r="E140" s="166"/>
      <c r="F140" s="166"/>
      <c r="G140" s="165"/>
      <c r="H140" s="165"/>
    </row>
    <row r="141" spans="1:8" x14ac:dyDescent="0.2">
      <c r="A141" s="169" t="s">
        <v>298</v>
      </c>
      <c r="B141" s="168" t="s">
        <v>299</v>
      </c>
      <c r="C141" s="547"/>
      <c r="D141" s="167" t="s">
        <v>191</v>
      </c>
      <c r="E141" s="167">
        <v>2</v>
      </c>
      <c r="F141" s="169" t="s">
        <v>192</v>
      </c>
      <c r="G141" s="171">
        <v>312053</v>
      </c>
      <c r="H141" s="171">
        <v>624106</v>
      </c>
    </row>
    <row r="142" spans="1:8" x14ac:dyDescent="0.2">
      <c r="A142" s="169" t="s">
        <v>300</v>
      </c>
      <c r="B142" s="168" t="s">
        <v>194</v>
      </c>
      <c r="C142" s="547"/>
      <c r="D142" s="167" t="s">
        <v>191</v>
      </c>
      <c r="E142" s="167">
        <v>1</v>
      </c>
      <c r="F142" s="169" t="s">
        <v>192</v>
      </c>
      <c r="G142" s="171">
        <v>312053</v>
      </c>
      <c r="H142" s="171">
        <v>312053</v>
      </c>
    </row>
    <row r="143" spans="1:8" x14ac:dyDescent="0.2">
      <c r="A143" s="169" t="s">
        <v>301</v>
      </c>
      <c r="B143" s="168" t="s">
        <v>196</v>
      </c>
      <c r="C143" s="547"/>
      <c r="D143" s="167" t="s">
        <v>197</v>
      </c>
      <c r="E143" s="167">
        <v>1</v>
      </c>
      <c r="F143" s="169" t="s">
        <v>192</v>
      </c>
      <c r="G143" s="171">
        <v>7888</v>
      </c>
      <c r="H143" s="171">
        <v>7888</v>
      </c>
    </row>
    <row r="144" spans="1:8" x14ac:dyDescent="0.2">
      <c r="A144" s="169" t="s">
        <v>302</v>
      </c>
      <c r="B144" s="168" t="s">
        <v>196</v>
      </c>
      <c r="C144" s="547"/>
      <c r="D144" s="167" t="s">
        <v>199</v>
      </c>
      <c r="E144" s="167">
        <v>2</v>
      </c>
      <c r="F144" s="169" t="s">
        <v>192</v>
      </c>
      <c r="G144" s="171">
        <v>7888</v>
      </c>
      <c r="H144" s="171">
        <v>15776</v>
      </c>
    </row>
    <row r="145" spans="1:8" x14ac:dyDescent="0.2">
      <c r="A145" s="169" t="s">
        <v>303</v>
      </c>
      <c r="B145" s="168" t="s">
        <v>196</v>
      </c>
      <c r="C145" s="547"/>
      <c r="D145" s="167" t="s">
        <v>495</v>
      </c>
      <c r="E145" s="167">
        <v>2</v>
      </c>
      <c r="F145" s="169" t="s">
        <v>192</v>
      </c>
      <c r="G145" s="171">
        <v>3813</v>
      </c>
      <c r="H145" s="171">
        <v>7626</v>
      </c>
    </row>
    <row r="146" spans="1:8" x14ac:dyDescent="0.2">
      <c r="A146" s="170"/>
      <c r="B146" s="170"/>
      <c r="C146" s="547"/>
      <c r="D146" s="170"/>
      <c r="E146" s="170"/>
      <c r="F146" s="170"/>
      <c r="G146" s="172"/>
      <c r="H146" s="172">
        <f>SUM(H141:H145)</f>
        <v>967449</v>
      </c>
    </row>
    <row r="147" spans="1:8" ht="18" x14ac:dyDescent="0.2">
      <c r="A147" s="181">
        <v>3.2</v>
      </c>
      <c r="B147" s="165" t="s">
        <v>304</v>
      </c>
      <c r="C147" s="166"/>
      <c r="D147" s="166"/>
      <c r="E147" s="166"/>
      <c r="F147" s="166"/>
      <c r="G147" s="165"/>
      <c r="H147" s="165"/>
    </row>
    <row r="148" spans="1:8" ht="27" x14ac:dyDescent="0.2">
      <c r="A148" s="560" t="s">
        <v>309</v>
      </c>
      <c r="B148" s="168" t="s">
        <v>606</v>
      </c>
      <c r="C148" s="565"/>
      <c r="D148" s="177"/>
      <c r="E148" s="177"/>
      <c r="F148" s="177"/>
      <c r="G148" s="555" t="s">
        <v>608</v>
      </c>
      <c r="H148" s="555" t="s">
        <v>608</v>
      </c>
    </row>
    <row r="149" spans="1:8" ht="27" x14ac:dyDescent="0.2">
      <c r="A149" s="560"/>
      <c r="B149" s="168" t="s">
        <v>607</v>
      </c>
      <c r="C149" s="565"/>
      <c r="D149" s="190"/>
      <c r="E149" s="190"/>
      <c r="F149" s="190"/>
      <c r="G149" s="555"/>
      <c r="H149" s="555"/>
    </row>
    <row r="150" spans="1:8" x14ac:dyDescent="0.2">
      <c r="A150" s="560"/>
      <c r="B150" s="187"/>
      <c r="C150" s="565"/>
      <c r="D150" s="167" t="s">
        <v>310</v>
      </c>
      <c r="E150" s="167">
        <v>1</v>
      </c>
      <c r="F150" s="169" t="s">
        <v>268</v>
      </c>
      <c r="G150" s="555"/>
      <c r="H150" s="555"/>
    </row>
    <row r="151" spans="1:8" ht="18" x14ac:dyDescent="0.2">
      <c r="A151" s="169" t="s">
        <v>311</v>
      </c>
      <c r="B151" s="168" t="s">
        <v>312</v>
      </c>
      <c r="C151" s="565"/>
      <c r="D151" s="167" t="s">
        <v>313</v>
      </c>
      <c r="E151" s="167">
        <v>1</v>
      </c>
      <c r="F151" s="169" t="s">
        <v>314</v>
      </c>
      <c r="G151" s="171">
        <v>2650000</v>
      </c>
      <c r="H151" s="171">
        <v>2650000</v>
      </c>
    </row>
    <row r="152" spans="1:8" ht="18" x14ac:dyDescent="0.2">
      <c r="A152" s="169" t="s">
        <v>315</v>
      </c>
      <c r="B152" s="168" t="s">
        <v>316</v>
      </c>
      <c r="C152" s="565"/>
      <c r="D152" s="167" t="s">
        <v>313</v>
      </c>
      <c r="E152" s="167">
        <v>1</v>
      </c>
      <c r="F152" s="169" t="s">
        <v>314</v>
      </c>
      <c r="G152" s="171"/>
      <c r="H152" s="171"/>
    </row>
    <row r="153" spans="1:8" x14ac:dyDescent="0.2">
      <c r="A153" s="169" t="s">
        <v>317</v>
      </c>
      <c r="B153" s="168" t="s">
        <v>235</v>
      </c>
      <c r="C153" s="565"/>
      <c r="D153" s="167" t="s">
        <v>236</v>
      </c>
      <c r="E153" s="167">
        <v>1</v>
      </c>
      <c r="F153" s="169" t="s">
        <v>192</v>
      </c>
      <c r="G153" s="171">
        <v>7888</v>
      </c>
      <c r="H153" s="171">
        <v>7888</v>
      </c>
    </row>
    <row r="154" spans="1:8" x14ac:dyDescent="0.2">
      <c r="A154" s="169" t="s">
        <v>318</v>
      </c>
      <c r="B154" s="168" t="s">
        <v>238</v>
      </c>
      <c r="C154" s="565"/>
      <c r="D154" s="167" t="s">
        <v>239</v>
      </c>
      <c r="E154" s="167">
        <v>1</v>
      </c>
      <c r="F154" s="169" t="s">
        <v>177</v>
      </c>
      <c r="G154" s="171">
        <v>60500</v>
      </c>
      <c r="H154" s="171">
        <v>60500</v>
      </c>
    </row>
    <row r="155" spans="1:8" x14ac:dyDescent="0.2">
      <c r="A155" s="169" t="s">
        <v>319</v>
      </c>
      <c r="B155" s="168" t="s">
        <v>567</v>
      </c>
      <c r="C155" s="565"/>
      <c r="D155" s="167" t="s">
        <v>239</v>
      </c>
      <c r="E155" s="167">
        <v>1</v>
      </c>
      <c r="F155" s="169" t="s">
        <v>177</v>
      </c>
      <c r="G155" s="171">
        <v>60500</v>
      </c>
      <c r="H155" s="171">
        <v>60500</v>
      </c>
    </row>
    <row r="156" spans="1:8" x14ac:dyDescent="0.2">
      <c r="A156" s="170"/>
      <c r="B156" s="170"/>
      <c r="C156" s="565"/>
      <c r="D156" s="170"/>
      <c r="E156" s="170"/>
      <c r="F156" s="170"/>
      <c r="G156" s="172"/>
      <c r="H156" s="172"/>
    </row>
    <row r="157" spans="1:8" x14ac:dyDescent="0.2">
      <c r="A157" s="152"/>
      <c r="B157" s="152"/>
      <c r="C157" s="152"/>
      <c r="D157" s="152"/>
      <c r="E157" s="152"/>
      <c r="F157" s="152"/>
      <c r="G157" s="152"/>
      <c r="H157" s="152"/>
    </row>
    <row r="158" spans="1:8" x14ac:dyDescent="0.2">
      <c r="A158" s="173"/>
      <c r="B158" s="152"/>
      <c r="C158" s="152"/>
      <c r="D158" s="152"/>
      <c r="E158" s="152"/>
      <c r="F158" s="152"/>
      <c r="G158" s="152"/>
      <c r="H158" s="208">
        <f>SUM(H151:H157)</f>
        <v>2778888</v>
      </c>
    </row>
    <row r="159" spans="1:8" x14ac:dyDescent="0.2">
      <c r="A159" s="526" t="s">
        <v>498</v>
      </c>
      <c r="B159" s="526"/>
      <c r="C159" s="526"/>
      <c r="D159" s="526"/>
      <c r="E159" s="526"/>
      <c r="F159" s="526"/>
      <c r="G159" s="526"/>
      <c r="H159" s="526"/>
    </row>
    <row r="160" spans="1:8" x14ac:dyDescent="0.2">
      <c r="A160" s="156" t="s">
        <v>176</v>
      </c>
      <c r="B160" s="157"/>
      <c r="C160" s="157"/>
      <c r="D160" s="158" t="s">
        <v>180</v>
      </c>
      <c r="E160" s="157"/>
      <c r="F160" s="157"/>
      <c r="G160" s="158" t="s">
        <v>184</v>
      </c>
      <c r="H160" s="158" t="s">
        <v>186</v>
      </c>
    </row>
    <row r="161" spans="1:8" x14ac:dyDescent="0.2">
      <c r="A161" s="156" t="s">
        <v>177</v>
      </c>
      <c r="B161" s="158" t="s">
        <v>178</v>
      </c>
      <c r="C161" s="158" t="s">
        <v>179</v>
      </c>
      <c r="D161" s="158" t="s">
        <v>181</v>
      </c>
      <c r="E161" s="158" t="s">
        <v>182</v>
      </c>
      <c r="F161" s="160" t="s">
        <v>183</v>
      </c>
      <c r="G161" s="158" t="s">
        <v>185</v>
      </c>
      <c r="H161" s="158" t="s">
        <v>185</v>
      </c>
    </row>
    <row r="162" spans="1:8" x14ac:dyDescent="0.2">
      <c r="A162" s="555">
        <v>5</v>
      </c>
      <c r="B162" s="172" t="s">
        <v>337</v>
      </c>
      <c r="C162" s="564"/>
      <c r="D162" s="530"/>
      <c r="E162" s="524">
        <v>1</v>
      </c>
      <c r="F162" s="560" t="s">
        <v>341</v>
      </c>
      <c r="G162" s="555"/>
      <c r="H162" s="555" t="s">
        <v>624</v>
      </c>
    </row>
    <row r="163" spans="1:8" ht="18" x14ac:dyDescent="0.2">
      <c r="A163" s="555"/>
      <c r="B163" s="168" t="s">
        <v>338</v>
      </c>
      <c r="C163" s="564"/>
      <c r="D163" s="530"/>
      <c r="E163" s="524"/>
      <c r="F163" s="560"/>
      <c r="G163" s="555"/>
      <c r="H163" s="555"/>
    </row>
    <row r="164" spans="1:8" ht="27" x14ac:dyDescent="0.2">
      <c r="A164" s="555"/>
      <c r="B164" s="168" t="s">
        <v>339</v>
      </c>
      <c r="C164" s="564"/>
      <c r="D164" s="530"/>
      <c r="E164" s="524"/>
      <c r="F164" s="560"/>
      <c r="G164" s="555"/>
      <c r="H164" s="555"/>
    </row>
    <row r="165" spans="1:8" x14ac:dyDescent="0.2">
      <c r="A165" s="555"/>
      <c r="B165" s="168" t="s">
        <v>340</v>
      </c>
      <c r="C165" s="564"/>
      <c r="D165" s="530"/>
      <c r="E165" s="524"/>
      <c r="F165" s="560"/>
      <c r="G165" s="555"/>
      <c r="H165" s="555"/>
    </row>
    <row r="166" spans="1:8" x14ac:dyDescent="0.2">
      <c r="A166" s="166"/>
      <c r="B166" s="166"/>
      <c r="C166" s="166"/>
      <c r="D166" s="166"/>
      <c r="E166" s="166"/>
      <c r="F166" s="166"/>
      <c r="G166" s="166"/>
      <c r="H166" s="166"/>
    </row>
    <row r="167" spans="1:8" x14ac:dyDescent="0.2">
      <c r="A167" s="152"/>
      <c r="B167" s="152"/>
      <c r="C167" s="152"/>
      <c r="D167" s="152"/>
      <c r="E167" s="152"/>
      <c r="F167" s="152"/>
      <c r="G167" s="152"/>
      <c r="H167" s="152"/>
    </row>
    <row r="168" spans="1:8" x14ac:dyDescent="0.2">
      <c r="A168" s="173"/>
      <c r="B168" s="152"/>
      <c r="C168" s="152"/>
      <c r="D168" s="152"/>
      <c r="E168" s="152"/>
      <c r="F168" s="152"/>
      <c r="G168" s="152"/>
      <c r="H168" s="152"/>
    </row>
    <row r="169" spans="1:8" x14ac:dyDescent="0.2">
      <c r="A169" s="526" t="s">
        <v>498</v>
      </c>
      <c r="B169" s="526"/>
      <c r="C169" s="526"/>
      <c r="D169" s="526"/>
      <c r="E169" s="526"/>
      <c r="F169" s="526"/>
      <c r="G169" s="526"/>
      <c r="H169" s="526"/>
    </row>
    <row r="170" spans="1:8" x14ac:dyDescent="0.2">
      <c r="A170" s="156" t="s">
        <v>176</v>
      </c>
      <c r="B170" s="157"/>
      <c r="C170" s="157"/>
      <c r="D170" s="158" t="s">
        <v>180</v>
      </c>
      <c r="E170" s="157"/>
      <c r="F170" s="157"/>
      <c r="G170" s="158" t="s">
        <v>184</v>
      </c>
      <c r="H170" s="158" t="s">
        <v>186</v>
      </c>
    </row>
    <row r="171" spans="1:8" x14ac:dyDescent="0.2">
      <c r="A171" s="156" t="s">
        <v>177</v>
      </c>
      <c r="B171" s="158" t="s">
        <v>178</v>
      </c>
      <c r="C171" s="158" t="s">
        <v>179</v>
      </c>
      <c r="D171" s="158" t="s">
        <v>181</v>
      </c>
      <c r="E171" s="158" t="s">
        <v>182</v>
      </c>
      <c r="F171" s="160" t="s">
        <v>183</v>
      </c>
      <c r="G171" s="158" t="s">
        <v>185</v>
      </c>
      <c r="H171" s="158" t="s">
        <v>185</v>
      </c>
    </row>
    <row r="172" spans="1:8" ht="22.5" customHeight="1" x14ac:dyDescent="0.2">
      <c r="A172" s="529">
        <v>6</v>
      </c>
      <c r="B172" s="522" t="s">
        <v>342</v>
      </c>
      <c r="C172" s="563"/>
      <c r="D172" s="530"/>
      <c r="E172" s="524">
        <v>1</v>
      </c>
      <c r="F172" s="560" t="s">
        <v>341</v>
      </c>
      <c r="G172" s="555" t="s">
        <v>609</v>
      </c>
      <c r="H172" s="555" t="s">
        <v>609</v>
      </c>
    </row>
    <row r="173" spans="1:8" x14ac:dyDescent="0.2">
      <c r="A173" s="529"/>
      <c r="B173" s="522"/>
      <c r="C173" s="563"/>
      <c r="D173" s="530"/>
      <c r="E173" s="524"/>
      <c r="F173" s="560"/>
      <c r="G173" s="555"/>
      <c r="H173" s="555"/>
    </row>
    <row r="174" spans="1:8" x14ac:dyDescent="0.2">
      <c r="A174" s="551"/>
      <c r="B174" s="551"/>
      <c r="C174" s="551"/>
      <c r="D174" s="551"/>
      <c r="E174" s="166"/>
      <c r="F174" s="166"/>
      <c r="G174" s="176"/>
      <c r="H174" s="176"/>
    </row>
    <row r="175" spans="1:8" x14ac:dyDescent="0.2">
      <c r="A175" s="529">
        <v>7</v>
      </c>
      <c r="B175" s="522" t="s">
        <v>343</v>
      </c>
      <c r="C175" s="191"/>
      <c r="D175" s="530"/>
      <c r="E175" s="524">
        <v>30</v>
      </c>
      <c r="F175" s="560" t="s">
        <v>341</v>
      </c>
      <c r="G175" s="555" t="s">
        <v>610</v>
      </c>
      <c r="H175" s="555">
        <v>156000</v>
      </c>
    </row>
    <row r="176" spans="1:8" x14ac:dyDescent="0.2">
      <c r="A176" s="529"/>
      <c r="B176" s="522"/>
      <c r="C176" s="192"/>
      <c r="D176" s="530"/>
      <c r="E176" s="524"/>
      <c r="F176" s="560"/>
      <c r="G176" s="555"/>
      <c r="H176" s="555"/>
    </row>
    <row r="177" spans="1:9" x14ac:dyDescent="0.2">
      <c r="A177" s="529"/>
      <c r="B177" s="522"/>
      <c r="C177" s="191" t="s">
        <v>44</v>
      </c>
      <c r="D177" s="530"/>
      <c r="E177" s="524"/>
      <c r="F177" s="560"/>
      <c r="G177" s="555"/>
      <c r="H177" s="555"/>
    </row>
    <row r="178" spans="1:9" x14ac:dyDescent="0.2">
      <c r="A178" s="529"/>
      <c r="B178" s="522"/>
      <c r="C178" s="193"/>
      <c r="D178" s="530"/>
      <c r="E178" s="524"/>
      <c r="F178" s="560"/>
      <c r="G178" s="555"/>
      <c r="H178" s="555"/>
    </row>
    <row r="179" spans="1:9" x14ac:dyDescent="0.2">
      <c r="A179" s="551"/>
      <c r="B179" s="551"/>
      <c r="C179" s="551"/>
      <c r="D179" s="166"/>
      <c r="E179" s="166"/>
      <c r="F179" s="166"/>
      <c r="G179" s="176"/>
      <c r="H179" s="176"/>
    </row>
    <row r="180" spans="1:9" ht="49.5" customHeight="1" x14ac:dyDescent="0.2">
      <c r="A180" s="529">
        <v>7</v>
      </c>
      <c r="B180" s="194">
        <v>8</v>
      </c>
      <c r="C180" s="553"/>
      <c r="D180" s="530"/>
      <c r="E180" s="524">
        <v>1</v>
      </c>
      <c r="F180" s="560" t="s">
        <v>350</v>
      </c>
      <c r="G180" s="555">
        <v>37773400</v>
      </c>
      <c r="H180" s="555">
        <v>37773400</v>
      </c>
    </row>
    <row r="181" spans="1:9" ht="36" x14ac:dyDescent="0.2">
      <c r="A181" s="529"/>
      <c r="B181" s="168" t="s">
        <v>345</v>
      </c>
      <c r="C181" s="553"/>
      <c r="D181" s="530"/>
      <c r="E181" s="524"/>
      <c r="F181" s="560"/>
      <c r="G181" s="555"/>
      <c r="H181" s="555"/>
    </row>
    <row r="182" spans="1:9" ht="27" x14ac:dyDescent="0.2">
      <c r="A182" s="529"/>
      <c r="B182" s="168" t="s">
        <v>346</v>
      </c>
      <c r="C182" s="553"/>
      <c r="D182" s="530"/>
      <c r="E182" s="524"/>
      <c r="F182" s="560"/>
      <c r="G182" s="555"/>
      <c r="H182" s="555"/>
    </row>
    <row r="183" spans="1:9" x14ac:dyDescent="0.2">
      <c r="A183" s="529"/>
      <c r="B183" s="168" t="s">
        <v>347</v>
      </c>
      <c r="C183" s="553"/>
      <c r="D183" s="530"/>
      <c r="E183" s="524"/>
      <c r="F183" s="560"/>
      <c r="G183" s="555"/>
      <c r="H183" s="555"/>
    </row>
    <row r="184" spans="1:9" ht="36" x14ac:dyDescent="0.2">
      <c r="A184" s="529"/>
      <c r="B184" s="168" t="s">
        <v>348</v>
      </c>
      <c r="C184" s="553"/>
      <c r="D184" s="530"/>
      <c r="E184" s="524"/>
      <c r="F184" s="560"/>
      <c r="G184" s="555"/>
      <c r="H184" s="555"/>
    </row>
    <row r="185" spans="1:9" ht="18" x14ac:dyDescent="0.2">
      <c r="A185" s="529"/>
      <c r="B185" s="168" t="s">
        <v>349</v>
      </c>
      <c r="C185" s="553"/>
      <c r="D185" s="530"/>
      <c r="E185" s="524"/>
      <c r="F185" s="560"/>
      <c r="G185" s="555"/>
      <c r="H185" s="555"/>
    </row>
    <row r="186" spans="1:9" ht="36" x14ac:dyDescent="0.2">
      <c r="A186" s="529"/>
      <c r="B186" s="168" t="s">
        <v>351</v>
      </c>
      <c r="C186" s="553"/>
      <c r="D186" s="530"/>
      <c r="E186" s="524"/>
      <c r="F186" s="560"/>
      <c r="G186" s="555"/>
      <c r="H186" s="555"/>
    </row>
    <row r="187" spans="1:9" ht="18" x14ac:dyDescent="0.2">
      <c r="A187" s="529"/>
      <c r="B187" s="168" t="s">
        <v>352</v>
      </c>
      <c r="C187" s="553"/>
      <c r="D187" s="530"/>
      <c r="E187" s="524"/>
      <c r="F187" s="560"/>
      <c r="G187" s="555"/>
      <c r="H187" s="555"/>
    </row>
    <row r="188" spans="1:9" ht="27" x14ac:dyDescent="0.2">
      <c r="A188" s="529"/>
      <c r="B188" s="168" t="s">
        <v>353</v>
      </c>
      <c r="C188" s="553"/>
      <c r="D188" s="530"/>
      <c r="E188" s="524"/>
      <c r="F188" s="560"/>
      <c r="G188" s="555"/>
      <c r="H188" s="555"/>
      <c r="I188" s="2">
        <v>37773400</v>
      </c>
    </row>
    <row r="189" spans="1:9" x14ac:dyDescent="0.2">
      <c r="A189" s="551"/>
      <c r="B189" s="551"/>
      <c r="C189" s="551"/>
      <c r="D189" s="551"/>
      <c r="E189" s="166"/>
      <c r="F189" s="166"/>
      <c r="G189" s="166"/>
      <c r="H189" s="176">
        <f>SUM(H175:H188)</f>
        <v>37929400</v>
      </c>
    </row>
    <row r="190" spans="1:9" x14ac:dyDescent="0.2">
      <c r="A190" s="152"/>
      <c r="B190" s="152"/>
      <c r="C190" s="152"/>
      <c r="D190" s="152"/>
      <c r="E190" s="152"/>
      <c r="F190" s="152"/>
      <c r="G190" s="152"/>
      <c r="H190" s="152"/>
    </row>
    <row r="191" spans="1:9" x14ac:dyDescent="0.2">
      <c r="A191" s="173"/>
      <c r="B191" s="152"/>
      <c r="C191" s="152"/>
      <c r="D191" s="152"/>
      <c r="E191" s="152"/>
      <c r="F191" s="152"/>
      <c r="G191" s="152"/>
      <c r="H191" s="152"/>
    </row>
    <row r="192" spans="1:9" x14ac:dyDescent="0.2">
      <c r="A192" s="526" t="s">
        <v>498</v>
      </c>
      <c r="B192" s="526"/>
      <c r="C192" s="526"/>
      <c r="D192" s="526"/>
      <c r="E192" s="526"/>
      <c r="F192" s="526"/>
      <c r="G192" s="526"/>
      <c r="H192" s="526"/>
    </row>
    <row r="193" spans="1:8" x14ac:dyDescent="0.2">
      <c r="A193" s="156" t="s">
        <v>176</v>
      </c>
      <c r="B193" s="157"/>
      <c r="C193" s="157"/>
      <c r="D193" s="158" t="s">
        <v>180</v>
      </c>
      <c r="E193" s="157"/>
      <c r="F193" s="157"/>
      <c r="G193" s="158" t="s">
        <v>184</v>
      </c>
      <c r="H193" s="158" t="s">
        <v>186</v>
      </c>
    </row>
    <row r="194" spans="1:8" x14ac:dyDescent="0.2">
      <c r="A194" s="156" t="s">
        <v>177</v>
      </c>
      <c r="B194" s="158" t="s">
        <v>178</v>
      </c>
      <c r="C194" s="158" t="s">
        <v>179</v>
      </c>
      <c r="D194" s="158" t="s">
        <v>181</v>
      </c>
      <c r="E194" s="158" t="s">
        <v>182</v>
      </c>
      <c r="F194" s="160" t="s">
        <v>183</v>
      </c>
      <c r="G194" s="158" t="s">
        <v>185</v>
      </c>
      <c r="H194" s="158" t="s">
        <v>185</v>
      </c>
    </row>
    <row r="195" spans="1:8" x14ac:dyDescent="0.2">
      <c r="A195" s="555">
        <v>8</v>
      </c>
      <c r="B195" s="172" t="s">
        <v>354</v>
      </c>
      <c r="C195" s="562"/>
      <c r="D195" s="530"/>
      <c r="E195" s="524">
        <v>1</v>
      </c>
      <c r="F195" s="560" t="s">
        <v>350</v>
      </c>
      <c r="G195" s="522">
        <v>41140740</v>
      </c>
      <c r="H195" s="529">
        <v>41140740</v>
      </c>
    </row>
    <row r="196" spans="1:8" ht="18" x14ac:dyDescent="0.2">
      <c r="A196" s="555"/>
      <c r="B196" s="168" t="s">
        <v>611</v>
      </c>
      <c r="C196" s="562"/>
      <c r="D196" s="530"/>
      <c r="E196" s="524"/>
      <c r="F196" s="560"/>
      <c r="G196" s="522"/>
      <c r="H196" s="529"/>
    </row>
    <row r="197" spans="1:8" ht="45" x14ac:dyDescent="0.2">
      <c r="A197" s="555"/>
      <c r="B197" s="168" t="s">
        <v>356</v>
      </c>
      <c r="C197" s="562"/>
      <c r="D197" s="530"/>
      <c r="E197" s="524"/>
      <c r="F197" s="560"/>
      <c r="G197" s="522"/>
      <c r="H197" s="529"/>
    </row>
    <row r="198" spans="1:8" ht="18" x14ac:dyDescent="0.2">
      <c r="A198" s="555"/>
      <c r="B198" s="168" t="s">
        <v>357</v>
      </c>
      <c r="C198" s="562"/>
      <c r="D198" s="530"/>
      <c r="E198" s="524"/>
      <c r="F198" s="560"/>
      <c r="G198" s="522"/>
      <c r="H198" s="529"/>
    </row>
    <row r="199" spans="1:8" ht="36" x14ac:dyDescent="0.2">
      <c r="A199" s="555"/>
      <c r="B199" s="168" t="s">
        <v>358</v>
      </c>
      <c r="C199" s="562"/>
      <c r="D199" s="530"/>
      <c r="E199" s="524"/>
      <c r="F199" s="560"/>
      <c r="G199" s="522"/>
      <c r="H199" s="529"/>
    </row>
    <row r="200" spans="1:8" ht="27" x14ac:dyDescent="0.2">
      <c r="A200" s="555"/>
      <c r="B200" s="168" t="s">
        <v>359</v>
      </c>
      <c r="C200" s="562"/>
      <c r="D200" s="530"/>
      <c r="E200" s="524"/>
      <c r="F200" s="560"/>
      <c r="G200" s="522"/>
      <c r="H200" s="529"/>
    </row>
    <row r="201" spans="1:8" ht="18" x14ac:dyDescent="0.2">
      <c r="A201" s="555"/>
      <c r="B201" s="168" t="s">
        <v>360</v>
      </c>
      <c r="C201" s="562"/>
      <c r="D201" s="530"/>
      <c r="E201" s="524"/>
      <c r="F201" s="560"/>
      <c r="G201" s="522"/>
      <c r="H201" s="529"/>
    </row>
    <row r="202" spans="1:8" x14ac:dyDescent="0.2">
      <c r="A202" s="555"/>
      <c r="B202" s="168" t="s">
        <v>361</v>
      </c>
      <c r="C202" s="562"/>
      <c r="D202" s="530"/>
      <c r="E202" s="524"/>
      <c r="F202" s="560"/>
      <c r="G202" s="522"/>
      <c r="H202" s="529"/>
    </row>
    <row r="203" spans="1:8" ht="36" x14ac:dyDescent="0.2">
      <c r="A203" s="555"/>
      <c r="B203" s="168" t="s">
        <v>362</v>
      </c>
      <c r="C203" s="562"/>
      <c r="D203" s="530"/>
      <c r="E203" s="524"/>
      <c r="F203" s="560"/>
      <c r="G203" s="522"/>
      <c r="H203" s="529"/>
    </row>
    <row r="204" spans="1:8" ht="18" x14ac:dyDescent="0.2">
      <c r="A204" s="555"/>
      <c r="B204" s="168" t="s">
        <v>363</v>
      </c>
      <c r="C204" s="562"/>
      <c r="D204" s="530"/>
      <c r="E204" s="524"/>
      <c r="F204" s="560"/>
      <c r="G204" s="522"/>
      <c r="H204" s="529"/>
    </row>
    <row r="205" spans="1:8" x14ac:dyDescent="0.2">
      <c r="A205" s="555"/>
      <c r="B205" s="168" t="s">
        <v>364</v>
      </c>
      <c r="C205" s="562"/>
      <c r="D205" s="530"/>
      <c r="E205" s="524"/>
      <c r="F205" s="560"/>
      <c r="G205" s="522"/>
      <c r="H205" s="529"/>
    </row>
    <row r="206" spans="1:8" x14ac:dyDescent="0.2">
      <c r="A206" s="551"/>
      <c r="B206" s="551"/>
      <c r="C206" s="551"/>
      <c r="D206" s="551"/>
      <c r="E206" s="166"/>
      <c r="F206" s="166"/>
      <c r="G206" s="176"/>
      <c r="H206" s="176"/>
    </row>
    <row r="207" spans="1:8" ht="18" x14ac:dyDescent="0.2">
      <c r="A207" s="555">
        <v>9</v>
      </c>
      <c r="B207" s="172" t="s">
        <v>365</v>
      </c>
      <c r="C207" s="195"/>
      <c r="D207" s="530"/>
      <c r="E207" s="524">
        <v>1</v>
      </c>
      <c r="F207" s="561" t="s">
        <v>350</v>
      </c>
      <c r="G207" s="522">
        <v>4500000</v>
      </c>
      <c r="H207" s="529">
        <v>4500000</v>
      </c>
    </row>
    <row r="208" spans="1:8" ht="18" x14ac:dyDescent="0.2">
      <c r="A208" s="555"/>
      <c r="B208" s="168" t="s">
        <v>366</v>
      </c>
      <c r="C208" s="191" t="s">
        <v>44</v>
      </c>
      <c r="D208" s="530"/>
      <c r="E208" s="524"/>
      <c r="F208" s="561"/>
      <c r="G208" s="522"/>
      <c r="H208" s="529"/>
    </row>
    <row r="209" spans="1:9" ht="27" x14ac:dyDescent="0.2">
      <c r="A209" s="555"/>
      <c r="B209" s="168" t="s">
        <v>367</v>
      </c>
      <c r="C209" s="187"/>
      <c r="D209" s="530"/>
      <c r="E209" s="524"/>
      <c r="F209" s="561"/>
      <c r="G209" s="522"/>
      <c r="H209" s="529"/>
    </row>
    <row r="210" spans="1:9" x14ac:dyDescent="0.2">
      <c r="A210" s="555"/>
      <c r="B210" s="168" t="s">
        <v>368</v>
      </c>
      <c r="C210" s="196"/>
      <c r="D210" s="530"/>
      <c r="E210" s="524"/>
      <c r="F210" s="561"/>
      <c r="G210" s="522"/>
      <c r="H210" s="529"/>
    </row>
    <row r="211" spans="1:9" ht="54" x14ac:dyDescent="0.2">
      <c r="A211" s="555"/>
      <c r="B211" s="168" t="s">
        <v>369</v>
      </c>
      <c r="C211" s="191" t="s">
        <v>44</v>
      </c>
      <c r="D211" s="530"/>
      <c r="E211" s="524"/>
      <c r="F211" s="561"/>
      <c r="G211" s="522"/>
      <c r="H211" s="529"/>
    </row>
    <row r="212" spans="1:9" ht="27" x14ac:dyDescent="0.2">
      <c r="A212" s="555"/>
      <c r="B212" s="168" t="s">
        <v>370</v>
      </c>
      <c r="C212" s="193"/>
      <c r="D212" s="530"/>
      <c r="E212" s="524"/>
      <c r="F212" s="561"/>
      <c r="G212" s="522"/>
      <c r="H212" s="529"/>
    </row>
    <row r="213" spans="1:9" ht="18" x14ac:dyDescent="0.2">
      <c r="A213" s="555"/>
      <c r="B213" s="168" t="s">
        <v>371</v>
      </c>
      <c r="C213" s="193"/>
      <c r="D213" s="530"/>
      <c r="E213" s="524"/>
      <c r="F213" s="561"/>
      <c r="G213" s="522"/>
      <c r="H213" s="529"/>
    </row>
    <row r="214" spans="1:9" x14ac:dyDescent="0.2">
      <c r="A214" s="555"/>
      <c r="B214" s="170"/>
      <c r="C214" s="193"/>
      <c r="D214" s="530"/>
      <c r="E214" s="524"/>
      <c r="F214" s="561"/>
      <c r="G214" s="522"/>
      <c r="H214" s="529"/>
    </row>
    <row r="215" spans="1:9" x14ac:dyDescent="0.2">
      <c r="A215" s="152"/>
      <c r="B215" s="152"/>
      <c r="C215" s="152"/>
      <c r="D215" s="152"/>
      <c r="E215" s="152"/>
      <c r="F215" s="152"/>
      <c r="G215" s="152"/>
      <c r="H215" s="208"/>
    </row>
    <row r="216" spans="1:9" x14ac:dyDescent="0.2">
      <c r="A216" s="173"/>
      <c r="B216" s="152"/>
      <c r="C216" s="152"/>
      <c r="D216" s="152"/>
      <c r="E216" s="152"/>
      <c r="F216" s="152"/>
      <c r="G216" s="152"/>
      <c r="H216" s="152"/>
    </row>
    <row r="217" spans="1:9" x14ac:dyDescent="0.2">
      <c r="A217" s="526" t="s">
        <v>498</v>
      </c>
      <c r="B217" s="526"/>
      <c r="C217" s="526"/>
      <c r="D217" s="526"/>
      <c r="E217" s="526"/>
      <c r="F217" s="526"/>
      <c r="G217" s="526"/>
      <c r="H217" s="526"/>
    </row>
    <row r="218" spans="1:9" x14ac:dyDescent="0.2">
      <c r="A218" s="156" t="s">
        <v>176</v>
      </c>
      <c r="B218" s="157"/>
      <c r="C218" s="157"/>
      <c r="D218" s="158" t="s">
        <v>180</v>
      </c>
      <c r="E218" s="157"/>
      <c r="F218" s="157"/>
      <c r="G218" s="158" t="s">
        <v>184</v>
      </c>
      <c r="H218" s="158" t="s">
        <v>186</v>
      </c>
    </row>
    <row r="219" spans="1:9" x14ac:dyDescent="0.2">
      <c r="A219" s="156" t="s">
        <v>177</v>
      </c>
      <c r="B219" s="158" t="s">
        <v>178</v>
      </c>
      <c r="C219" s="158" t="s">
        <v>179</v>
      </c>
      <c r="D219" s="158" t="s">
        <v>181</v>
      </c>
      <c r="E219" s="158" t="s">
        <v>182</v>
      </c>
      <c r="F219" s="160" t="s">
        <v>183</v>
      </c>
      <c r="G219" s="158" t="s">
        <v>185</v>
      </c>
      <c r="H219" s="158" t="s">
        <v>185</v>
      </c>
    </row>
    <row r="220" spans="1:9" x14ac:dyDescent="0.2">
      <c r="A220" s="551"/>
      <c r="B220" s="551"/>
      <c r="C220" s="551"/>
      <c r="D220" s="551"/>
      <c r="E220" s="166"/>
      <c r="F220" s="166"/>
      <c r="G220" s="166"/>
      <c r="H220" s="166"/>
    </row>
    <row r="221" spans="1:9" x14ac:dyDescent="0.2">
      <c r="A221" s="555">
        <v>10</v>
      </c>
      <c r="B221" s="522" t="s">
        <v>372</v>
      </c>
      <c r="C221" s="530"/>
      <c r="D221" s="530"/>
      <c r="E221" s="524">
        <v>1</v>
      </c>
      <c r="F221" s="560" t="s">
        <v>341</v>
      </c>
      <c r="G221" s="555">
        <v>27500000</v>
      </c>
      <c r="H221" s="555">
        <v>27500000</v>
      </c>
    </row>
    <row r="222" spans="1:9" x14ac:dyDescent="0.2">
      <c r="A222" s="555"/>
      <c r="B222" s="522"/>
      <c r="C222" s="530"/>
      <c r="D222" s="530"/>
      <c r="E222" s="524"/>
      <c r="F222" s="560"/>
      <c r="G222" s="555"/>
      <c r="H222" s="555"/>
      <c r="I222" s="2">
        <v>27500000</v>
      </c>
    </row>
    <row r="223" spans="1:9" ht="36" x14ac:dyDescent="0.2">
      <c r="A223" s="530"/>
      <c r="B223" s="168" t="s">
        <v>373</v>
      </c>
      <c r="C223" s="197"/>
      <c r="D223" s="530"/>
      <c r="E223" s="530"/>
      <c r="F223" s="530"/>
      <c r="G223" s="559"/>
      <c r="H223" s="559"/>
    </row>
    <row r="224" spans="1:9" ht="27" x14ac:dyDescent="0.2">
      <c r="A224" s="530"/>
      <c r="B224" s="168" t="s">
        <v>374</v>
      </c>
      <c r="C224" s="191" t="s">
        <v>44</v>
      </c>
      <c r="D224" s="530"/>
      <c r="E224" s="530"/>
      <c r="F224" s="530"/>
      <c r="G224" s="559"/>
      <c r="H224" s="559"/>
    </row>
    <row r="225" spans="1:8" ht="36" x14ac:dyDescent="0.2">
      <c r="A225" s="530"/>
      <c r="B225" s="168" t="s">
        <v>375</v>
      </c>
      <c r="C225" s="193"/>
      <c r="D225" s="530"/>
      <c r="E225" s="530"/>
      <c r="F225" s="530"/>
      <c r="G225" s="559"/>
      <c r="H225" s="559"/>
    </row>
    <row r="226" spans="1:8" ht="18" x14ac:dyDescent="0.2">
      <c r="A226" s="530"/>
      <c r="B226" s="168" t="s">
        <v>376</v>
      </c>
      <c r="C226" s="193"/>
      <c r="D226" s="530"/>
      <c r="E226" s="530"/>
      <c r="F226" s="530"/>
      <c r="G226" s="559"/>
      <c r="H226" s="559"/>
    </row>
    <row r="227" spans="1:8" ht="54" x14ac:dyDescent="0.2">
      <c r="A227" s="530"/>
      <c r="B227" s="168" t="s">
        <v>377</v>
      </c>
      <c r="C227" s="193"/>
      <c r="D227" s="530"/>
      <c r="E227" s="530"/>
      <c r="F227" s="530"/>
      <c r="G227" s="559"/>
      <c r="H227" s="559"/>
    </row>
    <row r="228" spans="1:8" ht="18" x14ac:dyDescent="0.2">
      <c r="A228" s="530"/>
      <c r="B228" s="168" t="s">
        <v>378</v>
      </c>
      <c r="C228" s="193"/>
      <c r="D228" s="530"/>
      <c r="E228" s="530"/>
      <c r="F228" s="530"/>
      <c r="G228" s="559"/>
      <c r="H228" s="559"/>
    </row>
    <row r="229" spans="1:8" x14ac:dyDescent="0.2">
      <c r="A229" s="530"/>
      <c r="B229" s="168" t="s">
        <v>379</v>
      </c>
      <c r="C229" s="193"/>
      <c r="D229" s="530"/>
      <c r="E229" s="530"/>
      <c r="F229" s="530"/>
      <c r="G229" s="559"/>
      <c r="H229" s="559"/>
    </row>
    <row r="230" spans="1:8" x14ac:dyDescent="0.2">
      <c r="A230" s="530"/>
      <c r="B230" s="170"/>
      <c r="C230" s="193"/>
      <c r="D230" s="530"/>
      <c r="E230" s="530"/>
      <c r="F230" s="530"/>
      <c r="G230" s="559"/>
      <c r="H230" s="559"/>
    </row>
    <row r="231" spans="1:8" x14ac:dyDescent="0.2">
      <c r="A231" s="166"/>
      <c r="B231" s="166"/>
      <c r="C231" s="166"/>
      <c r="D231" s="166"/>
      <c r="E231" s="166"/>
      <c r="F231" s="166"/>
      <c r="G231" s="176"/>
      <c r="H231" s="176"/>
    </row>
    <row r="232" spans="1:8" ht="18" x14ac:dyDescent="0.2">
      <c r="A232" s="171">
        <v>11</v>
      </c>
      <c r="B232" s="172" t="s">
        <v>380</v>
      </c>
      <c r="C232" s="170"/>
      <c r="D232" s="170"/>
      <c r="E232" s="170"/>
      <c r="F232" s="170"/>
      <c r="G232" s="175"/>
      <c r="H232" s="175"/>
    </row>
    <row r="233" spans="1:8" x14ac:dyDescent="0.2">
      <c r="A233" s="167">
        <v>11.1</v>
      </c>
      <c r="B233" s="168" t="s">
        <v>381</v>
      </c>
      <c r="C233" s="198"/>
      <c r="D233" s="167" t="s">
        <v>382</v>
      </c>
      <c r="E233" s="167">
        <v>38</v>
      </c>
      <c r="F233" s="169" t="s">
        <v>192</v>
      </c>
      <c r="G233" s="171">
        <v>182000</v>
      </c>
      <c r="H233" s="171">
        <v>6916000</v>
      </c>
    </row>
    <row r="234" spans="1:8" x14ac:dyDescent="0.2">
      <c r="A234" s="167">
        <v>11.2</v>
      </c>
      <c r="B234" s="168" t="s">
        <v>383</v>
      </c>
      <c r="C234" s="199" t="s">
        <v>44</v>
      </c>
      <c r="D234" s="167" t="s">
        <v>382</v>
      </c>
      <c r="E234" s="167">
        <v>15</v>
      </c>
      <c r="F234" s="169" t="s">
        <v>192</v>
      </c>
      <c r="G234" s="171">
        <v>105000</v>
      </c>
      <c r="H234" s="171">
        <v>1575000</v>
      </c>
    </row>
    <row r="235" spans="1:8" x14ac:dyDescent="0.2">
      <c r="A235" s="167">
        <v>11.3</v>
      </c>
      <c r="B235" s="168" t="s">
        <v>381</v>
      </c>
      <c r="C235" s="187"/>
      <c r="D235" s="167" t="s">
        <v>384</v>
      </c>
      <c r="E235" s="167">
        <v>8</v>
      </c>
      <c r="F235" s="169" t="s">
        <v>192</v>
      </c>
      <c r="G235" s="171">
        <v>77000</v>
      </c>
      <c r="H235" s="171">
        <v>616000</v>
      </c>
    </row>
    <row r="236" spans="1:8" x14ac:dyDescent="0.2">
      <c r="A236" s="167">
        <v>11.4</v>
      </c>
      <c r="B236" s="168" t="s">
        <v>383</v>
      </c>
      <c r="C236" s="200"/>
      <c r="D236" s="167" t="s">
        <v>384</v>
      </c>
      <c r="E236" s="167">
        <v>2</v>
      </c>
      <c r="F236" s="169" t="s">
        <v>192</v>
      </c>
      <c r="G236" s="171">
        <v>42000</v>
      </c>
      <c r="H236" s="171">
        <v>84000</v>
      </c>
    </row>
    <row r="237" spans="1:8" x14ac:dyDescent="0.2">
      <c r="A237" s="167">
        <v>11.5</v>
      </c>
      <c r="B237" s="168" t="s">
        <v>385</v>
      </c>
      <c r="C237" s="187"/>
      <c r="D237" s="167" t="s">
        <v>386</v>
      </c>
      <c r="E237" s="167">
        <v>4</v>
      </c>
      <c r="F237" s="169" t="s">
        <v>192</v>
      </c>
      <c r="G237" s="555">
        <v>4500000</v>
      </c>
      <c r="H237" s="555">
        <v>4500000</v>
      </c>
    </row>
    <row r="238" spans="1:8" x14ac:dyDescent="0.2">
      <c r="A238" s="167">
        <v>11.6</v>
      </c>
      <c r="B238" s="168" t="s">
        <v>385</v>
      </c>
      <c r="C238" s="178"/>
      <c r="D238" s="167" t="s">
        <v>387</v>
      </c>
      <c r="E238" s="167">
        <v>6</v>
      </c>
      <c r="F238" s="169" t="s">
        <v>192</v>
      </c>
      <c r="G238" s="555"/>
      <c r="H238" s="555"/>
    </row>
    <row r="239" spans="1:8" x14ac:dyDescent="0.2">
      <c r="A239" s="167">
        <v>11.7</v>
      </c>
      <c r="B239" s="168" t="s">
        <v>388</v>
      </c>
      <c r="C239" s="193"/>
      <c r="D239" s="167" t="s">
        <v>389</v>
      </c>
      <c r="E239" s="167">
        <v>10</v>
      </c>
      <c r="F239" s="169" t="s">
        <v>192</v>
      </c>
      <c r="G239" s="555"/>
      <c r="H239" s="555"/>
    </row>
    <row r="240" spans="1:8" x14ac:dyDescent="0.2">
      <c r="A240" s="167">
        <v>11.8</v>
      </c>
      <c r="B240" s="168" t="s">
        <v>390</v>
      </c>
      <c r="C240" s="193"/>
      <c r="D240" s="167" t="s">
        <v>391</v>
      </c>
      <c r="E240" s="167">
        <v>10</v>
      </c>
      <c r="F240" s="169" t="s">
        <v>192</v>
      </c>
      <c r="G240" s="555"/>
      <c r="H240" s="555"/>
    </row>
    <row r="241" spans="1:8" x14ac:dyDescent="0.2">
      <c r="A241" s="167">
        <v>11.9</v>
      </c>
      <c r="B241" s="168" t="s">
        <v>392</v>
      </c>
      <c r="C241" s="193"/>
      <c r="D241" s="167" t="s">
        <v>389</v>
      </c>
      <c r="E241" s="167">
        <v>4</v>
      </c>
      <c r="F241" s="169" t="s">
        <v>192</v>
      </c>
      <c r="G241" s="555"/>
      <c r="H241" s="555"/>
    </row>
    <row r="242" spans="1:8" x14ac:dyDescent="0.2">
      <c r="A242" s="167">
        <v>11.1</v>
      </c>
      <c r="B242" s="168" t="s">
        <v>393</v>
      </c>
      <c r="C242" s="193"/>
      <c r="D242" s="167" t="s">
        <v>389</v>
      </c>
      <c r="E242" s="167">
        <v>30</v>
      </c>
      <c r="F242" s="169" t="s">
        <v>192</v>
      </c>
      <c r="G242" s="555"/>
      <c r="H242" s="555"/>
    </row>
    <row r="243" spans="1:8" x14ac:dyDescent="0.2">
      <c r="A243" s="167">
        <v>11.11</v>
      </c>
      <c r="B243" s="168" t="s">
        <v>394</v>
      </c>
      <c r="C243" s="193"/>
      <c r="D243" s="167" t="s">
        <v>389</v>
      </c>
      <c r="E243" s="167">
        <v>24</v>
      </c>
      <c r="F243" s="169" t="s">
        <v>192</v>
      </c>
      <c r="G243" s="555"/>
      <c r="H243" s="555"/>
    </row>
    <row r="244" spans="1:8" x14ac:dyDescent="0.2">
      <c r="A244" s="167">
        <v>11.12</v>
      </c>
      <c r="B244" s="168" t="s">
        <v>395</v>
      </c>
      <c r="C244" s="193"/>
      <c r="D244" s="167" t="s">
        <v>389</v>
      </c>
      <c r="E244" s="167">
        <v>24</v>
      </c>
      <c r="F244" s="169" t="s">
        <v>192</v>
      </c>
      <c r="G244" s="555"/>
      <c r="H244" s="555"/>
    </row>
    <row r="245" spans="1:8" x14ac:dyDescent="0.2">
      <c r="A245" s="167">
        <v>11.13</v>
      </c>
      <c r="B245" s="168" t="s">
        <v>396</v>
      </c>
      <c r="C245" s="193"/>
      <c r="D245" s="167" t="s">
        <v>389</v>
      </c>
      <c r="E245" s="167">
        <v>2</v>
      </c>
      <c r="F245" s="169" t="s">
        <v>192</v>
      </c>
      <c r="G245" s="555"/>
      <c r="H245" s="555"/>
    </row>
    <row r="246" spans="1:8" x14ac:dyDescent="0.2">
      <c r="A246" s="167">
        <v>11.14</v>
      </c>
      <c r="B246" s="168" t="s">
        <v>397</v>
      </c>
      <c r="C246" s="193"/>
      <c r="D246" s="167" t="s">
        <v>389</v>
      </c>
      <c r="E246" s="167">
        <v>10</v>
      </c>
      <c r="F246" s="169" t="s">
        <v>192</v>
      </c>
      <c r="G246" s="555"/>
      <c r="H246" s="555"/>
    </row>
    <row r="247" spans="1:8" ht="27" x14ac:dyDescent="0.2">
      <c r="A247" s="167">
        <v>11.15</v>
      </c>
      <c r="B247" s="168" t="s">
        <v>398</v>
      </c>
      <c r="C247" s="193"/>
      <c r="D247" s="167" t="s">
        <v>389</v>
      </c>
      <c r="E247" s="167">
        <v>1</v>
      </c>
      <c r="F247" s="169" t="s">
        <v>341</v>
      </c>
      <c r="G247" s="555"/>
      <c r="H247" s="555"/>
    </row>
    <row r="248" spans="1:8" x14ac:dyDescent="0.2">
      <c r="A248" s="167">
        <v>11.16</v>
      </c>
      <c r="B248" s="168" t="s">
        <v>399</v>
      </c>
      <c r="C248" s="193"/>
      <c r="D248" s="167" t="s">
        <v>389</v>
      </c>
      <c r="E248" s="167">
        <v>25</v>
      </c>
      <c r="F248" s="169" t="s">
        <v>192</v>
      </c>
      <c r="G248" s="555"/>
      <c r="H248" s="555"/>
    </row>
    <row r="249" spans="1:8" x14ac:dyDescent="0.2">
      <c r="A249" s="167">
        <v>11.17</v>
      </c>
      <c r="B249" s="168" t="s">
        <v>400</v>
      </c>
      <c r="C249" s="193"/>
      <c r="D249" s="167" t="s">
        <v>401</v>
      </c>
      <c r="E249" s="167">
        <v>300</v>
      </c>
      <c r="F249" s="169" t="s">
        <v>192</v>
      </c>
      <c r="G249" s="167"/>
      <c r="H249" s="167"/>
    </row>
    <row r="250" spans="1:8" ht="18" x14ac:dyDescent="0.2">
      <c r="A250" s="167">
        <v>11.18</v>
      </c>
      <c r="B250" s="168" t="s">
        <v>402</v>
      </c>
      <c r="C250" s="193"/>
      <c r="D250" s="167" t="s">
        <v>389</v>
      </c>
      <c r="E250" s="167">
        <v>1</v>
      </c>
      <c r="F250" s="169" t="s">
        <v>341</v>
      </c>
      <c r="G250" s="167"/>
      <c r="H250" s="167"/>
    </row>
    <row r="251" spans="1:8" ht="18" x14ac:dyDescent="0.2">
      <c r="A251" s="167">
        <v>11.19</v>
      </c>
      <c r="B251" s="168" t="s">
        <v>403</v>
      </c>
      <c r="C251" s="193"/>
      <c r="D251" s="167" t="s">
        <v>389</v>
      </c>
      <c r="E251" s="167">
        <v>6</v>
      </c>
      <c r="F251" s="169" t="s">
        <v>192</v>
      </c>
      <c r="G251" s="171">
        <v>88000</v>
      </c>
      <c r="H251" s="171">
        <v>528000</v>
      </c>
    </row>
    <row r="252" spans="1:8" x14ac:dyDescent="0.2">
      <c r="A252" s="170"/>
      <c r="B252" s="170"/>
      <c r="C252" s="530"/>
      <c r="D252" s="530"/>
      <c r="E252" s="170"/>
      <c r="F252" s="170"/>
      <c r="G252" s="210"/>
      <c r="H252" s="211">
        <f>SUM(H233:H251)</f>
        <v>14219000</v>
      </c>
    </row>
    <row r="253" spans="1:8" x14ac:dyDescent="0.2">
      <c r="A253" s="551"/>
      <c r="B253" s="551"/>
      <c r="C253" s="551"/>
      <c r="D253" s="551"/>
      <c r="E253" s="166"/>
      <c r="F253" s="166"/>
      <c r="G253" s="166"/>
      <c r="H253" s="166"/>
    </row>
    <row r="254" spans="1:8" x14ac:dyDescent="0.2">
      <c r="A254" s="152"/>
      <c r="B254" s="152"/>
      <c r="C254" s="152"/>
      <c r="D254" s="152"/>
      <c r="E254" s="152"/>
      <c r="F254" s="152"/>
      <c r="G254" s="152"/>
      <c r="H254" s="152"/>
    </row>
    <row r="255" spans="1:8" x14ac:dyDescent="0.2">
      <c r="A255" s="173"/>
      <c r="B255" s="152"/>
      <c r="C255" s="152"/>
      <c r="D255" s="152"/>
      <c r="E255" s="152"/>
      <c r="F255" s="152"/>
      <c r="G255" s="152"/>
      <c r="H255" s="152"/>
    </row>
    <row r="256" spans="1:8" x14ac:dyDescent="0.2">
      <c r="A256" s="526" t="s">
        <v>498</v>
      </c>
      <c r="B256" s="526"/>
      <c r="C256" s="526"/>
      <c r="D256" s="526"/>
      <c r="E256" s="526"/>
      <c r="F256" s="526"/>
      <c r="G256" s="526"/>
      <c r="H256" s="526"/>
    </row>
    <row r="257" spans="1:8" x14ac:dyDescent="0.2">
      <c r="A257" s="156" t="s">
        <v>176</v>
      </c>
      <c r="B257" s="157"/>
      <c r="C257" s="157"/>
      <c r="D257" s="158" t="s">
        <v>180</v>
      </c>
      <c r="E257" s="157"/>
      <c r="F257" s="157"/>
      <c r="G257" s="158" t="s">
        <v>184</v>
      </c>
      <c r="H257" s="158" t="s">
        <v>186</v>
      </c>
    </row>
    <row r="258" spans="1:8" x14ac:dyDescent="0.2">
      <c r="A258" s="156" t="s">
        <v>177</v>
      </c>
      <c r="B258" s="158" t="s">
        <v>178</v>
      </c>
      <c r="C258" s="158" t="s">
        <v>179</v>
      </c>
      <c r="D258" s="158" t="s">
        <v>181</v>
      </c>
      <c r="E258" s="158" t="s">
        <v>182</v>
      </c>
      <c r="F258" s="160" t="s">
        <v>183</v>
      </c>
      <c r="G258" s="158" t="s">
        <v>185</v>
      </c>
      <c r="H258" s="158" t="s">
        <v>185</v>
      </c>
    </row>
    <row r="259" spans="1:8" x14ac:dyDescent="0.2">
      <c r="A259" s="555">
        <v>12</v>
      </c>
      <c r="B259" s="522" t="s">
        <v>404</v>
      </c>
      <c r="C259" s="547"/>
      <c r="D259" s="530"/>
      <c r="E259" s="177"/>
      <c r="F259" s="177"/>
      <c r="G259" s="555">
        <v>375000</v>
      </c>
      <c r="H259" s="555">
        <v>375000</v>
      </c>
    </row>
    <row r="260" spans="1:8" x14ac:dyDescent="0.2">
      <c r="A260" s="555"/>
      <c r="B260" s="522"/>
      <c r="C260" s="547"/>
      <c r="D260" s="530"/>
      <c r="E260" s="177"/>
      <c r="F260" s="177"/>
      <c r="G260" s="555"/>
      <c r="H260" s="555"/>
    </row>
    <row r="261" spans="1:8" x14ac:dyDescent="0.2">
      <c r="A261" s="555"/>
      <c r="B261" s="522"/>
      <c r="C261" s="547"/>
      <c r="D261" s="530"/>
      <c r="E261" s="177"/>
      <c r="F261" s="177"/>
      <c r="G261" s="555"/>
      <c r="H261" s="555"/>
    </row>
    <row r="262" spans="1:8" x14ac:dyDescent="0.2">
      <c r="A262" s="555"/>
      <c r="B262" s="522"/>
      <c r="C262" s="547"/>
      <c r="D262" s="530"/>
      <c r="E262" s="177"/>
      <c r="F262" s="177"/>
      <c r="G262" s="555"/>
      <c r="H262" s="555"/>
    </row>
    <row r="263" spans="1:8" x14ac:dyDescent="0.2">
      <c r="A263" s="555"/>
      <c r="B263" s="522"/>
      <c r="C263" s="547"/>
      <c r="D263" s="530"/>
      <c r="E263" s="177"/>
      <c r="F263" s="177"/>
      <c r="G263" s="555"/>
      <c r="H263" s="555"/>
    </row>
    <row r="264" spans="1:8" x14ac:dyDescent="0.2">
      <c r="A264" s="555"/>
      <c r="B264" s="522"/>
      <c r="C264" s="547"/>
      <c r="D264" s="530"/>
      <c r="E264" s="177"/>
      <c r="F264" s="177"/>
      <c r="G264" s="555"/>
      <c r="H264" s="555"/>
    </row>
    <row r="265" spans="1:8" x14ac:dyDescent="0.2">
      <c r="A265" s="555"/>
      <c r="B265" s="522"/>
      <c r="C265" s="547"/>
      <c r="D265" s="530"/>
      <c r="E265" s="167">
        <v>1</v>
      </c>
      <c r="F265" s="169" t="s">
        <v>341</v>
      </c>
      <c r="G265" s="555"/>
      <c r="H265" s="555"/>
    </row>
    <row r="266" spans="1:8" x14ac:dyDescent="0.2">
      <c r="A266" s="551"/>
      <c r="B266" s="551"/>
      <c r="C266" s="551"/>
      <c r="D266" s="551"/>
      <c r="E266" s="166"/>
      <c r="F266" s="166"/>
      <c r="G266" s="176"/>
      <c r="H266" s="176"/>
    </row>
    <row r="267" spans="1:8" x14ac:dyDescent="0.2">
      <c r="A267" s="555">
        <v>13</v>
      </c>
      <c r="B267" s="522" t="s">
        <v>405</v>
      </c>
      <c r="C267" s="558"/>
      <c r="D267" s="530"/>
      <c r="E267" s="177"/>
      <c r="F267" s="177"/>
      <c r="G267" s="555" t="s">
        <v>612</v>
      </c>
      <c r="H267" s="555" t="s">
        <v>612</v>
      </c>
    </row>
    <row r="268" spans="1:8" x14ac:dyDescent="0.2">
      <c r="A268" s="555"/>
      <c r="B268" s="522"/>
      <c r="C268" s="558"/>
      <c r="D268" s="530"/>
      <c r="E268" s="177"/>
      <c r="F268" s="177"/>
      <c r="G268" s="555"/>
      <c r="H268" s="555"/>
    </row>
    <row r="269" spans="1:8" x14ac:dyDescent="0.2">
      <c r="A269" s="555"/>
      <c r="B269" s="522"/>
      <c r="C269" s="558"/>
      <c r="D269" s="530"/>
      <c r="E269" s="177"/>
      <c r="F269" s="177"/>
      <c r="G269" s="555"/>
      <c r="H269" s="555"/>
    </row>
    <row r="270" spans="1:8" x14ac:dyDescent="0.2">
      <c r="A270" s="555"/>
      <c r="B270" s="522"/>
      <c r="C270" s="558"/>
      <c r="D270" s="530"/>
      <c r="E270" s="177"/>
      <c r="F270" s="177"/>
      <c r="G270" s="555"/>
      <c r="H270" s="555"/>
    </row>
    <row r="271" spans="1:8" x14ac:dyDescent="0.2">
      <c r="A271" s="555"/>
      <c r="B271" s="522"/>
      <c r="C271" s="558"/>
      <c r="D271" s="530"/>
      <c r="E271" s="177"/>
      <c r="F271" s="177"/>
      <c r="G271" s="555"/>
      <c r="H271" s="555"/>
    </row>
    <row r="272" spans="1:8" x14ac:dyDescent="0.2">
      <c r="A272" s="555"/>
      <c r="B272" s="522"/>
      <c r="C272" s="558"/>
      <c r="D272" s="530"/>
      <c r="E272" s="188"/>
      <c r="F272" s="188"/>
      <c r="G272" s="555"/>
      <c r="H272" s="555"/>
    </row>
    <row r="273" spans="1:8" x14ac:dyDescent="0.2">
      <c r="A273" s="555"/>
      <c r="B273" s="522"/>
      <c r="C273" s="558"/>
      <c r="D273" s="530"/>
      <c r="E273" s="167">
        <v>1</v>
      </c>
      <c r="F273" s="169" t="s">
        <v>341</v>
      </c>
      <c r="G273" s="555"/>
      <c r="H273" s="555"/>
    </row>
    <row r="274" spans="1:8" x14ac:dyDescent="0.2">
      <c r="A274" s="166"/>
      <c r="B274" s="166"/>
      <c r="C274" s="166"/>
      <c r="D274" s="166"/>
      <c r="E274" s="166"/>
      <c r="F274" s="166"/>
      <c r="G274" s="176"/>
      <c r="H274" s="176"/>
    </row>
    <row r="275" spans="1:8" x14ac:dyDescent="0.2">
      <c r="A275" s="555">
        <v>14</v>
      </c>
      <c r="B275" s="522" t="s">
        <v>406</v>
      </c>
      <c r="C275" s="557"/>
      <c r="D275" s="530"/>
      <c r="E275" s="177"/>
      <c r="F275" s="177"/>
      <c r="G275" s="555">
        <v>6226080</v>
      </c>
      <c r="H275" s="555">
        <v>6226080</v>
      </c>
    </row>
    <row r="276" spans="1:8" x14ac:dyDescent="0.2">
      <c r="A276" s="555"/>
      <c r="B276" s="522"/>
      <c r="C276" s="557"/>
      <c r="D276" s="530"/>
      <c r="E276" s="177"/>
      <c r="F276" s="177"/>
      <c r="G276" s="555"/>
      <c r="H276" s="555"/>
    </row>
    <row r="277" spans="1:8" x14ac:dyDescent="0.2">
      <c r="A277" s="555"/>
      <c r="B277" s="522"/>
      <c r="C277" s="557"/>
      <c r="D277" s="530"/>
      <c r="E277" s="177"/>
      <c r="F277" s="177"/>
      <c r="G277" s="555"/>
      <c r="H277" s="555"/>
    </row>
    <row r="278" spans="1:8" x14ac:dyDescent="0.2">
      <c r="A278" s="555"/>
      <c r="B278" s="522"/>
      <c r="C278" s="557"/>
      <c r="D278" s="530"/>
      <c r="E278" s="177"/>
      <c r="F278" s="177"/>
      <c r="G278" s="555"/>
      <c r="H278" s="555"/>
    </row>
    <row r="279" spans="1:8" x14ac:dyDescent="0.2">
      <c r="A279" s="555"/>
      <c r="B279" s="522"/>
      <c r="C279" s="557"/>
      <c r="D279" s="530"/>
      <c r="E279" s="177"/>
      <c r="F279" s="177"/>
      <c r="G279" s="555"/>
      <c r="H279" s="555"/>
    </row>
    <row r="280" spans="1:8" x14ac:dyDescent="0.2">
      <c r="A280" s="555"/>
      <c r="B280" s="522"/>
      <c r="C280" s="557"/>
      <c r="D280" s="530"/>
      <c r="E280" s="177"/>
      <c r="F280" s="177"/>
      <c r="G280" s="555"/>
      <c r="H280" s="555"/>
    </row>
    <row r="281" spans="1:8" x14ac:dyDescent="0.2">
      <c r="A281" s="555"/>
      <c r="B281" s="522"/>
      <c r="C281" s="557"/>
      <c r="D281" s="530"/>
      <c r="E281" s="201"/>
      <c r="F281" s="201"/>
      <c r="G281" s="555"/>
      <c r="H281" s="555"/>
    </row>
    <row r="282" spans="1:8" x14ac:dyDescent="0.2">
      <c r="A282" s="555"/>
      <c r="B282" s="522"/>
      <c r="C282" s="557"/>
      <c r="D282" s="530"/>
      <c r="E282" s="167">
        <v>1</v>
      </c>
      <c r="F282" s="169" t="s">
        <v>350</v>
      </c>
      <c r="G282" s="555"/>
      <c r="H282" s="555"/>
    </row>
    <row r="283" spans="1:8" x14ac:dyDescent="0.2">
      <c r="A283" s="555">
        <v>15</v>
      </c>
      <c r="B283" s="522" t="s">
        <v>407</v>
      </c>
      <c r="C283" s="530"/>
      <c r="D283" s="530"/>
      <c r="E283" s="177"/>
      <c r="F283" s="177"/>
      <c r="G283" s="555">
        <v>13854543</v>
      </c>
      <c r="H283" s="555">
        <v>13854543</v>
      </c>
    </row>
    <row r="284" spans="1:8" x14ac:dyDescent="0.2">
      <c r="A284" s="555"/>
      <c r="B284" s="522"/>
      <c r="C284" s="530"/>
      <c r="D284" s="530"/>
      <c r="E284" s="177"/>
      <c r="F284" s="177"/>
      <c r="G284" s="555"/>
      <c r="H284" s="555"/>
    </row>
    <row r="285" spans="1:8" x14ac:dyDescent="0.2">
      <c r="A285" s="555"/>
      <c r="B285" s="522"/>
      <c r="C285" s="530"/>
      <c r="D285" s="530"/>
      <c r="E285" s="177"/>
      <c r="F285" s="177"/>
      <c r="G285" s="555"/>
      <c r="H285" s="555"/>
    </row>
    <row r="286" spans="1:8" x14ac:dyDescent="0.2">
      <c r="A286" s="555"/>
      <c r="B286" s="522"/>
      <c r="C286" s="530"/>
      <c r="D286" s="530"/>
      <c r="E286" s="202"/>
      <c r="F286" s="202"/>
      <c r="G286" s="555"/>
      <c r="H286" s="555"/>
    </row>
    <row r="287" spans="1:8" x14ac:dyDescent="0.2">
      <c r="A287" s="555"/>
      <c r="B287" s="522"/>
      <c r="C287" s="530"/>
      <c r="D287" s="530"/>
      <c r="E287" s="167">
        <v>1</v>
      </c>
      <c r="F287" s="169" t="s">
        <v>350</v>
      </c>
      <c r="G287" s="555"/>
      <c r="H287" s="555"/>
    </row>
    <row r="288" spans="1:8" ht="18.75" customHeight="1" x14ac:dyDescent="0.2">
      <c r="A288" s="555">
        <v>16</v>
      </c>
      <c r="B288" s="522" t="s">
        <v>408</v>
      </c>
      <c r="C288" s="530"/>
      <c r="D288" s="530"/>
      <c r="E288" s="177"/>
      <c r="F288" s="177"/>
      <c r="G288" s="555">
        <v>2626946</v>
      </c>
      <c r="H288" s="555">
        <v>2626946</v>
      </c>
    </row>
    <row r="289" spans="1:8" x14ac:dyDescent="0.2">
      <c r="A289" s="555"/>
      <c r="B289" s="522"/>
      <c r="C289" s="530"/>
      <c r="D289" s="530"/>
      <c r="E289" s="177"/>
      <c r="F289" s="177"/>
      <c r="G289" s="555"/>
      <c r="H289" s="555"/>
    </row>
    <row r="290" spans="1:8" x14ac:dyDescent="0.2">
      <c r="A290" s="555"/>
      <c r="B290" s="522"/>
      <c r="C290" s="530"/>
      <c r="D290" s="530"/>
      <c r="E290" s="167">
        <v>1</v>
      </c>
      <c r="F290" s="169" t="s">
        <v>350</v>
      </c>
      <c r="G290" s="555"/>
      <c r="H290" s="555"/>
    </row>
    <row r="291" spans="1:8" x14ac:dyDescent="0.2">
      <c r="A291" s="166"/>
      <c r="B291" s="166"/>
      <c r="C291" s="166"/>
      <c r="D291" s="166"/>
      <c r="E291" s="166"/>
      <c r="F291" s="166"/>
      <c r="G291" s="176"/>
      <c r="H291" s="176">
        <f>SUM(H275:H290)</f>
        <v>22707569</v>
      </c>
    </row>
    <row r="292" spans="1:8" x14ac:dyDescent="0.2">
      <c r="A292" s="555">
        <v>17</v>
      </c>
      <c r="B292" s="522" t="s">
        <v>409</v>
      </c>
      <c r="C292" s="556"/>
      <c r="D292" s="530"/>
      <c r="E292" s="177"/>
      <c r="F292" s="177"/>
      <c r="G292" s="555">
        <v>984000</v>
      </c>
      <c r="H292" s="555">
        <v>984000</v>
      </c>
    </row>
    <row r="293" spans="1:8" x14ac:dyDescent="0.2">
      <c r="A293" s="555"/>
      <c r="B293" s="522"/>
      <c r="C293" s="556"/>
      <c r="D293" s="530"/>
      <c r="E293" s="177"/>
      <c r="F293" s="177"/>
      <c r="G293" s="555"/>
      <c r="H293" s="555"/>
    </row>
    <row r="294" spans="1:8" x14ac:dyDescent="0.2">
      <c r="A294" s="555"/>
      <c r="B294" s="522"/>
      <c r="C294" s="556"/>
      <c r="D294" s="530"/>
      <c r="E294" s="177"/>
      <c r="F294" s="177"/>
      <c r="G294" s="555"/>
      <c r="H294" s="555"/>
    </row>
    <row r="295" spans="1:8" x14ac:dyDescent="0.2">
      <c r="A295" s="555"/>
      <c r="B295" s="522"/>
      <c r="C295" s="556"/>
      <c r="D295" s="530"/>
      <c r="E295" s="177"/>
      <c r="F295" s="177"/>
      <c r="G295" s="555"/>
      <c r="H295" s="555"/>
    </row>
    <row r="296" spans="1:8" x14ac:dyDescent="0.2">
      <c r="A296" s="555"/>
      <c r="B296" s="522"/>
      <c r="C296" s="556"/>
      <c r="D296" s="530"/>
      <c r="E296" s="177"/>
      <c r="F296" s="177"/>
      <c r="G296" s="555"/>
      <c r="H296" s="555"/>
    </row>
    <row r="297" spans="1:8" x14ac:dyDescent="0.2">
      <c r="A297" s="555"/>
      <c r="B297" s="522"/>
      <c r="C297" s="556"/>
      <c r="D297" s="530"/>
      <c r="E297" s="177"/>
      <c r="F297" s="177"/>
      <c r="G297" s="555"/>
      <c r="H297" s="555"/>
    </row>
    <row r="298" spans="1:8" x14ac:dyDescent="0.2">
      <c r="A298" s="555"/>
      <c r="B298" s="522"/>
      <c r="C298" s="556"/>
      <c r="D298" s="530"/>
      <c r="E298" s="201"/>
      <c r="F298" s="201"/>
      <c r="G298" s="555"/>
      <c r="H298" s="555"/>
    </row>
    <row r="299" spans="1:8" x14ac:dyDescent="0.2">
      <c r="A299" s="555"/>
      <c r="B299" s="522"/>
      <c r="C299" s="556"/>
      <c r="D299" s="530"/>
      <c r="E299" s="167">
        <v>1</v>
      </c>
      <c r="F299" s="169" t="s">
        <v>350</v>
      </c>
      <c r="G299" s="555"/>
      <c r="H299" s="555"/>
    </row>
    <row r="300" spans="1:8" x14ac:dyDescent="0.2">
      <c r="A300" s="551"/>
      <c r="B300" s="551"/>
      <c r="C300" s="554"/>
      <c r="D300" s="551"/>
      <c r="E300" s="551"/>
      <c r="F300" s="551"/>
      <c r="G300" s="551"/>
      <c r="H300" s="552"/>
    </row>
    <row r="301" spans="1:8" x14ac:dyDescent="0.2">
      <c r="A301" s="551"/>
      <c r="B301" s="551"/>
      <c r="C301" s="554"/>
      <c r="D301" s="551"/>
      <c r="E301" s="551"/>
      <c r="F301" s="551"/>
      <c r="G301" s="551"/>
      <c r="H301" s="552"/>
    </row>
    <row r="302" spans="1:8" x14ac:dyDescent="0.2">
      <c r="A302" s="152"/>
      <c r="B302" s="152"/>
      <c r="C302" s="152"/>
      <c r="D302" s="152"/>
      <c r="E302" s="152"/>
      <c r="F302" s="152"/>
      <c r="G302" s="152"/>
      <c r="H302" s="152"/>
    </row>
    <row r="303" spans="1:8" x14ac:dyDescent="0.2">
      <c r="A303" s="173"/>
      <c r="B303" s="152"/>
      <c r="C303" s="152"/>
      <c r="D303" s="152"/>
      <c r="E303" s="152"/>
      <c r="F303" s="152"/>
      <c r="G303" s="152"/>
      <c r="H303" s="152"/>
    </row>
    <row r="304" spans="1:8" x14ac:dyDescent="0.2">
      <c r="A304" s="526" t="s">
        <v>498</v>
      </c>
      <c r="B304" s="526"/>
      <c r="C304" s="526"/>
      <c r="D304" s="526"/>
      <c r="E304" s="526"/>
      <c r="F304" s="526"/>
      <c r="G304" s="526"/>
      <c r="H304" s="526"/>
    </row>
    <row r="305" spans="1:8" x14ac:dyDescent="0.2">
      <c r="A305" s="156" t="s">
        <v>176</v>
      </c>
      <c r="B305" s="157"/>
      <c r="C305" s="157"/>
      <c r="D305" s="158" t="s">
        <v>180</v>
      </c>
      <c r="E305" s="157"/>
      <c r="F305" s="157"/>
      <c r="G305" s="158" t="s">
        <v>184</v>
      </c>
      <c r="H305" s="158" t="s">
        <v>186</v>
      </c>
    </row>
    <row r="306" spans="1:8" x14ac:dyDescent="0.2">
      <c r="A306" s="156" t="s">
        <v>177</v>
      </c>
      <c r="B306" s="158" t="s">
        <v>178</v>
      </c>
      <c r="C306" s="158" t="s">
        <v>179</v>
      </c>
      <c r="D306" s="158" t="s">
        <v>181</v>
      </c>
      <c r="E306" s="158" t="s">
        <v>182</v>
      </c>
      <c r="F306" s="160" t="s">
        <v>183</v>
      </c>
      <c r="G306" s="158" t="s">
        <v>185</v>
      </c>
      <c r="H306" s="158" t="s">
        <v>185</v>
      </c>
    </row>
    <row r="307" spans="1:8" x14ac:dyDescent="0.2">
      <c r="A307" s="529">
        <v>18</v>
      </c>
      <c r="B307" s="522" t="s">
        <v>410</v>
      </c>
      <c r="C307" s="553"/>
      <c r="D307" s="530" t="s">
        <v>613</v>
      </c>
      <c r="E307" s="177"/>
      <c r="F307" s="177"/>
      <c r="G307" s="524">
        <v>4000000</v>
      </c>
      <c r="H307" s="524">
        <v>8000000</v>
      </c>
    </row>
    <row r="308" spans="1:8" x14ac:dyDescent="0.2">
      <c r="A308" s="529"/>
      <c r="B308" s="522"/>
      <c r="C308" s="553"/>
      <c r="D308" s="530"/>
      <c r="E308" s="177"/>
      <c r="F308" s="177"/>
      <c r="G308" s="524"/>
      <c r="H308" s="524"/>
    </row>
    <row r="309" spans="1:8" x14ac:dyDescent="0.2">
      <c r="A309" s="529"/>
      <c r="B309" s="522"/>
      <c r="C309" s="553"/>
      <c r="D309" s="530"/>
      <c r="E309" s="177"/>
      <c r="F309" s="177"/>
      <c r="G309" s="524"/>
      <c r="H309" s="524"/>
    </row>
    <row r="310" spans="1:8" x14ac:dyDescent="0.2">
      <c r="A310" s="529"/>
      <c r="B310" s="522"/>
      <c r="C310" s="553"/>
      <c r="D310" s="530"/>
      <c r="E310" s="177"/>
      <c r="F310" s="177"/>
      <c r="G310" s="524"/>
      <c r="H310" s="524"/>
    </row>
    <row r="311" spans="1:8" x14ac:dyDescent="0.2">
      <c r="A311" s="529"/>
      <c r="B311" s="522"/>
      <c r="C311" s="553"/>
      <c r="D311" s="530"/>
      <c r="E311" s="177"/>
      <c r="F311" s="177"/>
      <c r="G311" s="524"/>
      <c r="H311" s="524"/>
    </row>
    <row r="312" spans="1:8" x14ac:dyDescent="0.2">
      <c r="A312" s="529"/>
      <c r="B312" s="522"/>
      <c r="C312" s="553"/>
      <c r="D312" s="530"/>
      <c r="E312" s="177"/>
      <c r="F312" s="177"/>
      <c r="G312" s="524"/>
      <c r="H312" s="524"/>
    </row>
    <row r="313" spans="1:8" x14ac:dyDescent="0.2">
      <c r="A313" s="529"/>
      <c r="B313" s="522"/>
      <c r="C313" s="553"/>
      <c r="D313" s="530"/>
      <c r="E313" s="201"/>
      <c r="F313" s="201"/>
      <c r="G313" s="524"/>
      <c r="H313" s="524"/>
    </row>
    <row r="314" spans="1:8" x14ac:dyDescent="0.2">
      <c r="A314" s="529"/>
      <c r="B314" s="522"/>
      <c r="C314" s="553"/>
      <c r="D314" s="530"/>
      <c r="E314" s="167">
        <v>2</v>
      </c>
      <c r="F314" s="169" t="s">
        <v>411</v>
      </c>
      <c r="G314" s="524"/>
      <c r="H314" s="524"/>
    </row>
    <row r="315" spans="1:8" x14ac:dyDescent="0.2">
      <c r="A315" s="166"/>
      <c r="B315" s="166"/>
      <c r="C315" s="166"/>
      <c r="D315" s="166"/>
      <c r="E315" s="166"/>
      <c r="F315" s="166"/>
      <c r="G315" s="166"/>
      <c r="H315" s="176"/>
    </row>
    <row r="316" spans="1:8" x14ac:dyDescent="0.2">
      <c r="A316" s="203">
        <v>19</v>
      </c>
      <c r="B316" s="172" t="s">
        <v>412</v>
      </c>
      <c r="C316" s="170"/>
      <c r="D316" s="170" t="s">
        <v>614</v>
      </c>
      <c r="E316" s="167">
        <v>1</v>
      </c>
      <c r="F316" s="169" t="s">
        <v>177</v>
      </c>
      <c r="G316" s="167" t="s">
        <v>614</v>
      </c>
      <c r="H316" s="167" t="s">
        <v>614</v>
      </c>
    </row>
    <row r="317" spans="1:8" x14ac:dyDescent="0.2">
      <c r="A317" s="170"/>
      <c r="B317" s="170"/>
      <c r="C317" s="170"/>
      <c r="D317" s="170"/>
      <c r="E317" s="170"/>
      <c r="F317" s="170"/>
      <c r="G317" s="170"/>
      <c r="H317" s="170"/>
    </row>
    <row r="318" spans="1:8" x14ac:dyDescent="0.2">
      <c r="A318" s="166"/>
      <c r="B318" s="166"/>
      <c r="C318" s="166"/>
      <c r="D318" s="166"/>
      <c r="E318" s="166"/>
      <c r="F318" s="166"/>
      <c r="G318" s="166"/>
      <c r="H318" s="166"/>
    </row>
    <row r="319" spans="1:8" x14ac:dyDescent="0.2">
      <c r="A319" s="529">
        <v>20</v>
      </c>
      <c r="B319" s="522" t="s">
        <v>414</v>
      </c>
      <c r="C319" s="550"/>
      <c r="D319" s="530"/>
      <c r="E319" s="530"/>
      <c r="F319" s="530"/>
      <c r="G319" s="530" t="s">
        <v>615</v>
      </c>
      <c r="H319" s="530"/>
    </row>
    <row r="320" spans="1:8" x14ac:dyDescent="0.2">
      <c r="A320" s="529"/>
      <c r="B320" s="522"/>
      <c r="C320" s="550"/>
      <c r="D320" s="530"/>
      <c r="E320" s="530"/>
      <c r="F320" s="530"/>
      <c r="G320" s="530"/>
      <c r="H320" s="530"/>
    </row>
    <row r="321" spans="1:8" x14ac:dyDescent="0.2">
      <c r="A321" s="172">
        <v>20.100000000000001</v>
      </c>
      <c r="B321" s="170"/>
      <c r="C321" s="172" t="s">
        <v>415</v>
      </c>
      <c r="D321" s="204" t="s">
        <v>416</v>
      </c>
      <c r="E321" s="167">
        <v>2</v>
      </c>
      <c r="F321" s="169" t="s">
        <v>177</v>
      </c>
      <c r="G321" s="530"/>
      <c r="H321" s="530"/>
    </row>
    <row r="322" spans="1:8" x14ac:dyDescent="0.2">
      <c r="A322" s="172">
        <v>20.2</v>
      </c>
      <c r="B322" s="170"/>
      <c r="C322" s="172" t="s">
        <v>417</v>
      </c>
      <c r="D322" s="204" t="s">
        <v>416</v>
      </c>
      <c r="E322" s="167">
        <v>2</v>
      </c>
      <c r="F322" s="169" t="s">
        <v>177</v>
      </c>
      <c r="G322" s="530"/>
      <c r="H322" s="530"/>
    </row>
    <row r="323" spans="1:8" x14ac:dyDescent="0.2">
      <c r="A323" s="172">
        <v>20.3</v>
      </c>
      <c r="B323" s="170"/>
      <c r="C323" s="172" t="s">
        <v>418</v>
      </c>
      <c r="D323" s="204" t="s">
        <v>416</v>
      </c>
      <c r="E323" s="167">
        <v>2</v>
      </c>
      <c r="F323" s="169" t="s">
        <v>177</v>
      </c>
      <c r="G323" s="530"/>
      <c r="H323" s="530"/>
    </row>
    <row r="324" spans="1:8" x14ac:dyDescent="0.2">
      <c r="A324" s="166"/>
      <c r="B324" s="166"/>
      <c r="C324" s="166"/>
      <c r="D324" s="166"/>
      <c r="E324" s="166"/>
      <c r="F324" s="166"/>
      <c r="G324" s="166"/>
      <c r="H324" s="166"/>
    </row>
    <row r="325" spans="1:8" x14ac:dyDescent="0.2">
      <c r="A325" s="529">
        <v>21</v>
      </c>
      <c r="B325" s="522" t="s">
        <v>419</v>
      </c>
      <c r="C325" s="548"/>
      <c r="D325" s="530"/>
      <c r="E325" s="177"/>
      <c r="F325" s="177"/>
      <c r="G325" s="549">
        <v>2536000</v>
      </c>
      <c r="H325" s="524">
        <v>5072000</v>
      </c>
    </row>
    <row r="326" spans="1:8" x14ac:dyDescent="0.2">
      <c r="A326" s="529"/>
      <c r="B326" s="522"/>
      <c r="C326" s="548"/>
      <c r="D326" s="530"/>
      <c r="E326" s="177"/>
      <c r="F326" s="177"/>
      <c r="G326" s="549"/>
      <c r="H326" s="524"/>
    </row>
    <row r="327" spans="1:8" x14ac:dyDescent="0.2">
      <c r="A327" s="529"/>
      <c r="B327" s="522"/>
      <c r="C327" s="548"/>
      <c r="D327" s="530"/>
      <c r="E327" s="177"/>
      <c r="F327" s="177"/>
      <c r="G327" s="549"/>
      <c r="H327" s="524"/>
    </row>
    <row r="328" spans="1:8" x14ac:dyDescent="0.2">
      <c r="A328" s="529"/>
      <c r="B328" s="522"/>
      <c r="C328" s="548"/>
      <c r="D328" s="530"/>
      <c r="E328" s="177"/>
      <c r="F328" s="177"/>
      <c r="G328" s="549"/>
      <c r="H328" s="524"/>
    </row>
    <row r="329" spans="1:8" x14ac:dyDescent="0.2">
      <c r="A329" s="529"/>
      <c r="B329" s="522"/>
      <c r="C329" s="548"/>
      <c r="D329" s="530"/>
      <c r="E329" s="177"/>
      <c r="F329" s="177"/>
      <c r="G329" s="549"/>
      <c r="H329" s="524"/>
    </row>
    <row r="330" spans="1:8" x14ac:dyDescent="0.2">
      <c r="A330" s="529"/>
      <c r="B330" s="522"/>
      <c r="C330" s="548"/>
      <c r="D330" s="530"/>
      <c r="E330" s="177"/>
      <c r="F330" s="177"/>
      <c r="G330" s="549"/>
      <c r="H330" s="524"/>
    </row>
    <row r="331" spans="1:8" x14ac:dyDescent="0.2">
      <c r="A331" s="529"/>
      <c r="B331" s="522"/>
      <c r="C331" s="548"/>
      <c r="D331" s="530"/>
      <c r="E331" s="177"/>
      <c r="F331" s="177"/>
      <c r="G331" s="549"/>
      <c r="H331" s="524"/>
    </row>
    <row r="332" spans="1:8" x14ac:dyDescent="0.2">
      <c r="A332" s="529"/>
      <c r="B332" s="522"/>
      <c r="C332" s="548"/>
      <c r="D332" s="530"/>
      <c r="E332" s="177"/>
      <c r="F332" s="177"/>
      <c r="G332" s="549"/>
      <c r="H332" s="524"/>
    </row>
    <row r="333" spans="1:8" x14ac:dyDescent="0.2">
      <c r="A333" s="529"/>
      <c r="B333" s="522"/>
      <c r="C333" s="548"/>
      <c r="D333" s="530"/>
      <c r="E333" s="201"/>
      <c r="F333" s="201"/>
      <c r="G333" s="549"/>
      <c r="H333" s="524"/>
    </row>
    <row r="334" spans="1:8" x14ac:dyDescent="0.2">
      <c r="A334" s="529"/>
      <c r="B334" s="522"/>
      <c r="C334" s="548"/>
      <c r="D334" s="530"/>
      <c r="E334" s="167">
        <v>2</v>
      </c>
      <c r="F334" s="169" t="s">
        <v>268</v>
      </c>
      <c r="G334" s="549"/>
      <c r="H334" s="524"/>
    </row>
    <row r="335" spans="1:8" x14ac:dyDescent="0.2">
      <c r="A335" s="166"/>
      <c r="B335" s="166"/>
      <c r="C335" s="166"/>
      <c r="D335" s="166"/>
      <c r="E335" s="166"/>
      <c r="F335" s="166"/>
      <c r="G335" s="166"/>
      <c r="H335" s="176"/>
    </row>
    <row r="336" spans="1:8" x14ac:dyDescent="0.2">
      <c r="A336" s="529">
        <v>22</v>
      </c>
      <c r="B336" s="522" t="s">
        <v>420</v>
      </c>
      <c r="C336" s="530"/>
      <c r="D336" s="530"/>
      <c r="E336" s="177"/>
      <c r="F336" s="177"/>
      <c r="G336" s="524">
        <v>9700000</v>
      </c>
      <c r="H336" s="524">
        <v>9700000</v>
      </c>
    </row>
    <row r="337" spans="1:8" x14ac:dyDescent="0.2">
      <c r="A337" s="529"/>
      <c r="B337" s="522"/>
      <c r="C337" s="530"/>
      <c r="D337" s="530"/>
      <c r="E337" s="177"/>
      <c r="F337" s="177"/>
      <c r="G337" s="524"/>
      <c r="H337" s="524"/>
    </row>
    <row r="338" spans="1:8" x14ac:dyDescent="0.2">
      <c r="A338" s="529"/>
      <c r="B338" s="522"/>
      <c r="C338" s="530"/>
      <c r="D338" s="530"/>
      <c r="E338" s="167">
        <v>1</v>
      </c>
      <c r="F338" s="169" t="s">
        <v>341</v>
      </c>
      <c r="G338" s="524"/>
      <c r="H338" s="524"/>
    </row>
    <row r="339" spans="1:8" x14ac:dyDescent="0.2">
      <c r="A339" s="166"/>
      <c r="B339" s="166"/>
      <c r="C339" s="166"/>
      <c r="D339" s="166"/>
      <c r="E339" s="166"/>
      <c r="F339" s="166"/>
      <c r="G339" s="166"/>
      <c r="H339" s="176">
        <f>SUM(H325:H338)</f>
        <v>14772000</v>
      </c>
    </row>
    <row r="340" spans="1:8" x14ac:dyDescent="0.2">
      <c r="A340" s="152"/>
      <c r="B340" s="152"/>
      <c r="C340" s="152"/>
      <c r="D340" s="152"/>
      <c r="E340" s="152"/>
      <c r="F340" s="152"/>
      <c r="G340" s="152"/>
      <c r="H340" s="152"/>
    </row>
    <row r="341" spans="1:8" x14ac:dyDescent="0.2">
      <c r="A341" s="173"/>
      <c r="B341" s="152"/>
      <c r="C341" s="152"/>
      <c r="D341" s="152"/>
      <c r="E341" s="152"/>
      <c r="F341" s="152"/>
      <c r="G341" s="152"/>
      <c r="H341" s="152"/>
    </row>
    <row r="342" spans="1:8" x14ac:dyDescent="0.2">
      <c r="A342" s="526" t="s">
        <v>498</v>
      </c>
      <c r="B342" s="526"/>
      <c r="C342" s="526"/>
      <c r="D342" s="526"/>
      <c r="E342" s="526"/>
      <c r="F342" s="526"/>
      <c r="G342" s="526"/>
      <c r="H342" s="526"/>
    </row>
    <row r="343" spans="1:8" x14ac:dyDescent="0.2">
      <c r="A343" s="156" t="s">
        <v>176</v>
      </c>
      <c r="B343" s="157"/>
      <c r="C343" s="157"/>
      <c r="D343" s="158" t="s">
        <v>180</v>
      </c>
      <c r="E343" s="157"/>
      <c r="F343" s="157"/>
      <c r="G343" s="158" t="s">
        <v>184</v>
      </c>
      <c r="H343" s="158" t="s">
        <v>186</v>
      </c>
    </row>
    <row r="344" spans="1:8" x14ac:dyDescent="0.2">
      <c r="A344" s="156" t="s">
        <v>177</v>
      </c>
      <c r="B344" s="158" t="s">
        <v>178</v>
      </c>
      <c r="C344" s="158" t="s">
        <v>179</v>
      </c>
      <c r="D344" s="158" t="s">
        <v>181</v>
      </c>
      <c r="E344" s="158" t="s">
        <v>182</v>
      </c>
      <c r="F344" s="160" t="s">
        <v>183</v>
      </c>
      <c r="G344" s="158" t="s">
        <v>185</v>
      </c>
      <c r="H344" s="158" t="s">
        <v>185</v>
      </c>
    </row>
    <row r="345" spans="1:8" x14ac:dyDescent="0.2">
      <c r="A345" s="529">
        <v>23</v>
      </c>
      <c r="B345" s="522" t="s">
        <v>421</v>
      </c>
      <c r="C345" s="547"/>
      <c r="D345" s="530"/>
      <c r="E345" s="177"/>
      <c r="F345" s="177"/>
      <c r="G345" s="524"/>
      <c r="H345" s="524"/>
    </row>
    <row r="346" spans="1:8" x14ac:dyDescent="0.2">
      <c r="A346" s="529"/>
      <c r="B346" s="522"/>
      <c r="C346" s="547"/>
      <c r="D346" s="530"/>
      <c r="E346" s="177"/>
      <c r="F346" s="177"/>
      <c r="G346" s="524"/>
      <c r="H346" s="524"/>
    </row>
    <row r="347" spans="1:8" x14ac:dyDescent="0.2">
      <c r="A347" s="529"/>
      <c r="B347" s="522"/>
      <c r="C347" s="547"/>
      <c r="D347" s="530"/>
      <c r="E347" s="177"/>
      <c r="F347" s="177"/>
      <c r="G347" s="524"/>
      <c r="H347" s="524"/>
    </row>
    <row r="348" spans="1:8" x14ac:dyDescent="0.2">
      <c r="A348" s="529"/>
      <c r="B348" s="522"/>
      <c r="C348" s="547"/>
      <c r="D348" s="530"/>
      <c r="E348" s="177"/>
      <c r="F348" s="177"/>
      <c r="G348" s="524"/>
      <c r="H348" s="524"/>
    </row>
    <row r="349" spans="1:8" x14ac:dyDescent="0.2">
      <c r="A349" s="529"/>
      <c r="B349" s="522"/>
      <c r="C349" s="547"/>
      <c r="D349" s="530"/>
      <c r="E349" s="177"/>
      <c r="F349" s="177"/>
      <c r="G349" s="524"/>
      <c r="H349" s="524"/>
    </row>
    <row r="350" spans="1:8" x14ac:dyDescent="0.2">
      <c r="A350" s="529"/>
      <c r="B350" s="522"/>
      <c r="C350" s="547"/>
      <c r="D350" s="530"/>
      <c r="E350" s="177"/>
      <c r="F350" s="177"/>
      <c r="G350" s="524"/>
      <c r="H350" s="524"/>
    </row>
    <row r="351" spans="1:8" x14ac:dyDescent="0.2">
      <c r="A351" s="529"/>
      <c r="B351" s="522"/>
      <c r="C351" s="547"/>
      <c r="D351" s="530"/>
      <c r="E351" s="177"/>
      <c r="F351" s="177"/>
      <c r="G351" s="524"/>
      <c r="H351" s="524"/>
    </row>
    <row r="352" spans="1:8" ht="13.5" x14ac:dyDescent="0.2">
      <c r="A352" s="529"/>
      <c r="B352" s="522"/>
      <c r="C352" s="547"/>
      <c r="D352" s="530"/>
      <c r="E352" s="189"/>
      <c r="F352" s="189"/>
      <c r="G352" s="524"/>
      <c r="H352" s="524"/>
    </row>
    <row r="353" spans="1:8" x14ac:dyDescent="0.2">
      <c r="A353" s="529"/>
      <c r="B353" s="522"/>
      <c r="C353" s="547"/>
      <c r="D353" s="530"/>
      <c r="E353" s="167">
        <v>1</v>
      </c>
      <c r="F353" s="169" t="s">
        <v>341</v>
      </c>
      <c r="G353" s="524"/>
      <c r="H353" s="524"/>
    </row>
    <row r="354" spans="1:8" x14ac:dyDescent="0.2">
      <c r="A354" s="166"/>
      <c r="B354" s="166"/>
      <c r="C354" s="166"/>
      <c r="D354" s="166"/>
      <c r="E354" s="166"/>
      <c r="F354" s="166"/>
      <c r="G354" s="166"/>
      <c r="H354" s="166"/>
    </row>
    <row r="355" spans="1:8" ht="12.75" customHeight="1" x14ac:dyDescent="0.2">
      <c r="A355" s="532">
        <v>24</v>
      </c>
      <c r="B355" s="535" t="s">
        <v>423</v>
      </c>
      <c r="C355" s="538"/>
      <c r="D355" s="541"/>
      <c r="E355" s="177"/>
      <c r="F355" s="177"/>
      <c r="G355" s="544" t="s">
        <v>616</v>
      </c>
      <c r="H355" s="544" t="s">
        <v>616</v>
      </c>
    </row>
    <row r="356" spans="1:8" x14ac:dyDescent="0.2">
      <c r="A356" s="533"/>
      <c r="B356" s="536"/>
      <c r="C356" s="539"/>
      <c r="D356" s="542"/>
      <c r="E356" s="177"/>
      <c r="F356" s="177"/>
      <c r="G356" s="545"/>
      <c r="H356" s="545"/>
    </row>
    <row r="357" spans="1:8" x14ac:dyDescent="0.2">
      <c r="A357" s="533"/>
      <c r="B357" s="536"/>
      <c r="C357" s="539"/>
      <c r="D357" s="542"/>
      <c r="E357" s="177"/>
      <c r="F357" s="177"/>
      <c r="G357" s="545"/>
      <c r="H357" s="545"/>
    </row>
    <row r="358" spans="1:8" x14ac:dyDescent="0.2">
      <c r="A358" s="533"/>
      <c r="B358" s="536"/>
      <c r="C358" s="539"/>
      <c r="D358" s="542"/>
      <c r="E358" s="177"/>
      <c r="F358" s="177"/>
      <c r="G358" s="545"/>
      <c r="H358" s="545"/>
    </row>
    <row r="359" spans="1:8" x14ac:dyDescent="0.2">
      <c r="A359" s="533"/>
      <c r="B359" s="536"/>
      <c r="C359" s="539"/>
      <c r="D359" s="542"/>
      <c r="E359" s="177"/>
      <c r="F359" s="177"/>
      <c r="G359" s="545"/>
      <c r="H359" s="545"/>
    </row>
    <row r="360" spans="1:8" x14ac:dyDescent="0.2">
      <c r="A360" s="533"/>
      <c r="B360" s="536"/>
      <c r="C360" s="539"/>
      <c r="D360" s="542"/>
      <c r="E360" s="177"/>
      <c r="F360" s="177"/>
      <c r="G360" s="545"/>
      <c r="H360" s="545"/>
    </row>
    <row r="361" spans="1:8" x14ac:dyDescent="0.2">
      <c r="A361" s="533"/>
      <c r="B361" s="536"/>
      <c r="C361" s="539"/>
      <c r="D361" s="542"/>
      <c r="E361" s="177"/>
      <c r="F361" s="177"/>
      <c r="G361" s="545"/>
      <c r="H361" s="545"/>
    </row>
    <row r="362" spans="1:8" ht="13.5" x14ac:dyDescent="0.2">
      <c r="A362" s="533"/>
      <c r="B362" s="536"/>
      <c r="C362" s="539"/>
      <c r="D362" s="542"/>
      <c r="E362" s="189"/>
      <c r="F362" s="189"/>
      <c r="G362" s="545"/>
      <c r="H362" s="545"/>
    </row>
    <row r="363" spans="1:8" x14ac:dyDescent="0.2">
      <c r="A363" s="534"/>
      <c r="B363" s="537"/>
      <c r="C363" s="540"/>
      <c r="D363" s="543"/>
      <c r="E363" s="167">
        <v>1</v>
      </c>
      <c r="F363" s="169" t="s">
        <v>341</v>
      </c>
      <c r="G363" s="546"/>
      <c r="H363" s="546"/>
    </row>
    <row r="364" spans="1:8" x14ac:dyDescent="0.2">
      <c r="A364" s="166"/>
      <c r="B364" s="166"/>
      <c r="C364" s="166"/>
      <c r="D364" s="166"/>
      <c r="E364" s="166"/>
      <c r="F364" s="166"/>
      <c r="G364" s="166"/>
      <c r="H364" s="166"/>
    </row>
    <row r="365" spans="1:8" ht="54" x14ac:dyDescent="0.2">
      <c r="A365" s="529">
        <v>25</v>
      </c>
      <c r="B365" s="172" t="s">
        <v>424</v>
      </c>
      <c r="C365" s="530"/>
      <c r="D365" s="530"/>
      <c r="E365" s="177"/>
      <c r="F365" s="177"/>
      <c r="G365" s="524">
        <v>5500000</v>
      </c>
      <c r="H365" s="524">
        <v>5500000</v>
      </c>
    </row>
    <row r="366" spans="1:8" x14ac:dyDescent="0.2">
      <c r="A366" s="529"/>
      <c r="B366" s="172" t="s">
        <v>425</v>
      </c>
      <c r="C366" s="530"/>
      <c r="D366" s="530"/>
      <c r="E366" s="177"/>
      <c r="F366" s="177"/>
      <c r="G366" s="524"/>
      <c r="H366" s="524"/>
    </row>
    <row r="367" spans="1:8" x14ac:dyDescent="0.2">
      <c r="A367" s="529"/>
      <c r="B367" s="187"/>
      <c r="C367" s="530"/>
      <c r="D367" s="530"/>
      <c r="E367" s="167">
        <v>1</v>
      </c>
      <c r="F367" s="169" t="s">
        <v>341</v>
      </c>
      <c r="G367" s="524"/>
      <c r="H367" s="524"/>
    </row>
    <row r="368" spans="1:8" ht="18" x14ac:dyDescent="0.2">
      <c r="A368" s="203">
        <v>26</v>
      </c>
      <c r="B368" s="172" t="s">
        <v>426</v>
      </c>
      <c r="C368" s="170"/>
      <c r="D368" s="167" t="s">
        <v>429</v>
      </c>
      <c r="E368" s="167">
        <v>1</v>
      </c>
      <c r="F368" s="169" t="s">
        <v>177</v>
      </c>
      <c r="G368" s="167">
        <v>228600</v>
      </c>
      <c r="H368" s="167">
        <v>2286000</v>
      </c>
    </row>
    <row r="369" spans="1:8" ht="18" x14ac:dyDescent="0.2">
      <c r="A369" s="203">
        <v>27</v>
      </c>
      <c r="B369" s="172" t="s">
        <v>428</v>
      </c>
      <c r="C369" s="170"/>
      <c r="D369" s="167" t="s">
        <v>617</v>
      </c>
      <c r="E369" s="167">
        <v>1</v>
      </c>
      <c r="F369" s="169" t="s">
        <v>177</v>
      </c>
      <c r="G369" s="167">
        <v>2740000</v>
      </c>
      <c r="H369" s="167">
        <v>2740000</v>
      </c>
    </row>
    <row r="370" spans="1:8" x14ac:dyDescent="0.2">
      <c r="A370" s="170"/>
      <c r="B370" s="170"/>
      <c r="C370" s="170"/>
      <c r="D370" s="170"/>
      <c r="E370" s="170"/>
      <c r="F370" s="170"/>
      <c r="G370" s="170"/>
      <c r="H370" s="175">
        <f>SUM(H365:H369)</f>
        <v>10526000</v>
      </c>
    </row>
    <row r="371" spans="1:8" x14ac:dyDescent="0.2">
      <c r="A371" s="205">
        <v>28</v>
      </c>
      <c r="B371" s="165" t="s">
        <v>430</v>
      </c>
      <c r="C371" s="166"/>
      <c r="D371" s="166"/>
      <c r="E371" s="166"/>
      <c r="F371" s="166"/>
      <c r="G371" s="166"/>
      <c r="H371" s="166"/>
    </row>
    <row r="372" spans="1:8" x14ac:dyDescent="0.2">
      <c r="A372" s="172">
        <v>28.1</v>
      </c>
      <c r="B372" s="172" t="s">
        <v>431</v>
      </c>
      <c r="C372" s="170"/>
      <c r="D372" s="167" t="s">
        <v>308</v>
      </c>
      <c r="E372" s="167">
        <v>2</v>
      </c>
      <c r="F372" s="169" t="s">
        <v>192</v>
      </c>
      <c r="G372" s="167"/>
      <c r="H372" s="167"/>
    </row>
    <row r="373" spans="1:8" x14ac:dyDescent="0.2">
      <c r="A373" s="172">
        <v>28.2</v>
      </c>
      <c r="B373" s="172" t="s">
        <v>432</v>
      </c>
      <c r="C373" s="170"/>
      <c r="D373" s="167" t="s">
        <v>310</v>
      </c>
      <c r="E373" s="167">
        <v>1</v>
      </c>
      <c r="F373" s="169" t="s">
        <v>177</v>
      </c>
      <c r="G373" s="167"/>
      <c r="H373" s="167"/>
    </row>
    <row r="374" spans="1:8" x14ac:dyDescent="0.2">
      <c r="A374" s="170"/>
      <c r="B374" s="170"/>
      <c r="C374" s="170"/>
      <c r="D374" s="170"/>
      <c r="E374" s="170"/>
      <c r="F374" s="170"/>
      <c r="G374" s="170"/>
      <c r="H374" s="170"/>
    </row>
    <row r="375" spans="1:8" x14ac:dyDescent="0.2">
      <c r="A375" s="166"/>
      <c r="B375" s="166"/>
      <c r="C375" s="166"/>
      <c r="D375" s="166"/>
      <c r="E375" s="166"/>
      <c r="F375" s="166"/>
      <c r="G375" s="166"/>
      <c r="H375" s="166"/>
    </row>
    <row r="376" spans="1:8" x14ac:dyDescent="0.2">
      <c r="A376" s="529">
        <v>29</v>
      </c>
      <c r="B376" s="522" t="s">
        <v>433</v>
      </c>
      <c r="C376" s="531"/>
      <c r="D376" s="530"/>
      <c r="E376" s="177"/>
      <c r="F376" s="177"/>
      <c r="G376" s="524"/>
      <c r="H376" s="524"/>
    </row>
    <row r="377" spans="1:8" x14ac:dyDescent="0.2">
      <c r="A377" s="529"/>
      <c r="B377" s="522"/>
      <c r="C377" s="531"/>
      <c r="D377" s="530"/>
      <c r="E377" s="177"/>
      <c r="F377" s="177"/>
      <c r="G377" s="524"/>
      <c r="H377" s="524"/>
    </row>
    <row r="378" spans="1:8" x14ac:dyDescent="0.2">
      <c r="A378" s="529"/>
      <c r="B378" s="522"/>
      <c r="C378" s="531"/>
      <c r="D378" s="530"/>
      <c r="E378" s="177"/>
      <c r="F378" s="177"/>
      <c r="G378" s="524"/>
      <c r="H378" s="524"/>
    </row>
    <row r="379" spans="1:8" x14ac:dyDescent="0.2">
      <c r="A379" s="529"/>
      <c r="B379" s="522"/>
      <c r="C379" s="531"/>
      <c r="D379" s="530"/>
      <c r="E379" s="177"/>
      <c r="F379" s="177"/>
      <c r="G379" s="524"/>
      <c r="H379" s="524"/>
    </row>
    <row r="380" spans="1:8" x14ac:dyDescent="0.2">
      <c r="A380" s="529"/>
      <c r="B380" s="522"/>
      <c r="C380" s="531"/>
      <c r="D380" s="530"/>
      <c r="E380" s="177"/>
      <c r="F380" s="177"/>
      <c r="G380" s="524"/>
      <c r="H380" s="524"/>
    </row>
    <row r="381" spans="1:8" x14ac:dyDescent="0.2">
      <c r="A381" s="529"/>
      <c r="B381" s="522"/>
      <c r="C381" s="531"/>
      <c r="D381" s="530"/>
      <c r="E381" s="177"/>
      <c r="F381" s="177"/>
      <c r="G381" s="524"/>
      <c r="H381" s="524"/>
    </row>
    <row r="382" spans="1:8" ht="13.5" x14ac:dyDescent="0.2">
      <c r="A382" s="529"/>
      <c r="B382" s="522"/>
      <c r="C382" s="531"/>
      <c r="D382" s="530"/>
      <c r="E382" s="189"/>
      <c r="F382" s="189"/>
      <c r="G382" s="524"/>
      <c r="H382" s="524"/>
    </row>
    <row r="383" spans="1:8" x14ac:dyDescent="0.2">
      <c r="A383" s="529"/>
      <c r="B383" s="522"/>
      <c r="C383" s="531"/>
      <c r="D383" s="530"/>
      <c r="E383" s="167">
        <v>1</v>
      </c>
      <c r="F383" s="169" t="s">
        <v>341</v>
      </c>
      <c r="G383" s="524"/>
      <c r="H383" s="524"/>
    </row>
    <row r="384" spans="1:8" x14ac:dyDescent="0.2">
      <c r="A384" s="170"/>
      <c r="B384" s="170"/>
      <c r="C384" s="170"/>
      <c r="D384" s="170"/>
      <c r="E384" s="170"/>
      <c r="F384" s="170"/>
      <c r="G384" s="170"/>
      <c r="H384" s="170"/>
    </row>
    <row r="385" spans="1:8" x14ac:dyDescent="0.2">
      <c r="A385" s="525" t="s">
        <v>434</v>
      </c>
      <c r="B385" s="525"/>
      <c r="C385" s="525"/>
      <c r="D385" s="525"/>
      <c r="E385" s="525"/>
      <c r="F385" s="525"/>
      <c r="G385" s="525"/>
      <c r="H385" s="208">
        <f>H370+H339+H307+H292+H291+H259+H252+H221+H207+H195+H189+H158+H146+H138+H126+H113+H104+H96+H84+H74+H66+H56+H48+H40+H29+H14+H11-27500000-37773400</f>
        <v>184860579</v>
      </c>
    </row>
    <row r="386" spans="1:8" x14ac:dyDescent="0.2">
      <c r="A386" s="152"/>
      <c r="B386" s="152"/>
      <c r="C386" s="152"/>
      <c r="D386" s="215" t="s">
        <v>706</v>
      </c>
      <c r="E386" s="152"/>
      <c r="F386" s="152"/>
      <c r="G386" s="152"/>
      <c r="H386" s="152">
        <f>H385*18%</f>
        <v>33274904.219999999</v>
      </c>
    </row>
    <row r="387" spans="1:8" x14ac:dyDescent="0.2">
      <c r="A387" s="173"/>
      <c r="B387" s="152"/>
      <c r="C387" s="152"/>
      <c r="D387" s="215" t="s">
        <v>707</v>
      </c>
      <c r="E387" s="152"/>
      <c r="F387" s="152"/>
      <c r="G387" s="152"/>
      <c r="H387" s="152">
        <f>H385*2%</f>
        <v>3697211.58</v>
      </c>
    </row>
    <row r="388" spans="1:8" x14ac:dyDescent="0.2">
      <c r="A388" s="173"/>
      <c r="B388" s="152"/>
      <c r="C388" s="152"/>
      <c r="D388" s="215"/>
      <c r="E388" s="152"/>
      <c r="F388" s="152"/>
      <c r="G388" s="152"/>
      <c r="H388" s="152">
        <f>SUM(H385:H387)</f>
        <v>221832694.80000001</v>
      </c>
    </row>
    <row r="389" spans="1:8" x14ac:dyDescent="0.2">
      <c r="A389" s="526" t="s">
        <v>618</v>
      </c>
      <c r="B389" s="526"/>
      <c r="C389" s="526"/>
      <c r="D389" s="526"/>
      <c r="E389" s="526"/>
      <c r="F389" s="526"/>
      <c r="G389" s="526"/>
      <c r="H389" s="526"/>
    </row>
    <row r="390" spans="1:8" x14ac:dyDescent="0.2">
      <c r="A390" s="156" t="s">
        <v>176</v>
      </c>
      <c r="B390" s="157"/>
      <c r="C390" s="157"/>
      <c r="D390" s="158" t="s">
        <v>180</v>
      </c>
      <c r="E390" s="157"/>
      <c r="F390" s="157"/>
      <c r="G390" s="158" t="s">
        <v>184</v>
      </c>
      <c r="H390" s="158" t="s">
        <v>186</v>
      </c>
    </row>
    <row r="391" spans="1:8" x14ac:dyDescent="0.2">
      <c r="A391" s="156" t="s">
        <v>177</v>
      </c>
      <c r="B391" s="158" t="s">
        <v>178</v>
      </c>
      <c r="C391" s="158" t="s">
        <v>179</v>
      </c>
      <c r="D391" s="158" t="s">
        <v>181</v>
      </c>
      <c r="E391" s="156" t="s">
        <v>182</v>
      </c>
      <c r="F391" s="206" t="s">
        <v>183</v>
      </c>
      <c r="G391" s="158" t="s">
        <v>185</v>
      </c>
      <c r="H391" s="158" t="s">
        <v>185</v>
      </c>
    </row>
    <row r="392" spans="1:8" x14ac:dyDescent="0.2">
      <c r="A392" s="527" t="s">
        <v>619</v>
      </c>
      <c r="B392" s="527"/>
      <c r="C392" s="527"/>
      <c r="D392" s="527"/>
      <c r="E392" s="527"/>
      <c r="F392" s="527"/>
      <c r="G392" s="527"/>
      <c r="H392" s="527"/>
    </row>
    <row r="393" spans="1:8" x14ac:dyDescent="0.2">
      <c r="A393" s="528" t="s">
        <v>620</v>
      </c>
      <c r="B393" s="528"/>
      <c r="C393" s="528"/>
      <c r="D393" s="528"/>
      <c r="E393" s="528"/>
      <c r="F393" s="528"/>
      <c r="G393" s="528"/>
      <c r="H393" s="528"/>
    </row>
    <row r="394" spans="1:8" x14ac:dyDescent="0.2">
      <c r="A394" s="528" t="s">
        <v>621</v>
      </c>
      <c r="B394" s="528"/>
      <c r="C394" s="528"/>
      <c r="D394" s="528"/>
      <c r="E394" s="528"/>
      <c r="F394" s="528"/>
      <c r="G394" s="528"/>
      <c r="H394" s="528"/>
    </row>
    <row r="395" spans="1:8" x14ac:dyDescent="0.2">
      <c r="A395" s="522" t="s">
        <v>622</v>
      </c>
      <c r="B395" s="522"/>
      <c r="C395" s="522"/>
      <c r="D395" s="522"/>
      <c r="E395" s="522"/>
      <c r="F395" s="522"/>
      <c r="G395" s="522"/>
      <c r="H395" s="522"/>
    </row>
    <row r="396" spans="1:8" x14ac:dyDescent="0.2">
      <c r="A396" s="522" t="s">
        <v>623</v>
      </c>
      <c r="B396" s="522"/>
      <c r="C396" s="522"/>
      <c r="D396" s="522"/>
      <c r="E396" s="522"/>
      <c r="F396" s="522"/>
      <c r="G396" s="522"/>
      <c r="H396" s="522"/>
    </row>
  </sheetData>
  <mergeCells count="236">
    <mergeCell ref="C6:C11"/>
    <mergeCell ref="C13:C14"/>
    <mergeCell ref="A17:H17"/>
    <mergeCell ref="C20:C29"/>
    <mergeCell ref="A25:A26"/>
    <mergeCell ref="B25:B26"/>
    <mergeCell ref="D25:D26"/>
    <mergeCell ref="E25:E26"/>
    <mergeCell ref="F25:F26"/>
    <mergeCell ref="G25:G26"/>
    <mergeCell ref="H25:H26"/>
    <mergeCell ref="A31:A34"/>
    <mergeCell ref="B31:B34"/>
    <mergeCell ref="C31:C39"/>
    <mergeCell ref="D31:D34"/>
    <mergeCell ref="G31:G34"/>
    <mergeCell ref="H31:H34"/>
    <mergeCell ref="A35:A39"/>
    <mergeCell ref="B35:B39"/>
    <mergeCell ref="D35:D39"/>
    <mergeCell ref="F58:F59"/>
    <mergeCell ref="G58:G59"/>
    <mergeCell ref="H58:H59"/>
    <mergeCell ref="C61:C66"/>
    <mergeCell ref="C68:C73"/>
    <mergeCell ref="C76:C81"/>
    <mergeCell ref="G35:G39"/>
    <mergeCell ref="H35:H39"/>
    <mergeCell ref="C42:C46"/>
    <mergeCell ref="A49:H49"/>
    <mergeCell ref="C52:C56"/>
    <mergeCell ref="A58:A59"/>
    <mergeCell ref="B58:B59"/>
    <mergeCell ref="C58:C59"/>
    <mergeCell ref="D58:D59"/>
    <mergeCell ref="E58:E59"/>
    <mergeCell ref="C91:C96"/>
    <mergeCell ref="C98:C104"/>
    <mergeCell ref="A99:A102"/>
    <mergeCell ref="B99:B102"/>
    <mergeCell ref="G99:G102"/>
    <mergeCell ref="H99:H102"/>
    <mergeCell ref="A85:H85"/>
    <mergeCell ref="A88:A89"/>
    <mergeCell ref="C88:C89"/>
    <mergeCell ref="D88:D89"/>
    <mergeCell ref="E88:E89"/>
    <mergeCell ref="F88:F89"/>
    <mergeCell ref="G88:G89"/>
    <mergeCell ref="H88:H89"/>
    <mergeCell ref="C141:C146"/>
    <mergeCell ref="A148:A150"/>
    <mergeCell ref="C148:C156"/>
    <mergeCell ref="G148:G150"/>
    <mergeCell ref="H148:H150"/>
    <mergeCell ref="A159:H159"/>
    <mergeCell ref="C106:C113"/>
    <mergeCell ref="C115:C123"/>
    <mergeCell ref="A127:H127"/>
    <mergeCell ref="C132:C137"/>
    <mergeCell ref="A135:A136"/>
    <mergeCell ref="B135:B136"/>
    <mergeCell ref="G135:G136"/>
    <mergeCell ref="H135:H136"/>
    <mergeCell ref="A174:D174"/>
    <mergeCell ref="A175:A178"/>
    <mergeCell ref="B175:B178"/>
    <mergeCell ref="D175:D178"/>
    <mergeCell ref="E175:E178"/>
    <mergeCell ref="F175:F178"/>
    <mergeCell ref="H162:H165"/>
    <mergeCell ref="A169:H169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A162:A165"/>
    <mergeCell ref="C162:C165"/>
    <mergeCell ref="D162:D165"/>
    <mergeCell ref="E162:E165"/>
    <mergeCell ref="F162:F165"/>
    <mergeCell ref="G162:G165"/>
    <mergeCell ref="G175:G178"/>
    <mergeCell ref="H175:H178"/>
    <mergeCell ref="A179:C179"/>
    <mergeCell ref="A180:A188"/>
    <mergeCell ref="C180:C188"/>
    <mergeCell ref="D180:D188"/>
    <mergeCell ref="E180:E188"/>
    <mergeCell ref="F180:F188"/>
    <mergeCell ref="G180:G188"/>
    <mergeCell ref="H180:H188"/>
    <mergeCell ref="A206:D206"/>
    <mergeCell ref="A207:A214"/>
    <mergeCell ref="D207:D214"/>
    <mergeCell ref="E207:E214"/>
    <mergeCell ref="F207:F214"/>
    <mergeCell ref="G207:G214"/>
    <mergeCell ref="A189:D189"/>
    <mergeCell ref="A192:H192"/>
    <mergeCell ref="A195:A205"/>
    <mergeCell ref="C195:C205"/>
    <mergeCell ref="D195:D205"/>
    <mergeCell ref="E195:E205"/>
    <mergeCell ref="F195:F205"/>
    <mergeCell ref="G195:G205"/>
    <mergeCell ref="H195:H205"/>
    <mergeCell ref="H207:H214"/>
    <mergeCell ref="A217:H217"/>
    <mergeCell ref="A220:D220"/>
    <mergeCell ref="A221:A222"/>
    <mergeCell ref="B221:B222"/>
    <mergeCell ref="C221:C222"/>
    <mergeCell ref="D221:D222"/>
    <mergeCell ref="E221:E222"/>
    <mergeCell ref="F221:F222"/>
    <mergeCell ref="G221:G222"/>
    <mergeCell ref="H259:H265"/>
    <mergeCell ref="G237:G248"/>
    <mergeCell ref="H237:H248"/>
    <mergeCell ref="C252:D252"/>
    <mergeCell ref="A253:D253"/>
    <mergeCell ref="A256:H256"/>
    <mergeCell ref="H221:H222"/>
    <mergeCell ref="A223:A230"/>
    <mergeCell ref="D223:D230"/>
    <mergeCell ref="E223:E230"/>
    <mergeCell ref="F223:F230"/>
    <mergeCell ref="G223:G230"/>
    <mergeCell ref="H223:H230"/>
    <mergeCell ref="A266:D266"/>
    <mergeCell ref="A267:A273"/>
    <mergeCell ref="B267:B273"/>
    <mergeCell ref="C267:C273"/>
    <mergeCell ref="D267:D273"/>
    <mergeCell ref="G267:G273"/>
    <mergeCell ref="A259:A265"/>
    <mergeCell ref="B259:B265"/>
    <mergeCell ref="C259:C265"/>
    <mergeCell ref="D259:D265"/>
    <mergeCell ref="G259:G265"/>
    <mergeCell ref="A283:A287"/>
    <mergeCell ref="B283:B287"/>
    <mergeCell ref="C283:C287"/>
    <mergeCell ref="D283:D287"/>
    <mergeCell ref="G283:G287"/>
    <mergeCell ref="H283:H287"/>
    <mergeCell ref="H267:H273"/>
    <mergeCell ref="A275:A282"/>
    <mergeCell ref="B275:B282"/>
    <mergeCell ref="C275:C282"/>
    <mergeCell ref="D275:D282"/>
    <mergeCell ref="G275:G282"/>
    <mergeCell ref="H275:H282"/>
    <mergeCell ref="A292:A299"/>
    <mergeCell ref="B292:B299"/>
    <mergeCell ref="C292:C299"/>
    <mergeCell ref="D292:D299"/>
    <mergeCell ref="G292:G299"/>
    <mergeCell ref="H292:H299"/>
    <mergeCell ref="A288:A290"/>
    <mergeCell ref="B288:B290"/>
    <mergeCell ref="C288:C290"/>
    <mergeCell ref="D288:D290"/>
    <mergeCell ref="G288:G290"/>
    <mergeCell ref="H288:H290"/>
    <mergeCell ref="G300:G301"/>
    <mergeCell ref="H300:H301"/>
    <mergeCell ref="A304:H304"/>
    <mergeCell ref="A307:A314"/>
    <mergeCell ref="B307:B314"/>
    <mergeCell ref="C307:C314"/>
    <mergeCell ref="D307:D314"/>
    <mergeCell ref="G307:G314"/>
    <mergeCell ref="H307:H314"/>
    <mergeCell ref="A300:A301"/>
    <mergeCell ref="B300:B301"/>
    <mergeCell ref="C300:C301"/>
    <mergeCell ref="D300:D301"/>
    <mergeCell ref="E300:E301"/>
    <mergeCell ref="F300:F301"/>
    <mergeCell ref="G319:H323"/>
    <mergeCell ref="A325:A334"/>
    <mergeCell ref="B325:B334"/>
    <mergeCell ref="C325:C334"/>
    <mergeCell ref="D325:D334"/>
    <mergeCell ref="G325:G334"/>
    <mergeCell ref="H325:H334"/>
    <mergeCell ref="A319:A320"/>
    <mergeCell ref="B319:B320"/>
    <mergeCell ref="C319:C320"/>
    <mergeCell ref="D319:D320"/>
    <mergeCell ref="E319:E320"/>
    <mergeCell ref="F319:F320"/>
    <mergeCell ref="H355:H363"/>
    <mergeCell ref="A342:H342"/>
    <mergeCell ref="A345:A353"/>
    <mergeCell ref="B345:B353"/>
    <mergeCell ref="C345:C353"/>
    <mergeCell ref="D345:D353"/>
    <mergeCell ref="G345:G353"/>
    <mergeCell ref="H345:H353"/>
    <mergeCell ref="A336:A338"/>
    <mergeCell ref="B336:B338"/>
    <mergeCell ref="C336:C338"/>
    <mergeCell ref="D336:D338"/>
    <mergeCell ref="G336:G338"/>
    <mergeCell ref="H336:H338"/>
    <mergeCell ref="A395:H395"/>
    <mergeCell ref="A396:H396"/>
    <mergeCell ref="A1:H1"/>
    <mergeCell ref="H376:H383"/>
    <mergeCell ref="A385:G385"/>
    <mergeCell ref="A389:H389"/>
    <mergeCell ref="A392:H392"/>
    <mergeCell ref="A393:H393"/>
    <mergeCell ref="A394:H394"/>
    <mergeCell ref="A365:A367"/>
    <mergeCell ref="C365:C367"/>
    <mergeCell ref="D365:D367"/>
    <mergeCell ref="G365:G367"/>
    <mergeCell ref="H365:H367"/>
    <mergeCell ref="A376:A383"/>
    <mergeCell ref="B376:B383"/>
    <mergeCell ref="C376:C383"/>
    <mergeCell ref="D376:D383"/>
    <mergeCell ref="G376:G383"/>
    <mergeCell ref="A355:A363"/>
    <mergeCell ref="B355:B363"/>
    <mergeCell ref="C355:C363"/>
    <mergeCell ref="D355:D363"/>
    <mergeCell ref="G355:G363"/>
  </mergeCells>
  <pageMargins left="0.7" right="0.7" top="0.75" bottom="0.75" header="0.3" footer="0.3"/>
  <pageSetup paperSize="9" scale="7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opLeftCell="F55" zoomScaleNormal="100" workbookViewId="0">
      <selection activeCell="L68" sqref="L68"/>
    </sheetView>
  </sheetViews>
  <sheetFormatPr defaultColWidth="9.140625" defaultRowHeight="15" x14ac:dyDescent="0.25"/>
  <cols>
    <col min="1" max="1" width="3" style="216" customWidth="1"/>
    <col min="2" max="2" width="20.5703125" style="216" customWidth="1"/>
    <col min="3" max="3" width="39.85546875" style="216" customWidth="1"/>
    <col min="4" max="4" width="25" style="216" customWidth="1"/>
    <col min="5" max="6" width="9.140625" style="216"/>
    <col min="7" max="7" width="17.42578125" style="216" bestFit="1" customWidth="1"/>
    <col min="8" max="8" width="26.140625" style="216" customWidth="1"/>
    <col min="9" max="9" width="19.7109375" style="216" bestFit="1" customWidth="1"/>
    <col min="10" max="10" width="16.42578125" style="216" customWidth="1"/>
    <col min="11" max="11" width="16" style="216" customWidth="1"/>
    <col min="12" max="12" width="22.5703125" style="216" customWidth="1"/>
    <col min="13" max="13" width="16.28515625" style="216" bestFit="1" customWidth="1"/>
    <col min="14" max="18" width="14.85546875" style="216" bestFit="1" customWidth="1"/>
    <col min="19" max="16384" width="9.140625" style="216"/>
  </cols>
  <sheetData>
    <row r="1" spans="1:13" ht="60.75" hidden="1" thickBot="1" x14ac:dyDescent="0.3">
      <c r="A1" s="279" t="s">
        <v>446</v>
      </c>
      <c r="B1" s="280" t="s">
        <v>453</v>
      </c>
      <c r="C1" s="280" t="s">
        <v>454</v>
      </c>
    </row>
    <row r="2" spans="1:13" ht="45" hidden="1" customHeight="1" thickBot="1" x14ac:dyDescent="0.3">
      <c r="A2" s="577" t="s">
        <v>455</v>
      </c>
      <c r="B2" s="578"/>
      <c r="C2" s="579"/>
      <c r="H2" s="580" t="s">
        <v>705</v>
      </c>
      <c r="I2" s="581"/>
      <c r="J2" s="581"/>
      <c r="K2" s="581"/>
      <c r="L2" s="581"/>
      <c r="M2" s="582"/>
    </row>
    <row r="3" spans="1:13" ht="15.75" hidden="1" thickBot="1" x14ac:dyDescent="0.3">
      <c r="A3" s="281">
        <v>1</v>
      </c>
      <c r="B3" s="282" t="s">
        <v>456</v>
      </c>
      <c r="C3" s="282">
        <v>3</v>
      </c>
      <c r="H3" s="583"/>
      <c r="I3" s="584"/>
      <c r="J3" s="584"/>
      <c r="K3" s="584"/>
      <c r="L3" s="584"/>
      <c r="M3" s="585"/>
    </row>
    <row r="4" spans="1:13" ht="15.75" hidden="1" thickBot="1" x14ac:dyDescent="0.3">
      <c r="A4" s="281">
        <v>2</v>
      </c>
      <c r="B4" s="282" t="s">
        <v>457</v>
      </c>
      <c r="C4" s="282">
        <v>6</v>
      </c>
      <c r="H4" s="583"/>
      <c r="I4" s="584"/>
      <c r="J4" s="584"/>
      <c r="K4" s="584"/>
      <c r="L4" s="584"/>
      <c r="M4" s="585"/>
    </row>
    <row r="5" spans="1:13" ht="30.75" hidden="1" thickBot="1" x14ac:dyDescent="0.3">
      <c r="A5" s="281">
        <v>3</v>
      </c>
      <c r="B5" s="282" t="s">
        <v>458</v>
      </c>
      <c r="C5" s="282">
        <v>15</v>
      </c>
      <c r="H5" s="583"/>
      <c r="I5" s="584"/>
      <c r="J5" s="584"/>
      <c r="K5" s="584"/>
      <c r="L5" s="584"/>
      <c r="M5" s="585"/>
    </row>
    <row r="6" spans="1:13" ht="30.75" hidden="1" thickBot="1" x14ac:dyDescent="0.3">
      <c r="A6" s="281">
        <v>4</v>
      </c>
      <c r="B6" s="282" t="s">
        <v>459</v>
      </c>
      <c r="C6" s="282">
        <v>2</v>
      </c>
      <c r="H6" s="586"/>
      <c r="I6" s="587"/>
      <c r="J6" s="587"/>
      <c r="K6" s="587"/>
      <c r="L6" s="587"/>
      <c r="M6" s="588"/>
    </row>
    <row r="7" spans="1:13" ht="15.75" hidden="1" thickBot="1" x14ac:dyDescent="0.3">
      <c r="A7" s="281">
        <v>5</v>
      </c>
      <c r="B7" s="282" t="s">
        <v>460</v>
      </c>
      <c r="C7" s="282">
        <v>2</v>
      </c>
      <c r="H7" s="213"/>
      <c r="I7" s="214"/>
      <c r="J7" s="214"/>
      <c r="K7" s="214"/>
      <c r="L7" s="214"/>
      <c r="M7" s="283" t="s">
        <v>642</v>
      </c>
    </row>
    <row r="8" spans="1:13" ht="15.75" hidden="1" thickBot="1" x14ac:dyDescent="0.3">
      <c r="A8" s="284"/>
      <c r="B8" s="285"/>
      <c r="C8" s="282">
        <f>SUM(C3:C7)</f>
        <v>28</v>
      </c>
      <c r="H8" s="286" t="s">
        <v>643</v>
      </c>
      <c r="I8" s="287" t="s">
        <v>644</v>
      </c>
      <c r="J8" s="288" t="s">
        <v>645</v>
      </c>
      <c r="K8" s="287" t="s">
        <v>646</v>
      </c>
      <c r="L8" s="287" t="s">
        <v>646</v>
      </c>
      <c r="M8" s="287" t="s">
        <v>647</v>
      </c>
    </row>
    <row r="9" spans="1:13" ht="45" hidden="1" customHeight="1" thickBot="1" x14ac:dyDescent="0.3">
      <c r="A9" s="577" t="s">
        <v>461</v>
      </c>
      <c r="B9" s="578"/>
      <c r="C9" s="579"/>
      <c r="H9" s="289">
        <v>1</v>
      </c>
      <c r="I9" s="283" t="s">
        <v>648</v>
      </c>
      <c r="J9" s="283">
        <v>2</v>
      </c>
      <c r="K9" s="283" t="s">
        <v>649</v>
      </c>
      <c r="L9" s="283" t="s">
        <v>650</v>
      </c>
      <c r="M9" s="283" t="s">
        <v>651</v>
      </c>
    </row>
    <row r="10" spans="1:13" ht="15.75" hidden="1" thickBot="1" x14ac:dyDescent="0.3">
      <c r="A10" s="281">
        <v>1</v>
      </c>
      <c r="B10" s="282" t="s">
        <v>462</v>
      </c>
      <c r="C10" s="282">
        <v>3</v>
      </c>
      <c r="H10" s="289">
        <v>2</v>
      </c>
      <c r="I10" s="283" t="s">
        <v>652</v>
      </c>
      <c r="J10" s="283">
        <v>6</v>
      </c>
      <c r="K10" s="290">
        <v>50000</v>
      </c>
      <c r="L10" s="283" t="s">
        <v>650</v>
      </c>
      <c r="M10" s="283" t="s">
        <v>651</v>
      </c>
    </row>
    <row r="11" spans="1:13" ht="15.75" hidden="1" thickBot="1" x14ac:dyDescent="0.3">
      <c r="A11" s="281">
        <v>2</v>
      </c>
      <c r="B11" s="282" t="s">
        <v>463</v>
      </c>
      <c r="C11" s="282">
        <v>5</v>
      </c>
      <c r="H11" s="289">
        <v>3</v>
      </c>
      <c r="I11" s="283" t="s">
        <v>653</v>
      </c>
      <c r="J11" s="283">
        <v>50</v>
      </c>
      <c r="K11" s="290">
        <v>25000</v>
      </c>
      <c r="L11" s="283" t="s">
        <v>654</v>
      </c>
      <c r="M11" s="283" t="s">
        <v>655</v>
      </c>
    </row>
    <row r="12" spans="1:13" ht="30.75" hidden="1" thickBot="1" x14ac:dyDescent="0.3">
      <c r="A12" s="281">
        <v>3</v>
      </c>
      <c r="B12" s="282" t="s">
        <v>464</v>
      </c>
      <c r="C12" s="282">
        <v>5</v>
      </c>
      <c r="H12" s="289">
        <v>4</v>
      </c>
      <c r="I12" s="283" t="s">
        <v>656</v>
      </c>
      <c r="J12" s="283">
        <v>90</v>
      </c>
      <c r="K12" s="290">
        <v>25000</v>
      </c>
      <c r="L12" s="283" t="s">
        <v>657</v>
      </c>
      <c r="M12" s="283" t="s">
        <v>658</v>
      </c>
    </row>
    <row r="13" spans="1:13" ht="30.75" hidden="1" thickBot="1" x14ac:dyDescent="0.3">
      <c r="A13" s="281">
        <v>4</v>
      </c>
      <c r="B13" s="282" t="s">
        <v>465</v>
      </c>
      <c r="C13" s="282">
        <v>2</v>
      </c>
      <c r="H13" s="289">
        <v>5</v>
      </c>
      <c r="I13" s="283" t="s">
        <v>659</v>
      </c>
      <c r="J13" s="283">
        <v>120</v>
      </c>
      <c r="K13" s="290">
        <v>15000</v>
      </c>
      <c r="L13" s="283" t="s">
        <v>660</v>
      </c>
      <c r="M13" s="283" t="s">
        <v>661</v>
      </c>
    </row>
    <row r="14" spans="1:13" ht="15.75" hidden="1" thickBot="1" x14ac:dyDescent="0.3">
      <c r="A14" s="284"/>
      <c r="B14" s="285"/>
      <c r="C14" s="282">
        <f>SUM(C10:C13)</f>
        <v>15</v>
      </c>
      <c r="H14" s="289">
        <v>6</v>
      </c>
      <c r="I14" s="283" t="s">
        <v>662</v>
      </c>
      <c r="J14" s="283">
        <v>150</v>
      </c>
      <c r="K14" s="290">
        <v>10000</v>
      </c>
      <c r="L14" s="283" t="s">
        <v>663</v>
      </c>
      <c r="M14" s="283" t="s">
        <v>664</v>
      </c>
    </row>
    <row r="15" spans="1:13" ht="60" hidden="1" customHeight="1" thickBot="1" x14ac:dyDescent="0.3">
      <c r="A15" s="577" t="s">
        <v>466</v>
      </c>
      <c r="B15" s="578"/>
      <c r="C15" s="579"/>
      <c r="H15" s="289">
        <v>7</v>
      </c>
      <c r="I15" s="283" t="s">
        <v>665</v>
      </c>
      <c r="J15" s="283">
        <v>1</v>
      </c>
      <c r="K15" s="290">
        <v>75000</v>
      </c>
      <c r="L15" s="290">
        <v>75000</v>
      </c>
      <c r="M15" s="283" t="s">
        <v>666</v>
      </c>
    </row>
    <row r="16" spans="1:13" ht="15.75" hidden="1" thickBot="1" x14ac:dyDescent="0.3">
      <c r="A16" s="281">
        <v>1</v>
      </c>
      <c r="B16" s="282" t="s">
        <v>456</v>
      </c>
      <c r="C16" s="282">
        <v>5</v>
      </c>
      <c r="H16" s="289">
        <v>8</v>
      </c>
      <c r="I16" s="283" t="s">
        <v>667</v>
      </c>
      <c r="J16" s="283">
        <v>2</v>
      </c>
      <c r="K16" s="290">
        <v>50000</v>
      </c>
      <c r="L16" s="283" t="s">
        <v>668</v>
      </c>
      <c r="M16" s="283" t="s">
        <v>669</v>
      </c>
    </row>
    <row r="17" spans="1:13" ht="15.75" hidden="1" thickBot="1" x14ac:dyDescent="0.3">
      <c r="A17" s="281">
        <v>2</v>
      </c>
      <c r="B17" s="282" t="s">
        <v>457</v>
      </c>
      <c r="C17" s="282">
        <v>12</v>
      </c>
      <c r="H17" s="289">
        <v>9</v>
      </c>
      <c r="I17" s="283" t="s">
        <v>670</v>
      </c>
      <c r="J17" s="283">
        <v>10</v>
      </c>
      <c r="K17" s="290">
        <v>25000</v>
      </c>
      <c r="L17" s="283" t="s">
        <v>671</v>
      </c>
      <c r="M17" s="283" t="s">
        <v>672</v>
      </c>
    </row>
    <row r="18" spans="1:13" ht="30.75" hidden="1" thickBot="1" x14ac:dyDescent="0.3">
      <c r="A18" s="281">
        <v>3</v>
      </c>
      <c r="B18" s="282" t="s">
        <v>458</v>
      </c>
      <c r="C18" s="282">
        <v>30</v>
      </c>
      <c r="H18" s="289">
        <v>10</v>
      </c>
      <c r="I18" s="283" t="s">
        <v>673</v>
      </c>
      <c r="J18" s="283">
        <v>2</v>
      </c>
      <c r="K18" s="290">
        <v>15000</v>
      </c>
      <c r="L18" s="290">
        <v>30000</v>
      </c>
      <c r="M18" s="283" t="s">
        <v>674</v>
      </c>
    </row>
    <row r="19" spans="1:13" ht="30.75" hidden="1" thickBot="1" x14ac:dyDescent="0.3">
      <c r="A19" s="281">
        <v>4</v>
      </c>
      <c r="B19" s="282" t="s">
        <v>459</v>
      </c>
      <c r="C19" s="282">
        <v>4</v>
      </c>
      <c r="H19" s="289">
        <v>11</v>
      </c>
      <c r="I19" s="283" t="s">
        <v>675</v>
      </c>
      <c r="J19" s="283">
        <v>1</v>
      </c>
      <c r="K19" s="290">
        <v>75000</v>
      </c>
      <c r="L19" s="290">
        <v>75000</v>
      </c>
      <c r="M19" s="283" t="s">
        <v>666</v>
      </c>
    </row>
    <row r="20" spans="1:13" ht="15.75" hidden="1" thickBot="1" x14ac:dyDescent="0.3">
      <c r="A20" s="281">
        <v>5</v>
      </c>
      <c r="B20" s="282" t="s">
        <v>460</v>
      </c>
      <c r="C20" s="282">
        <v>4</v>
      </c>
      <c r="H20" s="289">
        <v>12</v>
      </c>
      <c r="I20" s="283" t="s">
        <v>676</v>
      </c>
      <c r="J20" s="283">
        <v>2</v>
      </c>
      <c r="K20" s="290">
        <v>50000</v>
      </c>
      <c r="L20" s="283" t="s">
        <v>668</v>
      </c>
      <c r="M20" s="283" t="s">
        <v>669</v>
      </c>
    </row>
    <row r="21" spans="1:13" ht="15.75" hidden="1" thickBot="1" x14ac:dyDescent="0.3">
      <c r="A21" s="284"/>
      <c r="B21" s="285"/>
      <c r="C21" s="282">
        <f>SUM(C16:C20)</f>
        <v>55</v>
      </c>
      <c r="H21" s="289">
        <v>13</v>
      </c>
      <c r="I21" s="283" t="s">
        <v>677</v>
      </c>
      <c r="J21" s="283">
        <v>10</v>
      </c>
      <c r="K21" s="290">
        <v>25000</v>
      </c>
      <c r="L21" s="283" t="s">
        <v>671</v>
      </c>
      <c r="M21" s="283" t="s">
        <v>672</v>
      </c>
    </row>
    <row r="22" spans="1:13" ht="45" hidden="1" customHeight="1" thickBot="1" x14ac:dyDescent="0.3">
      <c r="A22" s="577" t="s">
        <v>467</v>
      </c>
      <c r="B22" s="578"/>
      <c r="C22" s="579"/>
      <c r="H22" s="289">
        <v>14</v>
      </c>
      <c r="I22" s="283" t="s">
        <v>678</v>
      </c>
      <c r="J22" s="283">
        <v>10</v>
      </c>
      <c r="K22" s="290">
        <v>15000</v>
      </c>
      <c r="L22" s="283" t="s">
        <v>649</v>
      </c>
      <c r="M22" s="283" t="s">
        <v>660</v>
      </c>
    </row>
    <row r="23" spans="1:13" ht="15.75" hidden="1" thickBot="1" x14ac:dyDescent="0.3">
      <c r="A23" s="281">
        <v>1</v>
      </c>
      <c r="B23" s="282" t="s">
        <v>456</v>
      </c>
      <c r="C23" s="282">
        <v>5</v>
      </c>
      <c r="H23" s="289">
        <v>15</v>
      </c>
      <c r="I23" s="283" t="s">
        <v>679</v>
      </c>
      <c r="J23" s="283">
        <v>1</v>
      </c>
      <c r="K23" s="290">
        <v>75000</v>
      </c>
      <c r="L23" s="290">
        <v>75000</v>
      </c>
      <c r="M23" s="283" t="s">
        <v>666</v>
      </c>
    </row>
    <row r="24" spans="1:13" ht="15.75" hidden="1" thickBot="1" x14ac:dyDescent="0.3">
      <c r="A24" s="281">
        <v>2</v>
      </c>
      <c r="B24" s="282" t="s">
        <v>457</v>
      </c>
      <c r="C24" s="282">
        <v>15</v>
      </c>
      <c r="H24" s="289">
        <v>16</v>
      </c>
      <c r="I24" s="283" t="s">
        <v>680</v>
      </c>
      <c r="J24" s="283">
        <v>4</v>
      </c>
      <c r="K24" s="290">
        <v>50000</v>
      </c>
      <c r="L24" s="283" t="s">
        <v>681</v>
      </c>
      <c r="M24" s="283" t="s">
        <v>682</v>
      </c>
    </row>
    <row r="25" spans="1:13" ht="30.75" hidden="1" thickBot="1" x14ac:dyDescent="0.3">
      <c r="A25" s="281">
        <v>3</v>
      </c>
      <c r="B25" s="282" t="s">
        <v>458</v>
      </c>
      <c r="C25" s="282">
        <v>30</v>
      </c>
      <c r="H25" s="289">
        <v>17</v>
      </c>
      <c r="I25" s="283" t="s">
        <v>683</v>
      </c>
      <c r="J25" s="283">
        <v>10</v>
      </c>
      <c r="K25" s="290">
        <v>50000</v>
      </c>
      <c r="L25" s="283" t="s">
        <v>684</v>
      </c>
      <c r="M25" s="283" t="s">
        <v>685</v>
      </c>
    </row>
    <row r="26" spans="1:13" ht="30.75" hidden="1" thickBot="1" x14ac:dyDescent="0.3">
      <c r="A26" s="281">
        <v>4</v>
      </c>
      <c r="B26" s="282" t="s">
        <v>459</v>
      </c>
      <c r="C26" s="282">
        <v>4</v>
      </c>
      <c r="H26" s="289">
        <v>18</v>
      </c>
      <c r="I26" s="283" t="s">
        <v>686</v>
      </c>
      <c r="J26" s="283">
        <v>10</v>
      </c>
      <c r="K26" s="290">
        <v>25000</v>
      </c>
      <c r="L26" s="283" t="s">
        <v>671</v>
      </c>
      <c r="M26" s="283" t="s">
        <v>672</v>
      </c>
    </row>
    <row r="27" spans="1:13" ht="15.75" hidden="1" thickBot="1" x14ac:dyDescent="0.3">
      <c r="A27" s="281">
        <v>5</v>
      </c>
      <c r="B27" s="282" t="s">
        <v>460</v>
      </c>
      <c r="C27" s="282">
        <v>4</v>
      </c>
      <c r="H27" s="289">
        <v>19</v>
      </c>
      <c r="I27" s="283" t="s">
        <v>687</v>
      </c>
      <c r="J27" s="283">
        <v>1</v>
      </c>
      <c r="K27" s="290">
        <v>75000</v>
      </c>
      <c r="L27" s="290">
        <v>75000</v>
      </c>
      <c r="M27" s="283" t="s">
        <v>666</v>
      </c>
    </row>
    <row r="28" spans="1:13" ht="15.75" hidden="1" thickBot="1" x14ac:dyDescent="0.3">
      <c r="A28" s="284"/>
      <c r="B28" s="285"/>
      <c r="C28" s="282">
        <f>SUM(C23:C27)</f>
        <v>58</v>
      </c>
      <c r="H28" s="289">
        <v>20</v>
      </c>
      <c r="I28" s="283" t="s">
        <v>688</v>
      </c>
      <c r="J28" s="283">
        <v>1</v>
      </c>
      <c r="K28" s="290">
        <v>50000</v>
      </c>
      <c r="L28" s="290">
        <v>50000</v>
      </c>
      <c r="M28" s="283" t="s">
        <v>689</v>
      </c>
    </row>
    <row r="29" spans="1:13" ht="15.75" hidden="1" thickBot="1" x14ac:dyDescent="0.3">
      <c r="A29" s="577" t="s">
        <v>468</v>
      </c>
      <c r="B29" s="578"/>
      <c r="C29" s="579"/>
      <c r="H29" s="289">
        <v>21</v>
      </c>
      <c r="I29" s="283" t="s">
        <v>690</v>
      </c>
      <c r="J29" s="283">
        <v>4</v>
      </c>
      <c r="K29" s="290">
        <v>25000</v>
      </c>
      <c r="L29" s="283" t="s">
        <v>668</v>
      </c>
      <c r="M29" s="283" t="s">
        <v>669</v>
      </c>
    </row>
    <row r="30" spans="1:13" ht="15.75" hidden="1" thickBot="1" x14ac:dyDescent="0.3">
      <c r="A30" s="281">
        <v>1</v>
      </c>
      <c r="B30" s="282" t="s">
        <v>469</v>
      </c>
      <c r="C30" s="282">
        <v>5</v>
      </c>
      <c r="H30" s="289">
        <v>22</v>
      </c>
      <c r="I30" s="283" t="s">
        <v>691</v>
      </c>
      <c r="J30" s="283">
        <v>4</v>
      </c>
      <c r="K30" s="290">
        <v>15000</v>
      </c>
      <c r="L30" s="290">
        <v>60000</v>
      </c>
      <c r="M30" s="283" t="s">
        <v>692</v>
      </c>
    </row>
    <row r="31" spans="1:13" ht="15.75" hidden="1" thickBot="1" x14ac:dyDescent="0.3">
      <c r="A31" s="281">
        <v>2</v>
      </c>
      <c r="B31" s="282" t="s">
        <v>470</v>
      </c>
      <c r="C31" s="282">
        <v>4</v>
      </c>
      <c r="H31" s="289">
        <v>23</v>
      </c>
      <c r="I31" s="283" t="s">
        <v>693</v>
      </c>
      <c r="J31" s="283">
        <v>4</v>
      </c>
      <c r="K31" s="290">
        <v>10000</v>
      </c>
      <c r="L31" s="290">
        <v>40000</v>
      </c>
      <c r="M31" s="283" t="s">
        <v>694</v>
      </c>
    </row>
    <row r="32" spans="1:13" ht="15.75" hidden="1" thickBot="1" x14ac:dyDescent="0.3">
      <c r="C32" s="216">
        <f>SUM(C30:C31)</f>
        <v>9</v>
      </c>
      <c r="H32" s="289">
        <v>24</v>
      </c>
      <c r="I32" s="283" t="s">
        <v>695</v>
      </c>
      <c r="J32" s="283">
        <v>1</v>
      </c>
      <c r="K32" s="290">
        <v>75000</v>
      </c>
      <c r="L32" s="290">
        <v>75000</v>
      </c>
      <c r="M32" s="283" t="s">
        <v>666</v>
      </c>
    </row>
    <row r="33" spans="2:13" ht="15.75" hidden="1" thickBot="1" x14ac:dyDescent="0.3">
      <c r="B33" s="216" t="s">
        <v>471</v>
      </c>
      <c r="C33" s="216">
        <f>C8+C21+C28+C31</f>
        <v>145</v>
      </c>
      <c r="H33" s="289">
        <v>25</v>
      </c>
      <c r="I33" s="283" t="s">
        <v>696</v>
      </c>
      <c r="J33" s="283">
        <v>5</v>
      </c>
      <c r="K33" s="290">
        <v>40000</v>
      </c>
      <c r="L33" s="283" t="s">
        <v>681</v>
      </c>
      <c r="M33" s="283" t="s">
        <v>682</v>
      </c>
    </row>
    <row r="34" spans="2:13" ht="15.75" hidden="1" thickBot="1" x14ac:dyDescent="0.3">
      <c r="H34" s="289">
        <v>26</v>
      </c>
      <c r="I34" s="283" t="s">
        <v>697</v>
      </c>
      <c r="J34" s="283">
        <v>10</v>
      </c>
      <c r="K34" s="290">
        <v>10000</v>
      </c>
      <c r="L34" s="283" t="s">
        <v>668</v>
      </c>
      <c r="M34" s="283" t="s">
        <v>669</v>
      </c>
    </row>
    <row r="35" spans="2:13" ht="15.75" hidden="1" thickBot="1" x14ac:dyDescent="0.3">
      <c r="H35" s="289">
        <v>27</v>
      </c>
      <c r="I35" s="283" t="s">
        <v>698</v>
      </c>
      <c r="J35" s="283">
        <v>12</v>
      </c>
      <c r="K35" s="290">
        <v>10000</v>
      </c>
      <c r="L35" s="283" t="s">
        <v>699</v>
      </c>
      <c r="M35" s="283" t="s">
        <v>700</v>
      </c>
    </row>
    <row r="36" spans="2:13" ht="15.75" hidden="1" thickBot="1" x14ac:dyDescent="0.3">
      <c r="H36" s="289">
        <v>28</v>
      </c>
      <c r="I36" s="283" t="s">
        <v>701</v>
      </c>
      <c r="J36" s="283">
        <v>12</v>
      </c>
      <c r="K36" s="290">
        <v>12000</v>
      </c>
      <c r="L36" s="283" t="s">
        <v>702</v>
      </c>
      <c r="M36" s="283" t="s">
        <v>703</v>
      </c>
    </row>
    <row r="37" spans="2:13" ht="15.75" hidden="1" thickBot="1" x14ac:dyDescent="0.3">
      <c r="H37" s="289">
        <v>29</v>
      </c>
      <c r="I37" s="283" t="s">
        <v>704</v>
      </c>
      <c r="J37" s="283">
        <v>10</v>
      </c>
      <c r="K37" s="290">
        <v>10000</v>
      </c>
      <c r="L37" s="283" t="s">
        <v>668</v>
      </c>
      <c r="M37" s="283" t="s">
        <v>669</v>
      </c>
    </row>
    <row r="38" spans="2:13" hidden="1" x14ac:dyDescent="0.25"/>
    <row r="39" spans="2:13" hidden="1" x14ac:dyDescent="0.25"/>
    <row r="42" spans="2:13" x14ac:dyDescent="0.25">
      <c r="B42" s="589" t="s">
        <v>774</v>
      </c>
      <c r="C42" s="589"/>
      <c r="D42" s="589"/>
      <c r="G42" s="589" t="s">
        <v>776</v>
      </c>
      <c r="H42" s="589"/>
      <c r="I42" s="589"/>
      <c r="J42" s="589"/>
      <c r="K42" s="589"/>
      <c r="L42" s="589"/>
    </row>
    <row r="44" spans="2:13" x14ac:dyDescent="0.25">
      <c r="B44" s="291" t="s">
        <v>446</v>
      </c>
      <c r="C44" s="292" t="s">
        <v>453</v>
      </c>
      <c r="D44" s="292" t="s">
        <v>454</v>
      </c>
      <c r="G44" s="291" t="s">
        <v>643</v>
      </c>
      <c r="H44" s="292" t="s">
        <v>644</v>
      </c>
      <c r="I44" s="292" t="s">
        <v>645</v>
      </c>
      <c r="J44" s="292" t="s">
        <v>646</v>
      </c>
      <c r="K44" s="292" t="s">
        <v>646</v>
      </c>
      <c r="L44" s="292" t="s">
        <v>775</v>
      </c>
    </row>
    <row r="45" spans="2:13" x14ac:dyDescent="0.25">
      <c r="B45" s="576" t="s">
        <v>455</v>
      </c>
      <c r="C45" s="576"/>
      <c r="D45" s="576"/>
      <c r="G45" s="218">
        <v>1</v>
      </c>
      <c r="H45" s="216" t="s">
        <v>648</v>
      </c>
      <c r="I45" s="218">
        <v>1</v>
      </c>
      <c r="J45" s="218">
        <v>35000</v>
      </c>
      <c r="K45" s="218">
        <f>I45*J45</f>
        <v>35000</v>
      </c>
      <c r="L45" s="218">
        <f>K45*12</f>
        <v>420000</v>
      </c>
    </row>
    <row r="46" spans="2:13" x14ac:dyDescent="0.25">
      <c r="B46" s="218">
        <v>1</v>
      </c>
      <c r="C46" s="216" t="s">
        <v>456</v>
      </c>
      <c r="D46" s="218">
        <v>3</v>
      </c>
      <c r="G46" s="218">
        <v>2</v>
      </c>
      <c r="H46" s="216" t="s">
        <v>652</v>
      </c>
      <c r="I46" s="218">
        <v>1</v>
      </c>
      <c r="J46" s="218">
        <v>25000</v>
      </c>
      <c r="K46" s="218">
        <f t="shared" ref="K46:K67" si="0">I46*J46</f>
        <v>25000</v>
      </c>
      <c r="L46" s="218">
        <f t="shared" ref="L46:L67" si="1">K46*12</f>
        <v>300000</v>
      </c>
    </row>
    <row r="47" spans="2:13" x14ac:dyDescent="0.25">
      <c r="B47" s="218">
        <v>2</v>
      </c>
      <c r="C47" s="216" t="s">
        <v>457</v>
      </c>
      <c r="D47" s="218">
        <v>6</v>
      </c>
      <c r="G47" s="218">
        <v>3</v>
      </c>
      <c r="H47" s="216" t="s">
        <v>653</v>
      </c>
      <c r="I47" s="218">
        <v>2</v>
      </c>
      <c r="J47" s="218">
        <v>20000</v>
      </c>
      <c r="K47" s="218">
        <f t="shared" si="0"/>
        <v>40000</v>
      </c>
      <c r="L47" s="218">
        <f t="shared" si="1"/>
        <v>480000</v>
      </c>
    </row>
    <row r="48" spans="2:13" x14ac:dyDescent="0.25">
      <c r="B48" s="218">
        <v>3</v>
      </c>
      <c r="C48" s="216" t="s">
        <v>458</v>
      </c>
      <c r="D48" s="218">
        <v>15</v>
      </c>
      <c r="G48" s="218">
        <v>4</v>
      </c>
      <c r="H48" s="216" t="s">
        <v>656</v>
      </c>
      <c r="I48" s="218">
        <v>4</v>
      </c>
      <c r="J48" s="218">
        <v>15000</v>
      </c>
      <c r="K48" s="218">
        <f t="shared" si="0"/>
        <v>60000</v>
      </c>
      <c r="L48" s="218">
        <f t="shared" si="1"/>
        <v>720000</v>
      </c>
    </row>
    <row r="49" spans="2:12" x14ac:dyDescent="0.25">
      <c r="B49" s="218">
        <v>4</v>
      </c>
      <c r="C49" s="216" t="s">
        <v>459</v>
      </c>
      <c r="D49" s="218">
        <v>2</v>
      </c>
      <c r="G49" s="218">
        <v>5</v>
      </c>
      <c r="H49" s="216" t="s">
        <v>659</v>
      </c>
      <c r="I49" s="218">
        <v>4</v>
      </c>
      <c r="J49" s="218">
        <v>12000</v>
      </c>
      <c r="K49" s="218">
        <f t="shared" si="0"/>
        <v>48000</v>
      </c>
      <c r="L49" s="218">
        <f t="shared" si="1"/>
        <v>576000</v>
      </c>
    </row>
    <row r="50" spans="2:12" x14ac:dyDescent="0.25">
      <c r="B50" s="218">
        <v>5</v>
      </c>
      <c r="C50" s="216" t="s">
        <v>460</v>
      </c>
      <c r="D50" s="218">
        <v>2</v>
      </c>
      <c r="G50" s="218">
        <v>6</v>
      </c>
      <c r="H50" s="216" t="s">
        <v>662</v>
      </c>
      <c r="I50" s="218">
        <v>4</v>
      </c>
      <c r="J50" s="218">
        <v>10000</v>
      </c>
      <c r="K50" s="218">
        <f t="shared" si="0"/>
        <v>40000</v>
      </c>
      <c r="L50" s="218">
        <f t="shared" si="1"/>
        <v>480000</v>
      </c>
    </row>
    <row r="51" spans="2:12" x14ac:dyDescent="0.25">
      <c r="B51" s="293"/>
      <c r="C51" s="293" t="s">
        <v>5</v>
      </c>
      <c r="D51" s="293">
        <f>SUM(D46:D50)</f>
        <v>28</v>
      </c>
      <c r="G51" s="218">
        <v>7</v>
      </c>
      <c r="H51" s="216" t="s">
        <v>665</v>
      </c>
      <c r="I51" s="218">
        <v>1</v>
      </c>
      <c r="J51" s="218">
        <v>30000</v>
      </c>
      <c r="K51" s="218">
        <f t="shared" si="0"/>
        <v>30000</v>
      </c>
      <c r="L51" s="218">
        <f t="shared" si="1"/>
        <v>360000</v>
      </c>
    </row>
    <row r="52" spans="2:12" x14ac:dyDescent="0.25">
      <c r="B52" s="576" t="s">
        <v>461</v>
      </c>
      <c r="C52" s="576"/>
      <c r="D52" s="576"/>
      <c r="G52" s="218">
        <v>8</v>
      </c>
      <c r="H52" s="216" t="s">
        <v>667</v>
      </c>
      <c r="I52" s="218">
        <v>2</v>
      </c>
      <c r="J52" s="218">
        <v>25000</v>
      </c>
      <c r="K52" s="218">
        <f t="shared" si="0"/>
        <v>50000</v>
      </c>
      <c r="L52" s="218">
        <f t="shared" si="1"/>
        <v>600000</v>
      </c>
    </row>
    <row r="53" spans="2:12" x14ac:dyDescent="0.25">
      <c r="B53" s="218">
        <v>1</v>
      </c>
      <c r="C53" s="294" t="s">
        <v>462</v>
      </c>
      <c r="D53" s="218">
        <v>3</v>
      </c>
      <c r="G53" s="218">
        <v>9</v>
      </c>
      <c r="H53" s="216" t="s">
        <v>670</v>
      </c>
      <c r="I53" s="218">
        <v>2</v>
      </c>
      <c r="J53" s="218">
        <v>20000</v>
      </c>
      <c r="K53" s="218">
        <f t="shared" si="0"/>
        <v>40000</v>
      </c>
      <c r="L53" s="218">
        <f t="shared" si="1"/>
        <v>480000</v>
      </c>
    </row>
    <row r="54" spans="2:12" x14ac:dyDescent="0.25">
      <c r="B54" s="218">
        <v>2</v>
      </c>
      <c r="C54" s="294" t="s">
        <v>463</v>
      </c>
      <c r="D54" s="218">
        <v>5</v>
      </c>
      <c r="G54" s="218">
        <v>10</v>
      </c>
      <c r="H54" s="216" t="s">
        <v>673</v>
      </c>
      <c r="I54" s="218">
        <v>2</v>
      </c>
      <c r="J54" s="218">
        <v>15000</v>
      </c>
      <c r="K54" s="218">
        <f t="shared" si="0"/>
        <v>30000</v>
      </c>
      <c r="L54" s="218">
        <f t="shared" si="1"/>
        <v>360000</v>
      </c>
    </row>
    <row r="55" spans="2:12" x14ac:dyDescent="0.25">
      <c r="B55" s="218">
        <v>3</v>
      </c>
      <c r="C55" s="294" t="s">
        <v>464</v>
      </c>
      <c r="D55" s="218">
        <v>5</v>
      </c>
      <c r="G55" s="218">
        <v>11</v>
      </c>
      <c r="H55" s="216" t="s">
        <v>675</v>
      </c>
      <c r="I55" s="218">
        <v>1</v>
      </c>
      <c r="J55" s="218">
        <v>33000</v>
      </c>
      <c r="K55" s="218">
        <f t="shared" si="0"/>
        <v>33000</v>
      </c>
      <c r="L55" s="218">
        <f t="shared" si="1"/>
        <v>396000</v>
      </c>
    </row>
    <row r="56" spans="2:12" x14ac:dyDescent="0.25">
      <c r="B56" s="218">
        <v>4</v>
      </c>
      <c r="C56" s="294" t="s">
        <v>465</v>
      </c>
      <c r="D56" s="218">
        <v>2</v>
      </c>
      <c r="G56" s="218">
        <v>12</v>
      </c>
      <c r="H56" s="216" t="s">
        <v>676</v>
      </c>
      <c r="I56" s="218">
        <v>2</v>
      </c>
      <c r="J56" s="218">
        <v>30000</v>
      </c>
      <c r="K56" s="218">
        <f t="shared" si="0"/>
        <v>60000</v>
      </c>
      <c r="L56" s="218">
        <f t="shared" si="1"/>
        <v>720000</v>
      </c>
    </row>
    <row r="57" spans="2:12" x14ac:dyDescent="0.25">
      <c r="B57" s="293"/>
      <c r="C57" s="293" t="s">
        <v>5</v>
      </c>
      <c r="D57" s="293">
        <f>SUM(D53:D56)</f>
        <v>15</v>
      </c>
      <c r="G57" s="218">
        <v>13</v>
      </c>
      <c r="H57" s="216" t="s">
        <v>677</v>
      </c>
      <c r="I57" s="218">
        <v>2</v>
      </c>
      <c r="J57" s="218">
        <v>25000</v>
      </c>
      <c r="K57" s="218">
        <f t="shared" si="0"/>
        <v>50000</v>
      </c>
      <c r="L57" s="218">
        <f t="shared" si="1"/>
        <v>600000</v>
      </c>
    </row>
    <row r="58" spans="2:12" x14ac:dyDescent="0.25">
      <c r="B58" s="576" t="s">
        <v>466</v>
      </c>
      <c r="C58" s="576"/>
      <c r="D58" s="576"/>
      <c r="G58" s="218">
        <v>14</v>
      </c>
      <c r="H58" s="216" t="s">
        <v>678</v>
      </c>
      <c r="I58" s="218">
        <v>3</v>
      </c>
      <c r="J58" s="218">
        <v>15000</v>
      </c>
      <c r="K58" s="218">
        <f t="shared" si="0"/>
        <v>45000</v>
      </c>
      <c r="L58" s="218">
        <f t="shared" si="1"/>
        <v>540000</v>
      </c>
    </row>
    <row r="59" spans="2:12" x14ac:dyDescent="0.25">
      <c r="B59" s="218">
        <v>1</v>
      </c>
      <c r="C59" s="294" t="s">
        <v>456</v>
      </c>
      <c r="D59" s="218">
        <v>5</v>
      </c>
      <c r="G59" s="218">
        <v>15</v>
      </c>
      <c r="H59" s="216" t="s">
        <v>679</v>
      </c>
      <c r="I59" s="218">
        <v>1</v>
      </c>
      <c r="J59" s="218">
        <v>39750</v>
      </c>
      <c r="K59" s="218">
        <f t="shared" si="0"/>
        <v>39750</v>
      </c>
      <c r="L59" s="218">
        <f t="shared" si="1"/>
        <v>477000</v>
      </c>
    </row>
    <row r="60" spans="2:12" x14ac:dyDescent="0.25">
      <c r="B60" s="218">
        <v>2</v>
      </c>
      <c r="C60" s="294" t="s">
        <v>457</v>
      </c>
      <c r="D60" s="218">
        <v>12</v>
      </c>
      <c r="G60" s="218">
        <v>16</v>
      </c>
      <c r="H60" s="216" t="s">
        <v>680</v>
      </c>
      <c r="I60" s="218">
        <v>3</v>
      </c>
      <c r="J60" s="218">
        <v>25000</v>
      </c>
      <c r="K60" s="218">
        <f t="shared" si="0"/>
        <v>75000</v>
      </c>
      <c r="L60" s="218">
        <f t="shared" si="1"/>
        <v>900000</v>
      </c>
    </row>
    <row r="61" spans="2:12" x14ac:dyDescent="0.25">
      <c r="B61" s="218">
        <v>3</v>
      </c>
      <c r="C61" s="294" t="s">
        <v>458</v>
      </c>
      <c r="D61" s="218">
        <v>30</v>
      </c>
      <c r="G61" s="218">
        <v>17</v>
      </c>
      <c r="H61" s="216" t="s">
        <v>469</v>
      </c>
      <c r="I61" s="218">
        <v>3</v>
      </c>
      <c r="J61" s="218">
        <v>30000</v>
      </c>
      <c r="K61" s="218">
        <f t="shared" si="0"/>
        <v>90000</v>
      </c>
      <c r="L61" s="218">
        <f t="shared" si="1"/>
        <v>1080000</v>
      </c>
    </row>
    <row r="62" spans="2:12" x14ac:dyDescent="0.25">
      <c r="B62" s="218">
        <v>4</v>
      </c>
      <c r="C62" s="294" t="s">
        <v>459</v>
      </c>
      <c r="D62" s="218">
        <v>4</v>
      </c>
      <c r="G62" s="218">
        <v>18</v>
      </c>
      <c r="H62" s="216" t="s">
        <v>686</v>
      </c>
      <c r="I62" s="218">
        <v>3</v>
      </c>
      <c r="J62" s="218">
        <v>25000</v>
      </c>
      <c r="K62" s="218">
        <f t="shared" si="0"/>
        <v>75000</v>
      </c>
      <c r="L62" s="218">
        <f t="shared" si="1"/>
        <v>900000</v>
      </c>
    </row>
    <row r="63" spans="2:12" x14ac:dyDescent="0.25">
      <c r="B63" s="218">
        <v>5</v>
      </c>
      <c r="C63" s="294" t="s">
        <v>460</v>
      </c>
      <c r="D63" s="218">
        <v>4</v>
      </c>
      <c r="G63" s="218">
        <v>19</v>
      </c>
      <c r="H63" s="216" t="s">
        <v>687</v>
      </c>
      <c r="I63" s="218">
        <v>1</v>
      </c>
      <c r="J63" s="218">
        <v>25000</v>
      </c>
      <c r="K63" s="218">
        <f t="shared" si="0"/>
        <v>25000</v>
      </c>
      <c r="L63" s="218">
        <f t="shared" si="1"/>
        <v>300000</v>
      </c>
    </row>
    <row r="64" spans="2:12" x14ac:dyDescent="0.25">
      <c r="B64" s="293"/>
      <c r="C64" s="293" t="s">
        <v>5</v>
      </c>
      <c r="D64" s="293">
        <f>SUM(D59:D63)</f>
        <v>55</v>
      </c>
      <c r="G64" s="218">
        <v>20</v>
      </c>
      <c r="H64" s="216" t="s">
        <v>688</v>
      </c>
      <c r="I64" s="218">
        <v>2</v>
      </c>
      <c r="J64" s="218">
        <v>20000</v>
      </c>
      <c r="K64" s="218">
        <f t="shared" si="0"/>
        <v>40000</v>
      </c>
      <c r="L64" s="218">
        <f t="shared" si="1"/>
        <v>480000</v>
      </c>
    </row>
    <row r="65" spans="2:16" x14ac:dyDescent="0.25">
      <c r="B65" s="576" t="s">
        <v>467</v>
      </c>
      <c r="C65" s="576"/>
      <c r="D65" s="576"/>
      <c r="G65" s="218">
        <v>21</v>
      </c>
      <c r="H65" s="216" t="s">
        <v>690</v>
      </c>
      <c r="I65" s="218">
        <v>1</v>
      </c>
      <c r="J65" s="218">
        <v>25000</v>
      </c>
      <c r="K65" s="218">
        <f t="shared" si="0"/>
        <v>25000</v>
      </c>
      <c r="L65" s="218">
        <f t="shared" si="1"/>
        <v>300000</v>
      </c>
    </row>
    <row r="66" spans="2:16" x14ac:dyDescent="0.25">
      <c r="B66" s="218">
        <v>1</v>
      </c>
      <c r="C66" s="294" t="s">
        <v>456</v>
      </c>
      <c r="D66" s="218">
        <v>5</v>
      </c>
      <c r="G66" s="218">
        <v>22</v>
      </c>
      <c r="H66" s="216" t="s">
        <v>691</v>
      </c>
      <c r="I66" s="218">
        <v>2</v>
      </c>
      <c r="J66" s="218">
        <v>15000</v>
      </c>
      <c r="K66" s="218">
        <f t="shared" si="0"/>
        <v>30000</v>
      </c>
      <c r="L66" s="218">
        <f t="shared" si="1"/>
        <v>360000</v>
      </c>
    </row>
    <row r="67" spans="2:16" x14ac:dyDescent="0.25">
      <c r="B67" s="218">
        <v>2</v>
      </c>
      <c r="C67" s="294" t="s">
        <v>457</v>
      </c>
      <c r="D67" s="218">
        <v>15</v>
      </c>
      <c r="G67" s="218">
        <v>23</v>
      </c>
      <c r="H67" s="216" t="s">
        <v>693</v>
      </c>
      <c r="I67" s="218">
        <v>3</v>
      </c>
      <c r="J67" s="218">
        <v>10000</v>
      </c>
      <c r="K67" s="218">
        <f t="shared" si="0"/>
        <v>30000</v>
      </c>
      <c r="L67" s="218">
        <f t="shared" si="1"/>
        <v>360000</v>
      </c>
    </row>
    <row r="68" spans="2:16" x14ac:dyDescent="0.25">
      <c r="B68" s="218">
        <v>3</v>
      </c>
      <c r="C68" s="294" t="s">
        <v>458</v>
      </c>
      <c r="D68" s="218">
        <v>30</v>
      </c>
      <c r="G68" s="291"/>
      <c r="H68" s="291" t="s">
        <v>5</v>
      </c>
      <c r="I68" s="291">
        <f>SUM(I45:I67)</f>
        <v>50</v>
      </c>
      <c r="J68" s="291"/>
      <c r="K68" s="291"/>
      <c r="L68" s="295">
        <f>SUM(L45:L67)</f>
        <v>12189000</v>
      </c>
    </row>
    <row r="69" spans="2:16" x14ac:dyDescent="0.25">
      <c r="B69" s="218">
        <v>4</v>
      </c>
      <c r="C69" s="294" t="s">
        <v>459</v>
      </c>
      <c r="D69" s="218">
        <v>4</v>
      </c>
    </row>
    <row r="70" spans="2:16" x14ac:dyDescent="0.25">
      <c r="B70" s="218">
        <v>5</v>
      </c>
      <c r="C70" s="294" t="s">
        <v>460</v>
      </c>
      <c r="D70" s="218">
        <v>4</v>
      </c>
      <c r="G70" s="291"/>
      <c r="H70" s="291" t="s">
        <v>777</v>
      </c>
      <c r="I70" s="291"/>
      <c r="J70" s="291"/>
      <c r="K70" s="291"/>
      <c r="L70" s="296">
        <f>L68/12*7</f>
        <v>7110250</v>
      </c>
    </row>
    <row r="71" spans="2:16" x14ac:dyDescent="0.25">
      <c r="B71" s="293"/>
      <c r="C71" s="293" t="s">
        <v>5</v>
      </c>
      <c r="D71" s="293">
        <f>SUM(D66:D70)</f>
        <v>58</v>
      </c>
    </row>
    <row r="72" spans="2:16" x14ac:dyDescent="0.25">
      <c r="B72" s="576" t="s">
        <v>468</v>
      </c>
      <c r="C72" s="576"/>
      <c r="D72" s="576"/>
      <c r="H72" s="297" t="s">
        <v>778</v>
      </c>
      <c r="L72" s="298">
        <f>L68</f>
        <v>12189000</v>
      </c>
    </row>
    <row r="73" spans="2:16" x14ac:dyDescent="0.25">
      <c r="B73" s="218">
        <v>1</v>
      </c>
      <c r="C73" s="294" t="s">
        <v>469</v>
      </c>
      <c r="D73" s="218">
        <v>5</v>
      </c>
      <c r="E73" s="218"/>
      <c r="F73" s="294"/>
      <c r="G73" s="218"/>
      <c r="H73" s="218"/>
      <c r="I73" s="294"/>
      <c r="J73" s="218"/>
      <c r="K73" s="218"/>
      <c r="L73" s="218"/>
      <c r="M73" s="218"/>
      <c r="N73" s="218"/>
      <c r="O73" s="294"/>
      <c r="P73" s="218"/>
    </row>
    <row r="74" spans="2:16" x14ac:dyDescent="0.25">
      <c r="B74" s="218">
        <v>2</v>
      </c>
      <c r="C74" s="294" t="s">
        <v>470</v>
      </c>
      <c r="D74" s="218">
        <v>4</v>
      </c>
      <c r="E74" s="218"/>
      <c r="F74" s="294"/>
      <c r="G74" s="218"/>
      <c r="H74" s="297" t="s">
        <v>779</v>
      </c>
      <c r="I74" s="294"/>
      <c r="J74" s="218"/>
      <c r="K74" s="218"/>
      <c r="L74" s="298">
        <f>L72/25</f>
        <v>487560</v>
      </c>
      <c r="M74" s="218"/>
      <c r="N74" s="218"/>
      <c r="O74" s="294"/>
      <c r="P74" s="218"/>
    </row>
    <row r="75" spans="2:16" x14ac:dyDescent="0.25">
      <c r="B75" s="293"/>
      <c r="C75" s="293" t="s">
        <v>5</v>
      </c>
      <c r="D75" s="293">
        <f>SUM(D73:D74)</f>
        <v>9</v>
      </c>
      <c r="E75" s="218"/>
      <c r="F75" s="294"/>
      <c r="G75" s="218"/>
      <c r="H75" s="218"/>
      <c r="I75" s="294"/>
      <c r="J75" s="218"/>
      <c r="K75" s="218"/>
      <c r="L75" s="218"/>
      <c r="M75" s="218"/>
      <c r="N75" s="218"/>
      <c r="O75" s="294"/>
      <c r="P75" s="218"/>
    </row>
    <row r="76" spans="2:16" x14ac:dyDescent="0.25">
      <c r="H76" s="218">
        <v>30</v>
      </c>
      <c r="L76" s="298">
        <f>$L$74*H76</f>
        <v>14626800</v>
      </c>
    </row>
    <row r="77" spans="2:16" x14ac:dyDescent="0.25">
      <c r="B77" s="293"/>
      <c r="C77" s="293" t="s">
        <v>471</v>
      </c>
      <c r="D77" s="293">
        <f>D51+D57+D64+D71+D75</f>
        <v>165</v>
      </c>
      <c r="H77" s="218">
        <f>H76+5</f>
        <v>35</v>
      </c>
      <c r="L77" s="298">
        <f t="shared" ref="L77:L86" si="2">$L$74*H77</f>
        <v>17064600</v>
      </c>
    </row>
    <row r="78" spans="2:16" x14ac:dyDescent="0.25">
      <c r="H78" s="218">
        <f t="shared" ref="H78:H86" si="3">H77+5</f>
        <v>40</v>
      </c>
      <c r="L78" s="298">
        <f t="shared" si="2"/>
        <v>19502400</v>
      </c>
    </row>
    <row r="79" spans="2:16" x14ac:dyDescent="0.25">
      <c r="H79" s="218">
        <f t="shared" si="3"/>
        <v>45</v>
      </c>
      <c r="L79" s="298">
        <f t="shared" si="2"/>
        <v>21940200</v>
      </c>
    </row>
    <row r="80" spans="2:16" x14ac:dyDescent="0.25">
      <c r="H80" s="218">
        <f t="shared" si="3"/>
        <v>50</v>
      </c>
      <c r="L80" s="298">
        <f t="shared" si="2"/>
        <v>24378000</v>
      </c>
    </row>
    <row r="81" spans="7:18" x14ac:dyDescent="0.25">
      <c r="H81" s="218">
        <f t="shared" si="3"/>
        <v>55</v>
      </c>
      <c r="L81" s="298">
        <f t="shared" si="2"/>
        <v>26815800</v>
      </c>
    </row>
    <row r="82" spans="7:18" x14ac:dyDescent="0.25">
      <c r="H82" s="218">
        <f t="shared" si="3"/>
        <v>60</v>
      </c>
      <c r="L82" s="298">
        <f t="shared" si="2"/>
        <v>29253600</v>
      </c>
    </row>
    <row r="83" spans="7:18" x14ac:dyDescent="0.25">
      <c r="H83" s="218">
        <f t="shared" si="3"/>
        <v>65</v>
      </c>
      <c r="L83" s="298">
        <f t="shared" si="2"/>
        <v>31691400</v>
      </c>
    </row>
    <row r="84" spans="7:18" x14ac:dyDescent="0.25">
      <c r="H84" s="218">
        <f>H83+5</f>
        <v>70</v>
      </c>
      <c r="L84" s="298">
        <f t="shared" si="2"/>
        <v>34129200</v>
      </c>
    </row>
    <row r="85" spans="7:18" x14ac:dyDescent="0.25">
      <c r="H85" s="218">
        <f t="shared" si="3"/>
        <v>75</v>
      </c>
      <c r="L85" s="298">
        <f t="shared" si="2"/>
        <v>36567000</v>
      </c>
    </row>
    <row r="86" spans="7:18" x14ac:dyDescent="0.25">
      <c r="H86" s="218">
        <f t="shared" si="3"/>
        <v>80</v>
      </c>
      <c r="L86" s="298">
        <f t="shared" si="2"/>
        <v>39004800</v>
      </c>
    </row>
    <row r="87" spans="7:18" x14ac:dyDescent="0.25">
      <c r="H87" s="218"/>
    </row>
    <row r="88" spans="7:18" x14ac:dyDescent="0.25">
      <c r="G88" s="292"/>
      <c r="H88" s="292" t="s">
        <v>782</v>
      </c>
      <c r="I88" s="417">
        <v>0.02</v>
      </c>
      <c r="J88" s="292"/>
      <c r="K88" s="292"/>
      <c r="L88" s="292"/>
      <c r="M88" s="292"/>
      <c r="N88" s="292"/>
      <c r="O88" s="292"/>
      <c r="P88" s="292"/>
      <c r="Q88" s="292"/>
      <c r="R88" s="292"/>
    </row>
    <row r="89" spans="7:18" x14ac:dyDescent="0.25">
      <c r="G89" s="292" t="s">
        <v>180</v>
      </c>
      <c r="H89" s="300">
        <f>Capacity!D33</f>
        <v>0.35</v>
      </c>
      <c r="I89" s="300">
        <f>Capacity!E33</f>
        <v>0.45</v>
      </c>
      <c r="J89" s="300">
        <f>Capacity!F33</f>
        <v>0.5</v>
      </c>
      <c r="K89" s="300">
        <f>Capacity!G33</f>
        <v>0.55000000000000004</v>
      </c>
      <c r="L89" s="300">
        <f>Capacity!H33</f>
        <v>0.60000000000000009</v>
      </c>
      <c r="M89" s="300">
        <f>Capacity!I33</f>
        <v>0.65000000000000013</v>
      </c>
      <c r="N89" s="300">
        <f>Capacity!J33</f>
        <v>0.70000000000000018</v>
      </c>
      <c r="O89" s="300">
        <f>Capacity!K33</f>
        <v>0.75000000000000022</v>
      </c>
      <c r="P89" s="300">
        <f>Capacity!L33</f>
        <v>0.80000000000000027</v>
      </c>
      <c r="Q89" s="300">
        <f>Capacity!M33</f>
        <v>0.85000000000000031</v>
      </c>
      <c r="R89" s="300">
        <f>Capacity!N33</f>
        <v>0.90000000000000036</v>
      </c>
    </row>
    <row r="90" spans="7:18" x14ac:dyDescent="0.25">
      <c r="G90" s="292" t="s">
        <v>4</v>
      </c>
      <c r="H90" s="292" t="str">
        <f>'P&amp;L(Proposed)'!G6</f>
        <v>2025-26</v>
      </c>
      <c r="I90" s="292" t="str">
        <f>'P&amp;L(Proposed)'!H6</f>
        <v>2026-27</v>
      </c>
      <c r="J90" s="292" t="str">
        <f>'P&amp;L(Proposed)'!I6</f>
        <v>2027-28</v>
      </c>
      <c r="K90" s="292" t="str">
        <f>'P&amp;L(Proposed)'!J6</f>
        <v>2028-29</v>
      </c>
      <c r="L90" s="292" t="str">
        <f>'P&amp;L(Proposed)'!K6</f>
        <v>2029-30</v>
      </c>
      <c r="M90" s="292" t="str">
        <f>'P&amp;L(Proposed)'!L6</f>
        <v>2030-31</v>
      </c>
      <c r="N90" s="292" t="str">
        <f>'P&amp;L(Proposed)'!M6</f>
        <v>2031-32</v>
      </c>
      <c r="O90" s="292" t="str">
        <f>'P&amp;L(Proposed)'!N6</f>
        <v>2032-33</v>
      </c>
      <c r="P90" s="292" t="str">
        <f>'P&amp;L(Proposed)'!O6</f>
        <v>2033-34</v>
      </c>
      <c r="Q90" s="292" t="str">
        <f>'P&amp;L(Proposed)'!P6</f>
        <v>2034-35</v>
      </c>
      <c r="R90" s="292" t="str">
        <f>'P&amp;L(Proposed)'!Q6</f>
        <v>2035-36</v>
      </c>
    </row>
    <row r="91" spans="7:18" x14ac:dyDescent="0.25">
      <c r="G91" s="252" t="s">
        <v>780</v>
      </c>
      <c r="H91" s="301">
        <f>L74</f>
        <v>487560</v>
      </c>
      <c r="I91" s="301">
        <f>H91*(1+$I$88)</f>
        <v>497311.2</v>
      </c>
      <c r="J91" s="301">
        <f t="shared" ref="J91:N91" si="4">I91*(1+$I$88)</f>
        <v>507257.424</v>
      </c>
      <c r="K91" s="301">
        <f t="shared" si="4"/>
        <v>517402.57248000003</v>
      </c>
      <c r="L91" s="301">
        <f t="shared" si="4"/>
        <v>527750.6239296</v>
      </c>
      <c r="M91" s="301">
        <f t="shared" si="4"/>
        <v>538305.63640819199</v>
      </c>
      <c r="N91" s="301">
        <f t="shared" si="4"/>
        <v>549071.74913635582</v>
      </c>
      <c r="O91" s="301">
        <f t="shared" ref="O91:R91" si="5">N91*(1+$I$88)</f>
        <v>560053.18411908299</v>
      </c>
      <c r="P91" s="301">
        <f t="shared" si="5"/>
        <v>571254.24780146463</v>
      </c>
      <c r="Q91" s="301">
        <f t="shared" si="5"/>
        <v>582679.33275749395</v>
      </c>
      <c r="R91" s="301">
        <f t="shared" si="5"/>
        <v>594332.91941264388</v>
      </c>
    </row>
    <row r="92" spans="7:18" x14ac:dyDescent="0.25">
      <c r="G92" s="252" t="s">
        <v>781</v>
      </c>
      <c r="H92" s="301">
        <f>H91*H89*100/12</f>
        <v>1422050</v>
      </c>
      <c r="I92" s="301">
        <f>I91*I89*100</f>
        <v>22379004</v>
      </c>
      <c r="J92" s="301">
        <f t="shared" ref="J92:N92" si="6">J91*J89*100</f>
        <v>25362871.199999999</v>
      </c>
      <c r="K92" s="301">
        <f t="shared" si="6"/>
        <v>28457141.486400004</v>
      </c>
      <c r="L92" s="301">
        <f t="shared" si="6"/>
        <v>31665037.435776006</v>
      </c>
      <c r="M92" s="301">
        <f t="shared" si="6"/>
        <v>34989866.366532482</v>
      </c>
      <c r="N92" s="301">
        <f t="shared" si="6"/>
        <v>38435022.439544916</v>
      </c>
      <c r="O92" s="301">
        <f t="shared" ref="O92" si="7">O91*O89*100</f>
        <v>42003988.808931239</v>
      </c>
      <c r="P92" s="301">
        <f t="shared" ref="P92" si="8">P91*P89*100</f>
        <v>45700339.824117184</v>
      </c>
      <c r="Q92" s="301">
        <f t="shared" ref="Q92" si="9">Q91*Q89*100</f>
        <v>49527743.284387</v>
      </c>
      <c r="R92" s="301">
        <f t="shared" ref="R92" si="10">R91*R89*100</f>
        <v>53489962.747137971</v>
      </c>
    </row>
    <row r="93" spans="7:18" x14ac:dyDescent="0.25">
      <c r="H93" s="302">
        <f>H92/10^5</f>
        <v>14.220499999999999</v>
      </c>
      <c r="I93" s="302">
        <f>(I92/10^5)*1.05</f>
        <v>234.97954200000001</v>
      </c>
      <c r="J93" s="302">
        <f>(J92/10^5)</f>
        <v>253.62871199999998</v>
      </c>
      <c r="K93" s="302">
        <f t="shared" ref="K93:R93" si="11">(K92/10^5)*1.05</f>
        <v>298.79998560720003</v>
      </c>
      <c r="L93" s="302">
        <f t="shared" si="11"/>
        <v>332.48289307564812</v>
      </c>
      <c r="M93" s="302">
        <f t="shared" si="11"/>
        <v>367.39359684859107</v>
      </c>
      <c r="N93" s="302">
        <f t="shared" si="11"/>
        <v>403.56773561522164</v>
      </c>
      <c r="O93" s="302">
        <f t="shared" si="11"/>
        <v>441.04188249377802</v>
      </c>
      <c r="P93" s="302">
        <f t="shared" si="11"/>
        <v>479.85356815323047</v>
      </c>
      <c r="Q93" s="302">
        <f t="shared" si="11"/>
        <v>520.0413044860635</v>
      </c>
      <c r="R93" s="302">
        <f t="shared" si="11"/>
        <v>561.64460884494872</v>
      </c>
    </row>
  </sheetData>
  <mergeCells count="13">
    <mergeCell ref="B65:D65"/>
    <mergeCell ref="B72:D72"/>
    <mergeCell ref="A29:C29"/>
    <mergeCell ref="H2:M6"/>
    <mergeCell ref="A2:C2"/>
    <mergeCell ref="A9:C9"/>
    <mergeCell ref="A15:C15"/>
    <mergeCell ref="A22:C22"/>
    <mergeCell ref="B42:D42"/>
    <mergeCell ref="G42:L42"/>
    <mergeCell ref="B45:D45"/>
    <mergeCell ref="B52:D52"/>
    <mergeCell ref="B58:D58"/>
  </mergeCells>
  <pageMargins left="0.7" right="0.7" top="0.75" bottom="0.75" header="0.3" footer="0.3"/>
  <pageSetup orientation="landscape" r:id="rId1"/>
  <rowBreaks count="1" manualBreakCount="1">
    <brk id="68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zoomScaleNormal="100" workbookViewId="0">
      <selection activeCell="A5" sqref="A5:O56"/>
    </sheetView>
  </sheetViews>
  <sheetFormatPr defaultRowHeight="15" x14ac:dyDescent="0.25"/>
  <cols>
    <col min="1" max="1" width="22.7109375" style="216" customWidth="1"/>
    <col min="2" max="8" width="10.42578125" style="216" customWidth="1"/>
    <col min="9" max="9" width="10.42578125" style="216" bestFit="1" customWidth="1"/>
    <col min="10" max="11" width="10.140625" style="216" bestFit="1" customWidth="1"/>
    <col min="12" max="14" width="10.42578125" style="216" bestFit="1" customWidth="1"/>
    <col min="15" max="15" width="11" style="216" bestFit="1" customWidth="1"/>
    <col min="16" max="16384" width="9.140625" style="216"/>
  </cols>
  <sheetData>
    <row r="1" spans="1:15" x14ac:dyDescent="0.25">
      <c r="A1" s="506" t="s">
        <v>832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</row>
    <row r="2" spans="1:15" x14ac:dyDescent="0.25">
      <c r="A2" s="506" t="s">
        <v>87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</row>
    <row r="4" spans="1:15" x14ac:dyDescent="0.25">
      <c r="A4" s="507" t="s">
        <v>119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</row>
    <row r="5" spans="1:15" ht="15.75" thickBot="1" x14ac:dyDescent="0.3">
      <c r="A5" s="420" t="s">
        <v>709</v>
      </c>
      <c r="B5" s="344" t="s">
        <v>110</v>
      </c>
      <c r="C5" s="344" t="str">
        <f>'P&amp;L(Proposed)'!E6</f>
        <v>2023-24</v>
      </c>
      <c r="D5" s="344" t="str">
        <f>'P&amp;L(Proposed)'!F6</f>
        <v>2024-25</v>
      </c>
      <c r="E5" s="344" t="str">
        <f>'P&amp;L(Proposed)'!G6</f>
        <v>2025-26</v>
      </c>
      <c r="F5" s="344" t="str">
        <f>'P&amp;L(Proposed)'!H6</f>
        <v>2026-27</v>
      </c>
      <c r="G5" s="344" t="str">
        <f>'P&amp;L(Proposed)'!I6</f>
        <v>2027-28</v>
      </c>
      <c r="H5" s="344" t="str">
        <f>'P&amp;L(Proposed)'!J6</f>
        <v>2028-29</v>
      </c>
      <c r="I5" s="344" t="str">
        <f>'P&amp;L(Proposed)'!K6</f>
        <v>2029-30</v>
      </c>
      <c r="J5" s="344" t="str">
        <f>'P&amp;L(Proposed)'!L6</f>
        <v>2030-31</v>
      </c>
      <c r="K5" s="344" t="str">
        <f>'P&amp;L(Proposed)'!M6</f>
        <v>2031-32</v>
      </c>
      <c r="L5" s="344" t="str">
        <f>'P&amp;L(Proposed)'!N6</f>
        <v>2032-33</v>
      </c>
      <c r="M5" s="344" t="str">
        <f>'P&amp;L(Proposed)'!O6</f>
        <v>2033-34</v>
      </c>
      <c r="N5" s="344" t="str">
        <f>'P&amp;L(Proposed)'!P6</f>
        <v>2034-35</v>
      </c>
      <c r="O5" s="344" t="str">
        <f>'P&amp;L(Proposed)'!Q6</f>
        <v>2035-36</v>
      </c>
    </row>
    <row r="6" spans="1:15" ht="15.75" hidden="1" thickTop="1" x14ac:dyDescent="0.25">
      <c r="A6" s="216" t="s">
        <v>123</v>
      </c>
      <c r="B6" s="487">
        <v>300</v>
      </c>
      <c r="C6" s="487">
        <v>800</v>
      </c>
      <c r="D6" s="487">
        <v>800</v>
      </c>
      <c r="E6" s="487">
        <v>800</v>
      </c>
      <c r="F6" s="487">
        <v>800</v>
      </c>
      <c r="G6" s="487">
        <v>1000</v>
      </c>
      <c r="H6" s="487">
        <v>1000</v>
      </c>
      <c r="I6" s="487">
        <v>1000</v>
      </c>
      <c r="J6" s="487">
        <v>1000</v>
      </c>
      <c r="K6" s="487">
        <v>1000</v>
      </c>
      <c r="L6" s="487">
        <v>1000</v>
      </c>
      <c r="M6" s="487">
        <v>1000</v>
      </c>
      <c r="N6" s="487">
        <v>1000</v>
      </c>
      <c r="O6" s="487">
        <v>1000</v>
      </c>
    </row>
    <row r="7" spans="1:15" hidden="1" x14ac:dyDescent="0.25">
      <c r="A7" s="474" t="s">
        <v>633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</row>
    <row r="8" spans="1:15" hidden="1" x14ac:dyDescent="0.25">
      <c r="A8" s="216" t="s">
        <v>27</v>
      </c>
      <c r="B8" s="487">
        <v>191.23</v>
      </c>
      <c r="C8" s="487">
        <f>B10</f>
        <v>284.52</v>
      </c>
      <c r="D8" s="487">
        <f t="shared" ref="D8:O8" si="0">C10</f>
        <v>284.52</v>
      </c>
      <c r="E8" s="487">
        <f t="shared" si="0"/>
        <v>284.52</v>
      </c>
      <c r="F8" s="487">
        <f t="shared" si="0"/>
        <v>284.52</v>
      </c>
      <c r="G8" s="487">
        <f t="shared" si="0"/>
        <v>284.52</v>
      </c>
      <c r="H8" s="487">
        <f t="shared" si="0"/>
        <v>284.52</v>
      </c>
      <c r="I8" s="487">
        <f t="shared" si="0"/>
        <v>284.52</v>
      </c>
      <c r="J8" s="487">
        <f t="shared" si="0"/>
        <v>284.52</v>
      </c>
      <c r="K8" s="487">
        <f t="shared" si="0"/>
        <v>284.52</v>
      </c>
      <c r="L8" s="487">
        <f t="shared" si="0"/>
        <v>284.52</v>
      </c>
      <c r="M8" s="487">
        <f t="shared" si="0"/>
        <v>284.52</v>
      </c>
      <c r="N8" s="487">
        <f t="shared" si="0"/>
        <v>284.52</v>
      </c>
      <c r="O8" s="487">
        <f t="shared" si="0"/>
        <v>284.52</v>
      </c>
    </row>
    <row r="9" spans="1:15" hidden="1" x14ac:dyDescent="0.25">
      <c r="A9" s="216" t="s">
        <v>125</v>
      </c>
      <c r="B9" s="489">
        <v>93.29</v>
      </c>
      <c r="C9" s="489">
        <v>0</v>
      </c>
      <c r="D9" s="489">
        <v>0</v>
      </c>
      <c r="E9" s="489">
        <v>0</v>
      </c>
      <c r="F9" s="489">
        <v>0</v>
      </c>
      <c r="G9" s="489">
        <v>0</v>
      </c>
      <c r="H9" s="489">
        <v>0</v>
      </c>
      <c r="I9" s="489">
        <v>0</v>
      </c>
      <c r="J9" s="489">
        <v>0</v>
      </c>
      <c r="K9" s="489">
        <v>0</v>
      </c>
      <c r="L9" s="489">
        <v>0</v>
      </c>
      <c r="M9" s="489">
        <v>0</v>
      </c>
      <c r="N9" s="489">
        <v>0</v>
      </c>
      <c r="O9" s="489">
        <v>0</v>
      </c>
    </row>
    <row r="10" spans="1:15" hidden="1" x14ac:dyDescent="0.25">
      <c r="A10" s="328" t="s">
        <v>632</v>
      </c>
      <c r="B10" s="490">
        <f>B8+B9</f>
        <v>284.52</v>
      </c>
      <c r="C10" s="490">
        <f t="shared" ref="C10:O10" si="1">C8+C9</f>
        <v>284.52</v>
      </c>
      <c r="D10" s="490">
        <f t="shared" si="1"/>
        <v>284.52</v>
      </c>
      <c r="E10" s="490">
        <f t="shared" si="1"/>
        <v>284.52</v>
      </c>
      <c r="F10" s="490">
        <f t="shared" si="1"/>
        <v>284.52</v>
      </c>
      <c r="G10" s="490">
        <f t="shared" si="1"/>
        <v>284.52</v>
      </c>
      <c r="H10" s="490">
        <f t="shared" si="1"/>
        <v>284.52</v>
      </c>
      <c r="I10" s="490">
        <f t="shared" si="1"/>
        <v>284.52</v>
      </c>
      <c r="J10" s="490">
        <f t="shared" si="1"/>
        <v>284.52</v>
      </c>
      <c r="K10" s="490">
        <f t="shared" si="1"/>
        <v>284.52</v>
      </c>
      <c r="L10" s="490">
        <f t="shared" si="1"/>
        <v>284.52</v>
      </c>
      <c r="M10" s="490">
        <f t="shared" si="1"/>
        <v>284.52</v>
      </c>
      <c r="N10" s="490">
        <f t="shared" si="1"/>
        <v>284.52</v>
      </c>
      <c r="O10" s="490">
        <f t="shared" si="1"/>
        <v>284.52</v>
      </c>
    </row>
    <row r="11" spans="1:15" hidden="1" x14ac:dyDescent="0.25">
      <c r="A11" s="216" t="s">
        <v>124</v>
      </c>
      <c r="B11" s="487">
        <f>291.97+'P&amp;L Existing'!C45</f>
        <v>399.9500000000013</v>
      </c>
      <c r="C11" s="487">
        <f ca="1">B11+'P&amp;L Existing'!D45</f>
        <v>604.19941796245166</v>
      </c>
      <c r="D11" s="487">
        <f ca="1">C11+'P&amp;L Existing'!E45</f>
        <v>755.83338346088181</v>
      </c>
      <c r="E11" s="487">
        <f ca="1">D11+'P&amp;L Existing'!F45</f>
        <v>1017.5781598993142</v>
      </c>
      <c r="F11" s="487">
        <f ca="1">E11+'P&amp;L Existing'!G45</f>
        <v>1186.6726130305069</v>
      </c>
      <c r="G11" s="487">
        <f ca="1">F11+'P&amp;L Existing'!H45</f>
        <v>1468.2355660876055</v>
      </c>
      <c r="H11" s="487">
        <f ca="1">G11+'P&amp;L Existing'!I45</f>
        <v>1794.6274899447476</v>
      </c>
      <c r="I11" s="487">
        <f ca="1">H11+'P&amp;L Existing'!J45</f>
        <v>2167.3673196684385</v>
      </c>
      <c r="J11" s="487">
        <f ca="1">I11+'P&amp;L Existing'!K45</f>
        <v>2590.1767458645368</v>
      </c>
      <c r="K11" s="487">
        <f ca="1">J11+'P&amp;L Existing'!L45</f>
        <v>3067.2742301381491</v>
      </c>
      <c r="L11" s="487">
        <f ca="1">K11+'P&amp;L Existing'!M45</f>
        <v>3603.3902725468301</v>
      </c>
      <c r="M11" s="487">
        <f ca="1">L11+'P&amp;L Existing'!N45</f>
        <v>4203.8080017137163</v>
      </c>
      <c r="N11" s="487">
        <f ca="1">M11+'P&amp;L Existing'!O45</f>
        <v>4874.4091037627495</v>
      </c>
      <c r="O11" s="487">
        <f ca="1">N11+'P&amp;L Existing'!P45</f>
        <v>5621.7254665344326</v>
      </c>
    </row>
    <row r="12" spans="1:15" ht="30" hidden="1" x14ac:dyDescent="0.25">
      <c r="A12" s="355" t="s">
        <v>631</v>
      </c>
      <c r="B12" s="487">
        <v>124.35</v>
      </c>
      <c r="C12" s="487">
        <v>124.35</v>
      </c>
      <c r="D12" s="487">
        <v>124.35</v>
      </c>
      <c r="E12" s="487">
        <v>124.35</v>
      </c>
      <c r="F12" s="487">
        <v>124.35</v>
      </c>
      <c r="G12" s="487">
        <v>124.35</v>
      </c>
      <c r="H12" s="487">
        <v>124.35</v>
      </c>
      <c r="I12" s="487">
        <v>124.35</v>
      </c>
      <c r="J12" s="487">
        <v>124.35</v>
      </c>
      <c r="K12" s="487">
        <v>124.35</v>
      </c>
      <c r="L12" s="487">
        <v>124.35</v>
      </c>
      <c r="M12" s="487">
        <v>124.35</v>
      </c>
      <c r="N12" s="487">
        <v>124.35</v>
      </c>
      <c r="O12" s="487">
        <v>124.35</v>
      </c>
    </row>
    <row r="13" spans="1:15" hidden="1" x14ac:dyDescent="0.25">
      <c r="A13" s="328" t="s">
        <v>493</v>
      </c>
      <c r="B13" s="492">
        <f>B10+B11+B12</f>
        <v>808.8200000000013</v>
      </c>
      <c r="C13" s="492">
        <f t="shared" ref="C13:O13" ca="1" si="2">C10+C11+C12</f>
        <v>1013.0694179624517</v>
      </c>
      <c r="D13" s="492">
        <f t="shared" ca="1" si="2"/>
        <v>1164.7033834608817</v>
      </c>
      <c r="E13" s="492">
        <f t="shared" ca="1" si="2"/>
        <v>1426.4481598993141</v>
      </c>
      <c r="F13" s="492">
        <f t="shared" ca="1" si="2"/>
        <v>1595.5426130305068</v>
      </c>
      <c r="G13" s="492">
        <f t="shared" ca="1" si="2"/>
        <v>1877.1055660876054</v>
      </c>
      <c r="H13" s="492">
        <f t="shared" ca="1" si="2"/>
        <v>2203.4974899447475</v>
      </c>
      <c r="I13" s="492">
        <f t="shared" ca="1" si="2"/>
        <v>2576.2373196684384</v>
      </c>
      <c r="J13" s="492">
        <f t="shared" ca="1" si="2"/>
        <v>2999.0467458645367</v>
      </c>
      <c r="K13" s="492">
        <f t="shared" ca="1" si="2"/>
        <v>3476.1442301381489</v>
      </c>
      <c r="L13" s="492">
        <f t="shared" ca="1" si="2"/>
        <v>4012.26027254683</v>
      </c>
      <c r="M13" s="492">
        <f t="shared" ca="1" si="2"/>
        <v>4612.6780017137171</v>
      </c>
      <c r="N13" s="492">
        <f t="shared" ca="1" si="2"/>
        <v>5283.2791037627503</v>
      </c>
      <c r="O13" s="492">
        <f t="shared" ca="1" si="2"/>
        <v>6030.5954665344325</v>
      </c>
    </row>
    <row r="14" spans="1:15" hidden="1" x14ac:dyDescent="0.25">
      <c r="A14" s="216" t="s">
        <v>122</v>
      </c>
      <c r="B14" s="493">
        <v>47.78</v>
      </c>
      <c r="C14" s="493">
        <v>47.78</v>
      </c>
      <c r="D14" s="493">
        <v>47.78</v>
      </c>
      <c r="E14" s="493">
        <v>47.78</v>
      </c>
      <c r="F14" s="493">
        <v>47.78</v>
      </c>
      <c r="G14" s="493">
        <v>47.78</v>
      </c>
      <c r="H14" s="493">
        <v>47.78</v>
      </c>
      <c r="I14" s="493">
        <v>47.78</v>
      </c>
      <c r="J14" s="493">
        <v>47.78</v>
      </c>
      <c r="K14" s="493">
        <v>47.78</v>
      </c>
      <c r="L14" s="493">
        <v>47.78</v>
      </c>
      <c r="M14" s="493">
        <v>47.78</v>
      </c>
      <c r="N14" s="493">
        <v>47.78</v>
      </c>
      <c r="O14" s="493">
        <v>47.78</v>
      </c>
    </row>
    <row r="15" spans="1:15" hidden="1" x14ac:dyDescent="0.25"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</row>
    <row r="16" spans="1:15" hidden="1" x14ac:dyDescent="0.25">
      <c r="A16" s="474" t="s">
        <v>98</v>
      </c>
      <c r="B16" s="488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</row>
    <row r="17" spans="1:15" hidden="1" x14ac:dyDescent="0.25">
      <c r="A17" s="216" t="s">
        <v>88</v>
      </c>
      <c r="B17" s="487">
        <f>203.43-'Existing TL Buldg'!G27</f>
        <v>163.43</v>
      </c>
      <c r="C17" s="487">
        <f>'Existing TL Buldg'!I26-'Existing TL Buldg'!G40</f>
        <v>123.43000000000004</v>
      </c>
      <c r="D17" s="487">
        <f>'Existing TL Buldg'!I39-'Existing TL Buldg'!G53</f>
        <v>83.430000000000049</v>
      </c>
      <c r="E17" s="487">
        <f>'Existing TL Buldg'!I52-'Existing TL Buldg'!G66</f>
        <v>43.430000000000064</v>
      </c>
      <c r="F17" s="487">
        <f>'Existing TL Buldg'!I65-'Existing TL Buldg'!G79</f>
        <v>3.4300000000000637</v>
      </c>
      <c r="G17" s="487">
        <v>0</v>
      </c>
      <c r="H17" s="487">
        <v>0</v>
      </c>
      <c r="I17" s="487">
        <v>0</v>
      </c>
      <c r="J17" s="487">
        <v>0</v>
      </c>
      <c r="K17" s="487">
        <v>0</v>
      </c>
      <c r="L17" s="487">
        <v>0</v>
      </c>
      <c r="M17" s="487">
        <v>0</v>
      </c>
      <c r="N17" s="487">
        <v>0</v>
      </c>
      <c r="O17" s="487">
        <v>0</v>
      </c>
    </row>
    <row r="18" spans="1:15" hidden="1" x14ac:dyDescent="0.25">
      <c r="A18" s="216" t="s">
        <v>89</v>
      </c>
      <c r="B18" s="487">
        <f>124.22-'Existing TL P&amp;M'!G26</f>
        <v>94.22</v>
      </c>
      <c r="C18" s="487">
        <f>'Existing TL P&amp;M'!I25-'Existing TL P&amp;M'!G39</f>
        <v>64.22</v>
      </c>
      <c r="D18" s="487">
        <f>'Existing TL P&amp;M'!I38-'Existing TL P&amp;M'!G52</f>
        <v>34.22</v>
      </c>
      <c r="E18" s="487">
        <f>'Existing TL P&amp;M'!I51-'Existing TL P&amp;M'!G65</f>
        <v>4.2200000000000131</v>
      </c>
      <c r="F18" s="487">
        <f>'Existing TL P&amp;M'!I64-'Existing TL P&amp;M'!G78</f>
        <v>2.042810365310288E-14</v>
      </c>
      <c r="G18" s="487">
        <v>0</v>
      </c>
      <c r="H18" s="487">
        <v>0</v>
      </c>
      <c r="I18" s="487">
        <v>0</v>
      </c>
      <c r="J18" s="487">
        <v>0</v>
      </c>
      <c r="K18" s="487">
        <v>0</v>
      </c>
      <c r="L18" s="487">
        <v>0</v>
      </c>
      <c r="M18" s="487">
        <v>0</v>
      </c>
      <c r="N18" s="487">
        <v>0</v>
      </c>
      <c r="O18" s="487">
        <v>0</v>
      </c>
    </row>
    <row r="19" spans="1:15" hidden="1" x14ac:dyDescent="0.25">
      <c r="A19" s="216" t="s">
        <v>120</v>
      </c>
      <c r="B19" s="487">
        <f>71.87-GECL!G26</f>
        <v>47.870000000000005</v>
      </c>
      <c r="C19" s="487">
        <f>GECL!I25-GECL!G39</f>
        <v>23.869999999999997</v>
      </c>
      <c r="D19" s="487">
        <f>GECL!I38-GECL!G52</f>
        <v>0</v>
      </c>
      <c r="E19" s="487">
        <v>0</v>
      </c>
      <c r="F19" s="487">
        <v>0</v>
      </c>
      <c r="G19" s="487">
        <v>0</v>
      </c>
      <c r="H19" s="487">
        <v>0</v>
      </c>
      <c r="I19" s="487">
        <v>0</v>
      </c>
      <c r="J19" s="487">
        <v>0</v>
      </c>
      <c r="K19" s="487">
        <v>0</v>
      </c>
      <c r="L19" s="487">
        <v>0</v>
      </c>
      <c r="M19" s="487">
        <v>0</v>
      </c>
      <c r="N19" s="487">
        <v>0</v>
      </c>
      <c r="O19" s="487">
        <v>0</v>
      </c>
    </row>
    <row r="20" spans="1:15" hidden="1" x14ac:dyDescent="0.25">
      <c r="A20" s="328" t="s">
        <v>634</v>
      </c>
      <c r="B20" s="492">
        <f>SUM(B17:B19)</f>
        <v>305.52</v>
      </c>
      <c r="C20" s="492">
        <f t="shared" ref="C20:O20" si="3">SUM(C17:C19)</f>
        <v>211.52000000000004</v>
      </c>
      <c r="D20" s="492">
        <f t="shared" si="3"/>
        <v>117.65000000000005</v>
      </c>
      <c r="E20" s="492">
        <f t="shared" si="3"/>
        <v>47.650000000000077</v>
      </c>
      <c r="F20" s="492">
        <f t="shared" si="3"/>
        <v>3.4300000000000841</v>
      </c>
      <c r="G20" s="492">
        <f t="shared" si="3"/>
        <v>0</v>
      </c>
      <c r="H20" s="492">
        <f t="shared" si="3"/>
        <v>0</v>
      </c>
      <c r="I20" s="492">
        <f t="shared" si="3"/>
        <v>0</v>
      </c>
      <c r="J20" s="492">
        <f t="shared" si="3"/>
        <v>0</v>
      </c>
      <c r="K20" s="492">
        <f t="shared" si="3"/>
        <v>0</v>
      </c>
      <c r="L20" s="492">
        <f t="shared" si="3"/>
        <v>0</v>
      </c>
      <c r="M20" s="492">
        <f t="shared" si="3"/>
        <v>0</v>
      </c>
      <c r="N20" s="492">
        <f t="shared" si="3"/>
        <v>0</v>
      </c>
      <c r="O20" s="492">
        <f t="shared" si="3"/>
        <v>0</v>
      </c>
    </row>
    <row r="21" spans="1:15" hidden="1" x14ac:dyDescent="0.25"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</row>
    <row r="22" spans="1:15" hidden="1" x14ac:dyDescent="0.25">
      <c r="A22" s="474" t="s">
        <v>121</v>
      </c>
      <c r="B22" s="487">
        <v>0</v>
      </c>
      <c r="C22" s="487">
        <v>240</v>
      </c>
      <c r="D22" s="487">
        <v>198</v>
      </c>
      <c r="E22" s="487">
        <v>363</v>
      </c>
      <c r="F22" s="487">
        <v>0</v>
      </c>
      <c r="G22" s="487">
        <v>0</v>
      </c>
      <c r="H22" s="487">
        <v>0</v>
      </c>
      <c r="I22" s="487">
        <v>0</v>
      </c>
      <c r="J22" s="487">
        <v>0</v>
      </c>
      <c r="K22" s="487">
        <v>0</v>
      </c>
      <c r="L22" s="487">
        <v>0</v>
      </c>
      <c r="M22" s="487">
        <v>0</v>
      </c>
      <c r="N22" s="487">
        <v>0</v>
      </c>
      <c r="O22" s="487">
        <v>0</v>
      </c>
    </row>
    <row r="23" spans="1:15" hidden="1" x14ac:dyDescent="0.25">
      <c r="A23" s="216" t="s">
        <v>908</v>
      </c>
      <c r="B23" s="493">
        <v>0</v>
      </c>
      <c r="C23" s="493">
        <v>0</v>
      </c>
      <c r="D23" s="493">
        <v>0</v>
      </c>
      <c r="E23" s="493">
        <v>0</v>
      </c>
      <c r="F23" s="493">
        <v>0</v>
      </c>
      <c r="G23" s="493">
        <v>0</v>
      </c>
      <c r="H23" s="493">
        <v>0</v>
      </c>
      <c r="I23" s="493">
        <v>0</v>
      </c>
      <c r="J23" s="493">
        <v>0</v>
      </c>
      <c r="K23" s="493">
        <v>0</v>
      </c>
      <c r="L23" s="493">
        <v>0</v>
      </c>
      <c r="M23" s="493">
        <v>0</v>
      </c>
      <c r="N23" s="493">
        <v>0</v>
      </c>
      <c r="O23" s="493">
        <v>0</v>
      </c>
    </row>
    <row r="24" spans="1:15" hidden="1" x14ac:dyDescent="0.25">
      <c r="A24" s="474" t="s">
        <v>99</v>
      </c>
      <c r="B24" s="488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</row>
    <row r="25" spans="1:15" hidden="1" x14ac:dyDescent="0.25">
      <c r="A25" s="216" t="s">
        <v>90</v>
      </c>
      <c r="B25" s="487">
        <v>486.49</v>
      </c>
      <c r="C25" s="487">
        <v>800</v>
      </c>
      <c r="D25" s="487">
        <v>800</v>
      </c>
      <c r="E25" s="487">
        <v>800</v>
      </c>
      <c r="F25" s="487">
        <v>800</v>
      </c>
      <c r="G25" s="487">
        <v>800</v>
      </c>
      <c r="H25" s="487">
        <v>800</v>
      </c>
      <c r="I25" s="487">
        <v>800</v>
      </c>
      <c r="J25" s="487">
        <v>800</v>
      </c>
      <c r="K25" s="487">
        <v>800</v>
      </c>
      <c r="L25" s="487">
        <v>800</v>
      </c>
      <c r="M25" s="487">
        <v>800</v>
      </c>
      <c r="N25" s="487">
        <v>800</v>
      </c>
      <c r="O25" s="487">
        <v>800</v>
      </c>
    </row>
    <row r="26" spans="1:15" hidden="1" x14ac:dyDescent="0.25">
      <c r="A26" s="216" t="s">
        <v>100</v>
      </c>
      <c r="B26" s="487">
        <v>1405.53</v>
      </c>
      <c r="C26" s="487">
        <f>'P&amp;L Existing'!D13*0.25</f>
        <v>1200</v>
      </c>
      <c r="D26" s="487">
        <f>'P&amp;L Existing'!E13*0.25</f>
        <v>1320.0000000000002</v>
      </c>
      <c r="E26" s="487">
        <f>'P&amp;L Existing'!F13*0.25</f>
        <v>1452.0000000000005</v>
      </c>
      <c r="F26" s="487">
        <f>'P&amp;L Existing'!G13*0.25</f>
        <v>1597.2000000000007</v>
      </c>
      <c r="G26" s="487">
        <f>'P&amp;L Existing'!H13*0.25</f>
        <v>1756.920000000001</v>
      </c>
      <c r="H26" s="487">
        <f>'P&amp;L Existing'!I13*0.22</f>
        <v>1700.698560000001</v>
      </c>
      <c r="I26" s="487">
        <f>'P&amp;L Existing'!J13*0.21</f>
        <v>1785.733488000001</v>
      </c>
      <c r="J26" s="487">
        <f>'P&amp;L Existing'!K13*0.2</f>
        <v>1870.7684160000013</v>
      </c>
      <c r="K26" s="487">
        <f>'P&amp;L Existing'!L13*0.19</f>
        <v>1954.9529947200015</v>
      </c>
      <c r="L26" s="487">
        <f>'P&amp;L Existing'!M13*0.18</f>
        <v>2037.2668050240018</v>
      </c>
      <c r="M26" s="487">
        <f>'P&amp;L Existing'!N13*0.17</f>
        <v>2116.4938474416017</v>
      </c>
      <c r="N26" s="487">
        <f>'P&amp;L Existing'!O13*0.16</f>
        <v>2191.1936302924819</v>
      </c>
      <c r="O26" s="487">
        <f>'P&amp;L Existing'!P13*0.15</f>
        <v>2259.6684312391221</v>
      </c>
    </row>
    <row r="27" spans="1:15" hidden="1" x14ac:dyDescent="0.25">
      <c r="A27" s="216" t="s">
        <v>101</v>
      </c>
      <c r="B27" s="487">
        <f>112.76+25.41+76.22</f>
        <v>214.39000000000001</v>
      </c>
      <c r="C27" s="489">
        <v>89.15</v>
      </c>
      <c r="D27" s="489">
        <v>72.349999999999994</v>
      </c>
      <c r="E27" s="489">
        <v>53.87</v>
      </c>
      <c r="F27" s="489">
        <v>70.709999999999994</v>
      </c>
      <c r="G27" s="489">
        <v>11.18</v>
      </c>
      <c r="H27" s="489">
        <v>76.77</v>
      </c>
      <c r="I27" s="489">
        <v>58.73</v>
      </c>
      <c r="J27" s="489">
        <v>38.89</v>
      </c>
      <c r="K27" s="489">
        <v>110.1</v>
      </c>
      <c r="L27" s="489">
        <v>50</v>
      </c>
      <c r="M27" s="489">
        <f>'P&amp;L Existing'!N7*0.005</f>
        <v>77.812273803000068</v>
      </c>
      <c r="N27" s="489">
        <f>'P&amp;L Existing'!O7*0.005</f>
        <v>85.593501183300063</v>
      </c>
      <c r="O27" s="489">
        <f>'P&amp;L Existing'!P7*0.005</f>
        <v>94.152851301630093</v>
      </c>
    </row>
    <row r="28" spans="1:15" ht="30" hidden="1" x14ac:dyDescent="0.25">
      <c r="A28" s="355" t="s">
        <v>638</v>
      </c>
      <c r="B28" s="487">
        <f>'Existing TL Buldg'!G27+'Existing TL P&amp;M'!G26+GECL!G26</f>
        <v>94</v>
      </c>
      <c r="C28" s="487">
        <f>'Existing TL Buldg'!G40+'Existing TL P&amp;M'!G39+GECL!G39</f>
        <v>94</v>
      </c>
      <c r="D28" s="487">
        <f>'Existing TL Buldg'!G53+'Existing TL P&amp;M'!G52+GECL!G52</f>
        <v>93.87</v>
      </c>
      <c r="E28" s="487">
        <f>'Existing TL Buldg'!G66+'Existing TL P&amp;M'!G65</f>
        <v>70</v>
      </c>
      <c r="F28" s="487">
        <f>'Existing TL Buldg'!G79+'Existing TL P&amp;M'!G78</f>
        <v>44.22</v>
      </c>
      <c r="G28" s="487">
        <f>'Existing TL Buldg'!G92</f>
        <v>3.43</v>
      </c>
      <c r="H28" s="487">
        <f>'Existing TL Buldg'!M27+'Existing TL P&amp;M'!M26+GECL!M26</f>
        <v>0</v>
      </c>
      <c r="I28" s="487">
        <f>'Existing TL Buldg'!N27+'Existing TL P&amp;M'!N26+GECL!N26</f>
        <v>0</v>
      </c>
      <c r="J28" s="487">
        <f>'Existing TL Buldg'!O27+'Existing TL P&amp;M'!O26+GECL!O26</f>
        <v>0</v>
      </c>
      <c r="K28" s="487">
        <f>'Existing TL Buldg'!P27+'Existing TL P&amp;M'!P26+GECL!P26</f>
        <v>0</v>
      </c>
      <c r="L28" s="487">
        <f>'Existing TL Buldg'!Q27+'Existing TL P&amp;M'!Q26+GECL!Q26</f>
        <v>0</v>
      </c>
      <c r="M28" s="487">
        <f>'Existing TL Buldg'!R27+'Existing TL P&amp;M'!R26+GECL!R26</f>
        <v>0</v>
      </c>
      <c r="N28" s="487">
        <f>'Existing TL Buldg'!S27+'Existing TL P&amp;M'!S26+GECL!S26</f>
        <v>0</v>
      </c>
      <c r="O28" s="487">
        <f>'Existing TL Buldg'!T27+'Existing TL P&amp;M'!T26+GECL!T26</f>
        <v>0</v>
      </c>
    </row>
    <row r="29" spans="1:15" hidden="1" x14ac:dyDescent="0.25">
      <c r="A29" s="328" t="s">
        <v>157</v>
      </c>
      <c r="B29" s="492">
        <f>SUM(B25:B28)</f>
        <v>2200.41</v>
      </c>
      <c r="C29" s="492">
        <f t="shared" ref="C29:O29" si="4">SUM(C25:C28)</f>
        <v>2183.15</v>
      </c>
      <c r="D29" s="492">
        <f t="shared" si="4"/>
        <v>2286.2199999999998</v>
      </c>
      <c r="E29" s="492">
        <f t="shared" si="4"/>
        <v>2375.8700000000003</v>
      </c>
      <c r="F29" s="492">
        <f t="shared" si="4"/>
        <v>2512.1300000000006</v>
      </c>
      <c r="G29" s="492">
        <f t="shared" si="4"/>
        <v>2571.5300000000007</v>
      </c>
      <c r="H29" s="492">
        <f t="shared" si="4"/>
        <v>2577.4685600000007</v>
      </c>
      <c r="I29" s="492">
        <f t="shared" si="4"/>
        <v>2644.4634880000008</v>
      </c>
      <c r="J29" s="492">
        <f t="shared" si="4"/>
        <v>2709.6584160000011</v>
      </c>
      <c r="K29" s="492">
        <f t="shared" si="4"/>
        <v>2865.0529947200016</v>
      </c>
      <c r="L29" s="492">
        <f t="shared" si="4"/>
        <v>2887.2668050240018</v>
      </c>
      <c r="M29" s="492">
        <f t="shared" si="4"/>
        <v>2994.3061212446019</v>
      </c>
      <c r="N29" s="492">
        <f t="shared" si="4"/>
        <v>3076.7871314757817</v>
      </c>
      <c r="O29" s="492">
        <f t="shared" si="4"/>
        <v>3153.8212825407522</v>
      </c>
    </row>
    <row r="30" spans="1:15" hidden="1" x14ac:dyDescent="0.25"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487"/>
    </row>
    <row r="31" spans="1:15" ht="15.75" hidden="1" thickBot="1" x14ac:dyDescent="0.3">
      <c r="B31" s="494">
        <f>B13+B14+B20+B23+B29</f>
        <v>3362.5300000000011</v>
      </c>
      <c r="C31" s="494">
        <f ca="1">C13+C14+C20+C22+C23+C29</f>
        <v>3695.5194179624518</v>
      </c>
      <c r="D31" s="494">
        <f ca="1">D13+D14+D20+D22+D23+D29</f>
        <v>3814.3533834608816</v>
      </c>
      <c r="E31" s="494">
        <f ca="1">E13+E14+E20+E22+E23+E29</f>
        <v>4260.7481598993145</v>
      </c>
      <c r="F31" s="494">
        <f t="shared" ref="F31:O31" ca="1" si="5">F13+F14+F20+F22+F23+F29</f>
        <v>4158.8826130305079</v>
      </c>
      <c r="G31" s="494">
        <f t="shared" ca="1" si="5"/>
        <v>4496.4155660876058</v>
      </c>
      <c r="H31" s="494">
        <f t="shared" ca="1" si="5"/>
        <v>4828.7460499447479</v>
      </c>
      <c r="I31" s="494">
        <f t="shared" ca="1" si="5"/>
        <v>5268.4808076684394</v>
      </c>
      <c r="J31" s="494">
        <f t="shared" ca="1" si="5"/>
        <v>5756.485161864538</v>
      </c>
      <c r="K31" s="494">
        <f t="shared" ca="1" si="5"/>
        <v>6388.9772248581503</v>
      </c>
      <c r="L31" s="494">
        <f t="shared" ca="1" si="5"/>
        <v>6947.307077570832</v>
      </c>
      <c r="M31" s="494">
        <f t="shared" ca="1" si="5"/>
        <v>7654.7641229583187</v>
      </c>
      <c r="N31" s="494">
        <f t="shared" ca="1" si="5"/>
        <v>8407.8462352385322</v>
      </c>
      <c r="O31" s="494">
        <f t="shared" ca="1" si="5"/>
        <v>9232.1967490751849</v>
      </c>
    </row>
    <row r="32" spans="1:15" ht="15.75" hidden="1" thickTop="1" x14ac:dyDescent="0.25">
      <c r="B32" s="487"/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</row>
    <row r="33" spans="1:15" hidden="1" x14ac:dyDescent="0.25">
      <c r="A33" s="474" t="s">
        <v>96</v>
      </c>
      <c r="B33" s="487">
        <f ca="1">'Dep(Existing)'!D18</f>
        <v>965.00150197628454</v>
      </c>
      <c r="C33" s="487">
        <f ca="1">'Dep(Existing)'!E18</f>
        <v>717.10061616335202</v>
      </c>
      <c r="D33" s="487">
        <f ca="1">'Dep(Existing)'!F18</f>
        <v>643.77374260178453</v>
      </c>
      <c r="E33" s="487">
        <f ca="1">'Dep(Existing)'!G18</f>
        <v>578.56854125744121</v>
      </c>
      <c r="F33" s="487">
        <f ca="1">'Dep(Existing)'!H18</f>
        <v>520.55681836162717</v>
      </c>
      <c r="G33" s="487">
        <f ca="1">'Dep(Existing)'!I18</f>
        <v>468.91952573614219</v>
      </c>
      <c r="H33" s="487">
        <f ca="1">'Dep(Existing)'!J18</f>
        <v>422.93360833572552</v>
      </c>
      <c r="I33" s="487">
        <f ca="1">'Dep(Existing)'!K18</f>
        <v>381.96046878991319</v>
      </c>
      <c r="J33" s="487">
        <f ca="1">'Dep(Existing)'!L18</f>
        <v>345.4358469893906</v>
      </c>
      <c r="K33" s="487">
        <f ca="1">'Dep(Existing)'!M18</f>
        <v>312.86093828949862</v>
      </c>
      <c r="L33" s="487">
        <f ca="1">'Dep(Existing)'!N18</f>
        <v>283.79459617547923</v>
      </c>
      <c r="M33" s="487">
        <f ca="1">'Dep(Existing)'!O18</f>
        <v>257.84648466824484</v>
      </c>
      <c r="N33" s="487">
        <f ca="1">'Dep(Existing)'!P18</f>
        <v>234.67106270993807</v>
      </c>
      <c r="O33" s="487">
        <f ca="1">'Dep(Existing)'!Q18</f>
        <v>213.96229757242358</v>
      </c>
    </row>
    <row r="34" spans="1:15" hidden="1" x14ac:dyDescent="0.25">
      <c r="B34" s="487"/>
      <c r="C34" s="488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</row>
    <row r="35" spans="1:15" hidden="1" x14ac:dyDescent="0.25">
      <c r="A35" s="474" t="s">
        <v>105</v>
      </c>
      <c r="B35" s="488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</row>
    <row r="36" spans="1:15" hidden="1" x14ac:dyDescent="0.25">
      <c r="A36" s="216" t="s">
        <v>106</v>
      </c>
      <c r="B36" s="487">
        <v>26.85</v>
      </c>
      <c r="C36" s="487">
        <f t="shared" ref="C36:O36" si="6">0.5+14.26+2+4.56+6.05+1.32+0.01+0.04</f>
        <v>28.74</v>
      </c>
      <c r="D36" s="487">
        <f t="shared" si="6"/>
        <v>28.74</v>
      </c>
      <c r="E36" s="487">
        <f t="shared" si="6"/>
        <v>28.74</v>
      </c>
      <c r="F36" s="487">
        <f t="shared" si="6"/>
        <v>28.74</v>
      </c>
      <c r="G36" s="487">
        <f t="shared" si="6"/>
        <v>28.74</v>
      </c>
      <c r="H36" s="487">
        <f t="shared" si="6"/>
        <v>28.74</v>
      </c>
      <c r="I36" s="487">
        <f t="shared" si="6"/>
        <v>28.74</v>
      </c>
      <c r="J36" s="487">
        <f t="shared" si="6"/>
        <v>28.74</v>
      </c>
      <c r="K36" s="487">
        <f t="shared" si="6"/>
        <v>28.74</v>
      </c>
      <c r="L36" s="487">
        <f t="shared" si="6"/>
        <v>28.74</v>
      </c>
      <c r="M36" s="487">
        <f t="shared" si="6"/>
        <v>28.74</v>
      </c>
      <c r="N36" s="487">
        <f t="shared" si="6"/>
        <v>28.74</v>
      </c>
      <c r="O36" s="487">
        <f t="shared" si="6"/>
        <v>28.74</v>
      </c>
    </row>
    <row r="37" spans="1:15" hidden="1" x14ac:dyDescent="0.25">
      <c r="A37" s="216" t="s">
        <v>107</v>
      </c>
      <c r="B37" s="489">
        <v>0</v>
      </c>
      <c r="C37" s="489">
        <v>36.4</v>
      </c>
      <c r="D37" s="489">
        <v>40.04</v>
      </c>
      <c r="E37" s="489">
        <v>45</v>
      </c>
      <c r="F37" s="489">
        <v>50</v>
      </c>
      <c r="G37" s="489">
        <v>100</v>
      </c>
      <c r="H37" s="489">
        <v>100</v>
      </c>
      <c r="I37" s="489">
        <v>150</v>
      </c>
      <c r="J37" s="489">
        <v>150</v>
      </c>
      <c r="K37" s="489">
        <v>200</v>
      </c>
      <c r="L37" s="489">
        <v>200</v>
      </c>
      <c r="M37" s="489">
        <v>250</v>
      </c>
      <c r="N37" s="489">
        <v>300</v>
      </c>
      <c r="O37" s="489">
        <v>400</v>
      </c>
    </row>
    <row r="38" spans="1:15" hidden="1" x14ac:dyDescent="0.25">
      <c r="A38" s="328" t="s">
        <v>629</v>
      </c>
      <c r="B38" s="490">
        <f t="shared" ref="B38:O38" si="7">SUM(B36:B37)</f>
        <v>26.85</v>
      </c>
      <c r="C38" s="490">
        <f t="shared" si="7"/>
        <v>65.14</v>
      </c>
      <c r="D38" s="490">
        <f t="shared" si="7"/>
        <v>68.78</v>
      </c>
      <c r="E38" s="490">
        <f t="shared" si="7"/>
        <v>73.739999999999995</v>
      </c>
      <c r="F38" s="490">
        <f t="shared" si="7"/>
        <v>78.739999999999995</v>
      </c>
      <c r="G38" s="490">
        <f t="shared" si="7"/>
        <v>128.74</v>
      </c>
      <c r="H38" s="490">
        <f t="shared" si="7"/>
        <v>128.74</v>
      </c>
      <c r="I38" s="490">
        <f t="shared" si="7"/>
        <v>178.74</v>
      </c>
      <c r="J38" s="490">
        <f t="shared" si="7"/>
        <v>178.74</v>
      </c>
      <c r="K38" s="490">
        <f t="shared" si="7"/>
        <v>228.74</v>
      </c>
      <c r="L38" s="490">
        <f t="shared" si="7"/>
        <v>228.74</v>
      </c>
      <c r="M38" s="490">
        <f t="shared" si="7"/>
        <v>278.74</v>
      </c>
      <c r="N38" s="490">
        <f t="shared" si="7"/>
        <v>328.74</v>
      </c>
      <c r="O38" s="490">
        <f t="shared" si="7"/>
        <v>428.74</v>
      </c>
    </row>
    <row r="39" spans="1:15" hidden="1" x14ac:dyDescent="0.25">
      <c r="A39" s="474" t="s">
        <v>102</v>
      </c>
      <c r="B39" s="488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</row>
    <row r="40" spans="1:15" hidden="1" x14ac:dyDescent="0.25">
      <c r="A40" s="216" t="s">
        <v>2</v>
      </c>
      <c r="B40" s="487">
        <v>1742</v>
      </c>
      <c r="C40" s="487">
        <f>'P&amp;L Existing'!D7*0.34</f>
        <v>2040.0000000000002</v>
      </c>
      <c r="D40" s="487">
        <f>'P&amp;L Existing'!E7*0.33</f>
        <v>2178.0000000000005</v>
      </c>
      <c r="E40" s="487">
        <f>'P&amp;L Existing'!F7*0.355</f>
        <v>2577.3000000000006</v>
      </c>
      <c r="F40" s="487">
        <f>'P&amp;L Existing'!G7*0.3</f>
        <v>2395.8000000000006</v>
      </c>
      <c r="G40" s="487">
        <f>'P&amp;L Existing'!H7*0.3</f>
        <v>2635.380000000001</v>
      </c>
      <c r="H40" s="487">
        <f>'P&amp;L Existing'!I7*0.3</f>
        <v>2898.9180000000015</v>
      </c>
      <c r="I40" s="487">
        <f>'P&amp;L Existing'!J7*0.3</f>
        <v>3188.8098000000014</v>
      </c>
      <c r="J40" s="487">
        <f>'P&amp;L Existing'!K7*0.3</f>
        <v>3507.6907800000017</v>
      </c>
      <c r="K40" s="487">
        <f>'P&amp;L Existing'!L7*0.3</f>
        <v>3858.4598580000024</v>
      </c>
      <c r="L40" s="487">
        <f>'P&amp;L Existing'!M7*0.3</f>
        <v>4244.3058438000035</v>
      </c>
      <c r="M40" s="487">
        <f>'P&amp;L Existing'!N7*0.3</f>
        <v>4668.7364281800037</v>
      </c>
      <c r="N40" s="487">
        <f>'P&amp;L Existing'!O7*0.3</f>
        <v>5135.6100709980037</v>
      </c>
      <c r="O40" s="487">
        <f>'P&amp;L Existing'!P7*0.3</f>
        <v>5649.1710780978055</v>
      </c>
    </row>
    <row r="41" spans="1:15" hidden="1" x14ac:dyDescent="0.25">
      <c r="A41" s="216" t="s">
        <v>103</v>
      </c>
      <c r="B41" s="487">
        <v>516.66</v>
      </c>
      <c r="C41" s="487">
        <f>'P&amp;L Existing'!D24+'P&amp;L Existing'!D26+'P&amp;L Existing'!D27</f>
        <v>700</v>
      </c>
      <c r="D41" s="487">
        <f>'P&amp;L Existing'!E24+'P&amp;L Existing'!E26+'P&amp;L Existing'!E27</f>
        <v>770</v>
      </c>
      <c r="E41" s="487">
        <f>'P&amp;L Existing'!F24+'P&amp;L Existing'!F26+'P&amp;L Existing'!F27</f>
        <v>847.00000000000023</v>
      </c>
      <c r="F41" s="487">
        <f>'P&amp;L Existing'!G24+'P&amp;L Existing'!G26+'P&amp;L Existing'!G27</f>
        <v>931.70000000000027</v>
      </c>
      <c r="G41" s="487">
        <f>'P&amp;L Existing'!H24+'P&amp;L Existing'!H26+'P&amp;L Existing'!H27</f>
        <v>1024.8700000000003</v>
      </c>
      <c r="H41" s="487">
        <f>'P&amp;L Existing'!I24+'P&amp;L Existing'!I26+'P&amp;L Existing'!I27</f>
        <v>1127.3570000000007</v>
      </c>
      <c r="I41" s="487">
        <f>'P&amp;L Existing'!J24+'P&amp;L Existing'!J26+'P&amp;L Existing'!J27</f>
        <v>1240.0927000000006</v>
      </c>
      <c r="J41" s="487">
        <f>'P&amp;L Existing'!K24+'P&amp;L Existing'!K26+'P&amp;L Existing'!K27</f>
        <v>1364.1019700000008</v>
      </c>
      <c r="K41" s="487">
        <f>'P&amp;L Existing'!L24+'P&amp;L Existing'!L26+'P&amp;L Existing'!L27</f>
        <v>1500.5121670000012</v>
      </c>
      <c r="L41" s="487">
        <f>'P&amp;L Existing'!M24+'P&amp;L Existing'!M26+'P&amp;L Existing'!M27</f>
        <v>1650.5633837000014</v>
      </c>
      <c r="M41" s="487">
        <f>'P&amp;L Existing'!N24+'P&amp;L Existing'!N26+'P&amp;L Existing'!N27</f>
        <v>1815.6197220700014</v>
      </c>
      <c r="N41" s="487">
        <f>'P&amp;L Existing'!O24+'P&amp;L Existing'!O26+'P&amp;L Existing'!O27</f>
        <v>1997.181694277002</v>
      </c>
      <c r="O41" s="487">
        <f>'P&amp;L Existing'!P24+'P&amp;L Existing'!P26+'P&amp;L Existing'!P27</f>
        <v>2196.8998637047025</v>
      </c>
    </row>
    <row r="42" spans="1:15" hidden="1" x14ac:dyDescent="0.25">
      <c r="A42" s="216" t="s">
        <v>104</v>
      </c>
      <c r="B42" s="487">
        <v>36.4</v>
      </c>
      <c r="C42" s="487">
        <v>35.49</v>
      </c>
      <c r="D42" s="487">
        <v>51.52</v>
      </c>
      <c r="E42" s="487">
        <v>63.6</v>
      </c>
      <c r="F42" s="487">
        <v>90</v>
      </c>
      <c r="G42" s="487">
        <v>100</v>
      </c>
      <c r="H42" s="487">
        <v>70</v>
      </c>
      <c r="I42" s="487">
        <v>100</v>
      </c>
      <c r="J42" s="487">
        <v>120</v>
      </c>
      <c r="K42" s="487">
        <v>120</v>
      </c>
      <c r="L42" s="487">
        <v>130</v>
      </c>
      <c r="M42" s="487">
        <v>140</v>
      </c>
      <c r="N42" s="487">
        <v>150</v>
      </c>
      <c r="O42" s="487">
        <v>175</v>
      </c>
    </row>
    <row r="43" spans="1:15" hidden="1" x14ac:dyDescent="0.25">
      <c r="A43" s="216" t="s">
        <v>108</v>
      </c>
      <c r="B43" s="487">
        <v>0</v>
      </c>
      <c r="C43" s="487">
        <v>35</v>
      </c>
      <c r="D43" s="487">
        <v>38</v>
      </c>
      <c r="E43" s="487">
        <v>51.55</v>
      </c>
      <c r="F43" s="487">
        <v>71.72</v>
      </c>
      <c r="G43" s="487">
        <v>63.78</v>
      </c>
      <c r="H43" s="487">
        <v>85.75</v>
      </c>
      <c r="I43" s="487">
        <v>105.35</v>
      </c>
      <c r="J43" s="487">
        <v>115.47</v>
      </c>
      <c r="K43" s="487">
        <v>122</v>
      </c>
      <c r="L43" s="487">
        <v>125</v>
      </c>
      <c r="M43" s="487">
        <v>150</v>
      </c>
      <c r="N43" s="487">
        <v>175</v>
      </c>
      <c r="O43" s="487">
        <v>200</v>
      </c>
    </row>
    <row r="44" spans="1:15" hidden="1" x14ac:dyDescent="0.25">
      <c r="A44" s="216" t="s">
        <v>1</v>
      </c>
      <c r="B44" s="489">
        <v>75.62</v>
      </c>
      <c r="C44" s="489">
        <v>102.79</v>
      </c>
      <c r="D44" s="489">
        <v>64.28</v>
      </c>
      <c r="E44" s="489">
        <v>68.989999999999995</v>
      </c>
      <c r="F44" s="489">
        <v>70.37</v>
      </c>
      <c r="G44" s="489">
        <v>74.73</v>
      </c>
      <c r="H44" s="489">
        <v>95.05</v>
      </c>
      <c r="I44" s="489">
        <v>73.53</v>
      </c>
      <c r="J44" s="489">
        <v>125.05</v>
      </c>
      <c r="K44" s="489">
        <v>246.4</v>
      </c>
      <c r="L44" s="489">
        <v>284.89999999999998</v>
      </c>
      <c r="M44" s="489">
        <v>343.82</v>
      </c>
      <c r="N44" s="489">
        <v>386.64</v>
      </c>
      <c r="O44" s="489">
        <v>368.42</v>
      </c>
    </row>
    <row r="45" spans="1:15" hidden="1" x14ac:dyDescent="0.25">
      <c r="A45" s="328" t="s">
        <v>630</v>
      </c>
      <c r="B45" s="490">
        <f>SUM(B40:B44)</f>
        <v>2370.6799999999998</v>
      </c>
      <c r="C45" s="490">
        <f t="shared" ref="C45:O45" si="8">SUM(C40:C44)</f>
        <v>2913.2799999999997</v>
      </c>
      <c r="D45" s="490">
        <f t="shared" si="8"/>
        <v>3101.8000000000006</v>
      </c>
      <c r="E45" s="490">
        <f t="shared" si="8"/>
        <v>3608.440000000001</v>
      </c>
      <c r="F45" s="490">
        <f t="shared" si="8"/>
        <v>3559.5900000000006</v>
      </c>
      <c r="G45" s="490">
        <f t="shared" si="8"/>
        <v>3898.7600000000016</v>
      </c>
      <c r="H45" s="490">
        <f t="shared" si="8"/>
        <v>4277.0750000000025</v>
      </c>
      <c r="I45" s="490">
        <f t="shared" si="8"/>
        <v>4707.7825000000021</v>
      </c>
      <c r="J45" s="490">
        <f t="shared" si="8"/>
        <v>5232.3127500000028</v>
      </c>
      <c r="K45" s="490">
        <f t="shared" si="8"/>
        <v>5847.3720250000033</v>
      </c>
      <c r="L45" s="490">
        <f t="shared" si="8"/>
        <v>6434.7692275000045</v>
      </c>
      <c r="M45" s="490">
        <f t="shared" si="8"/>
        <v>7118.1761502500049</v>
      </c>
      <c r="N45" s="490">
        <f t="shared" si="8"/>
        <v>7844.431765275006</v>
      </c>
      <c r="O45" s="490">
        <f t="shared" si="8"/>
        <v>8589.4909418025072</v>
      </c>
    </row>
    <row r="46" spans="1:15" hidden="1" x14ac:dyDescent="0.25"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N46" s="487"/>
      <c r="O46" s="487"/>
    </row>
    <row r="47" spans="1:15" ht="15.75" hidden="1" thickBot="1" x14ac:dyDescent="0.3">
      <c r="B47" s="494">
        <f t="shared" ref="B47:O47" ca="1" si="9">B33+B38+B45</f>
        <v>3362.5315019762843</v>
      </c>
      <c r="C47" s="494">
        <f ca="1">C33+C38+C45</f>
        <v>3695.5206161633519</v>
      </c>
      <c r="D47" s="494">
        <f ca="1">D33+D38+D45</f>
        <v>3814.3537426017851</v>
      </c>
      <c r="E47" s="494">
        <f ca="1">E33+E38+E45</f>
        <v>4260.7485412574424</v>
      </c>
      <c r="F47" s="494">
        <f t="shared" ca="1" si="9"/>
        <v>4158.8868183616278</v>
      </c>
      <c r="G47" s="494">
        <f t="shared" ca="1" si="9"/>
        <v>4496.4195257361434</v>
      </c>
      <c r="H47" s="494">
        <f t="shared" ca="1" si="9"/>
        <v>4828.748608335728</v>
      </c>
      <c r="I47" s="494">
        <f t="shared" ca="1" si="9"/>
        <v>5268.4829687899155</v>
      </c>
      <c r="J47" s="494">
        <f t="shared" ca="1" si="9"/>
        <v>5756.488596989393</v>
      </c>
      <c r="K47" s="494">
        <f t="shared" ca="1" si="9"/>
        <v>6388.9729632895014</v>
      </c>
      <c r="L47" s="494">
        <f t="shared" ca="1" si="9"/>
        <v>6947.3038236754837</v>
      </c>
      <c r="M47" s="494">
        <f t="shared" ca="1" si="9"/>
        <v>7654.7626349182501</v>
      </c>
      <c r="N47" s="494">
        <f t="shared" ca="1" si="9"/>
        <v>8407.8428279849431</v>
      </c>
      <c r="O47" s="494">
        <f t="shared" ca="1" si="9"/>
        <v>9232.1932393749303</v>
      </c>
    </row>
    <row r="48" spans="1:15" ht="15.75" hidden="1" thickTop="1" x14ac:dyDescent="0.25"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</row>
    <row r="49" spans="1:15" hidden="1" x14ac:dyDescent="0.25">
      <c r="B49" s="225">
        <f t="shared" ref="B49:O49" ca="1" si="10">B31-B47</f>
        <v>-1.5019762831798289E-3</v>
      </c>
      <c r="C49" s="225">
        <f t="shared" ca="1" si="10"/>
        <v>-1.1982009000348626E-3</v>
      </c>
      <c r="D49" s="225">
        <f t="shared" ca="1" si="10"/>
        <v>-3.5914090358346584E-4</v>
      </c>
      <c r="E49" s="225">
        <f t="shared" ca="1" si="10"/>
        <v>-3.8135812792461365E-4</v>
      </c>
      <c r="F49" s="225">
        <f t="shared" ca="1" si="10"/>
        <v>-4.2053311199197196E-3</v>
      </c>
      <c r="G49" s="225">
        <f t="shared" ca="1" si="10"/>
        <v>-3.9596485376023338E-3</v>
      </c>
      <c r="H49" s="225">
        <f t="shared" ca="1" si="10"/>
        <v>-2.5583909800843685E-3</v>
      </c>
      <c r="I49" s="225">
        <f t="shared" ca="1" si="10"/>
        <v>-2.1611214760923758E-3</v>
      </c>
      <c r="J49" s="225">
        <f t="shared" ca="1" si="10"/>
        <v>-3.4351248550592572E-3</v>
      </c>
      <c r="K49" s="225">
        <f t="shared" ca="1" si="10"/>
        <v>4.2615686488716165E-3</v>
      </c>
      <c r="L49" s="225">
        <f t="shared" ca="1" si="10"/>
        <v>3.2538953482799116E-3</v>
      </c>
      <c r="M49" s="225">
        <f t="shared" ca="1" si="10"/>
        <v>1.4880400685797213E-3</v>
      </c>
      <c r="N49" s="225">
        <f t="shared" ca="1" si="10"/>
        <v>3.4072535891027655E-3</v>
      </c>
      <c r="O49" s="225">
        <f t="shared" ca="1" si="10"/>
        <v>3.5097002546535805E-3</v>
      </c>
    </row>
    <row r="50" spans="1:15" hidden="1" x14ac:dyDescent="0.25"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</row>
    <row r="51" spans="1:15" ht="15.75" thickTop="1" x14ac:dyDescent="0.25">
      <c r="A51" s="216" t="s">
        <v>853</v>
      </c>
      <c r="B51" s="408">
        <f>B45/B29</f>
        <v>1.0773810335346594</v>
      </c>
      <c r="C51" s="408">
        <f t="shared" ref="C51:O51" si="11">C45/C29</f>
        <v>1.3344387696676818</v>
      </c>
      <c r="D51" s="408">
        <f t="shared" si="11"/>
        <v>1.3567373218675371</v>
      </c>
      <c r="E51" s="408">
        <f t="shared" si="11"/>
        <v>1.5187868023082072</v>
      </c>
      <c r="F51" s="408">
        <f t="shared" si="11"/>
        <v>1.4169609056856134</v>
      </c>
      <c r="G51" s="408">
        <f t="shared" si="11"/>
        <v>1.5161246417502423</v>
      </c>
      <c r="H51" s="408">
        <f t="shared" si="11"/>
        <v>1.6594091840251202</v>
      </c>
      <c r="I51" s="408">
        <f t="shared" si="11"/>
        <v>1.7802410664253425</v>
      </c>
      <c r="J51" s="408">
        <f t="shared" si="11"/>
        <v>1.9309861047814083</v>
      </c>
      <c r="K51" s="408">
        <f t="shared" si="11"/>
        <v>2.0409297963339976</v>
      </c>
      <c r="L51" s="408">
        <f t="shared" si="11"/>
        <v>2.228671495236656</v>
      </c>
      <c r="M51" s="408">
        <f t="shared" si="11"/>
        <v>2.3772372837054117</v>
      </c>
      <c r="N51" s="408">
        <f t="shared" si="11"/>
        <v>2.5495529687529674</v>
      </c>
      <c r="O51" s="408">
        <f t="shared" si="11"/>
        <v>2.723518605620773</v>
      </c>
    </row>
    <row r="52" spans="1:15" x14ac:dyDescent="0.25">
      <c r="A52" s="216" t="s">
        <v>854</v>
      </c>
      <c r="B52" s="226">
        <f>(B45-B41)/B29</f>
        <v>0.84257933748710467</v>
      </c>
      <c r="C52" s="226">
        <f t="shared" ref="C52:O52" si="12">(C45-C41)/C29</f>
        <v>1.0138011588759359</v>
      </c>
      <c r="D52" s="226">
        <f t="shared" si="12"/>
        <v>1.0199368389743773</v>
      </c>
      <c r="E52" s="226">
        <f t="shared" si="12"/>
        <v>1.1622858153013422</v>
      </c>
      <c r="F52" s="226">
        <f t="shared" si="12"/>
        <v>1.0460804178127723</v>
      </c>
      <c r="G52" s="226">
        <f t="shared" si="12"/>
        <v>1.1175798065742963</v>
      </c>
      <c r="H52" s="226">
        <f t="shared" si="12"/>
        <v>1.2220199496827231</v>
      </c>
      <c r="I52" s="226">
        <f t="shared" si="12"/>
        <v>1.3113018257713227</v>
      </c>
      <c r="J52" s="226">
        <f t="shared" si="12"/>
        <v>1.4275639900435335</v>
      </c>
      <c r="K52" s="226">
        <f t="shared" si="12"/>
        <v>1.5172005076383641</v>
      </c>
      <c r="L52" s="226">
        <f t="shared" si="12"/>
        <v>1.6570016444185982</v>
      </c>
      <c r="M52" s="226">
        <f t="shared" si="12"/>
        <v>1.7708798678125679</v>
      </c>
      <c r="N52" s="226">
        <f t="shared" si="12"/>
        <v>1.9004402388388075</v>
      </c>
      <c r="O52" s="226">
        <f t="shared" si="12"/>
        <v>2.0269351067819117</v>
      </c>
    </row>
    <row r="53" spans="1:15" x14ac:dyDescent="0.25">
      <c r="A53" s="216" t="s">
        <v>855</v>
      </c>
      <c r="B53" s="226">
        <f>(B20+B12)/(B13)</f>
        <v>0.53147795554016874</v>
      </c>
      <c r="C53" s="226">
        <f t="shared" ref="C53:N53" ca="1" si="13">(C20+C12)/(C13)</f>
        <v>0.33153700432051603</v>
      </c>
      <c r="D53" s="226">
        <f t="shared" ca="1" si="13"/>
        <v>0.20777822356873749</v>
      </c>
      <c r="E53" s="226">
        <f t="shared" ca="1" si="13"/>
        <v>0.12057921544947044</v>
      </c>
      <c r="F53" s="226">
        <f t="shared" ca="1" si="13"/>
        <v>8.0085607840520212E-2</v>
      </c>
      <c r="G53" s="226">
        <f t="shared" ca="1" si="13"/>
        <v>6.6245608263353531E-2</v>
      </c>
      <c r="H53" s="226">
        <f t="shared" ca="1" si="13"/>
        <v>5.6433011867473494E-2</v>
      </c>
      <c r="I53" s="226">
        <f t="shared" ca="1" si="13"/>
        <v>4.8268068725905978E-2</v>
      </c>
      <c r="J53" s="226">
        <f t="shared" ca="1" si="13"/>
        <v>4.1463174981006691E-2</v>
      </c>
      <c r="K53" s="226">
        <f t="shared" ca="1" si="13"/>
        <v>3.5772393711942754E-2</v>
      </c>
      <c r="L53" s="226">
        <f t="shared" ca="1" si="13"/>
        <v>3.0992505857818479E-2</v>
      </c>
      <c r="M53" s="226">
        <f t="shared" ca="1" si="13"/>
        <v>2.6958309241139546E-2</v>
      </c>
      <c r="N53" s="226">
        <f t="shared" ca="1" si="13"/>
        <v>2.3536519187759349E-2</v>
      </c>
      <c r="O53" s="226">
        <f t="shared" ref="O53" ca="1" si="14">(O20+O12)/(O13)</f>
        <v>2.0619854322853376E-2</v>
      </c>
    </row>
    <row r="54" spans="1:15" x14ac:dyDescent="0.25">
      <c r="A54" s="216" t="s">
        <v>856</v>
      </c>
      <c r="B54" s="226">
        <f>(B31-B13-B14)/B13</f>
        <v>3.0982542469276177</v>
      </c>
      <c r="C54" s="226">
        <f t="shared" ref="C54:N54" ca="1" si="15">(C31-C13-C14)/C13</f>
        <v>2.6006806180162978</v>
      </c>
      <c r="D54" s="226">
        <f t="shared" ca="1" si="15"/>
        <v>2.233933580813185</v>
      </c>
      <c r="E54" s="226">
        <f t="shared" ca="1" si="15"/>
        <v>1.953467415315455</v>
      </c>
      <c r="F54" s="226">
        <f t="shared" ca="1" si="15"/>
        <v>1.5766172457293708</v>
      </c>
      <c r="G54" s="226">
        <f t="shared" ca="1" si="15"/>
        <v>1.3699442623036715</v>
      </c>
      <c r="H54" s="226">
        <f t="shared" ca="1" si="15"/>
        <v>1.1697170392804168</v>
      </c>
      <c r="I54" s="226">
        <f t="shared" ca="1" si="15"/>
        <v>1.0264828740002661</v>
      </c>
      <c r="J54" s="226">
        <f t="shared" ca="1" si="15"/>
        <v>0.90350656245569338</v>
      </c>
      <c r="K54" s="226">
        <f t="shared" ca="1" si="15"/>
        <v>0.82420429218097724</v>
      </c>
      <c r="L54" s="226">
        <f t="shared" ca="1" si="15"/>
        <v>0.71961104437306977</v>
      </c>
      <c r="M54" s="226">
        <f t="shared" ca="1" si="15"/>
        <v>0.64914700747204701</v>
      </c>
      <c r="N54" s="226">
        <f t="shared" ca="1" si="15"/>
        <v>0.58236316330221782</v>
      </c>
      <c r="O54" s="226">
        <f t="shared" ref="O54" ca="1" si="16">(O31-O13-O14)/O13</f>
        <v>0.52297012791560038</v>
      </c>
    </row>
    <row r="55" spans="1:15" x14ac:dyDescent="0.25">
      <c r="A55" s="216" t="s">
        <v>857</v>
      </c>
      <c r="B55" s="226">
        <f ca="1">B33/B20</f>
        <v>3.1585542746016122</v>
      </c>
      <c r="C55" s="226">
        <f t="shared" ref="C55:O55" ca="1" si="17">C33/C20</f>
        <v>3.3902260597737892</v>
      </c>
      <c r="D55" s="226">
        <f t="shared" ca="1" si="17"/>
        <v>5.4719400136148257</v>
      </c>
      <c r="E55" s="226">
        <f t="shared" ca="1" si="17"/>
        <v>12.142047035832954</v>
      </c>
      <c r="F55" s="226">
        <f t="shared" ca="1" si="17"/>
        <v>151.76583625703043</v>
      </c>
      <c r="G55" s="226" t="e">
        <f t="shared" ca="1" si="17"/>
        <v>#DIV/0!</v>
      </c>
      <c r="H55" s="226" t="e">
        <f t="shared" ca="1" si="17"/>
        <v>#DIV/0!</v>
      </c>
      <c r="I55" s="226" t="e">
        <f t="shared" ca="1" si="17"/>
        <v>#DIV/0!</v>
      </c>
      <c r="J55" s="226" t="e">
        <f t="shared" ca="1" si="17"/>
        <v>#DIV/0!</v>
      </c>
      <c r="K55" s="226" t="e">
        <f t="shared" ca="1" si="17"/>
        <v>#DIV/0!</v>
      </c>
      <c r="L55" s="226" t="e">
        <f t="shared" ca="1" si="17"/>
        <v>#DIV/0!</v>
      </c>
      <c r="M55" s="226" t="e">
        <f t="shared" ca="1" si="17"/>
        <v>#DIV/0!</v>
      </c>
      <c r="N55" s="226" t="e">
        <f t="shared" ca="1" si="17"/>
        <v>#DIV/0!</v>
      </c>
      <c r="O55" s="226" t="e">
        <f t="shared" ca="1" si="17"/>
        <v>#DIV/0!</v>
      </c>
    </row>
    <row r="56" spans="1:15" x14ac:dyDescent="0.25">
      <c r="A56" s="216" t="s">
        <v>859</v>
      </c>
      <c r="B56" s="226">
        <f>('P&amp;L Existing'!C45+'P&amp;L Existing'!C47+'P&amp;L Existing'!C39)/'P&amp;L Existing'!C39</f>
        <v>3.0633474795569939</v>
      </c>
      <c r="C56" s="226">
        <f ca="1">('P&amp;L Existing'!D45+'P&amp;L Existing'!D47+'P&amp;L Existing'!D39)/'P&amp;L Existing'!D39</f>
        <v>3.8443557373343293</v>
      </c>
      <c r="D56" s="226">
        <f ca="1">('P&amp;L Existing'!E45+'P&amp;L Existing'!E47+'P&amp;L Existing'!E39)/'P&amp;L Existing'!E39</f>
        <v>3.3047411569472551</v>
      </c>
      <c r="E56" s="226">
        <f ca="1">('P&amp;L Existing'!F45+'P&amp;L Existing'!F47+'P&amp;L Existing'!F39)/'P&amp;L Existing'!F39</f>
        <v>4.6095831715203373</v>
      </c>
      <c r="F56" s="226">
        <f ca="1">('P&amp;L Existing'!G45+'P&amp;L Existing'!G47+'P&amp;L Existing'!G39)/'P&amp;L Existing'!G39</f>
        <v>3.7559996244816882</v>
      </c>
      <c r="G56" s="226">
        <f ca="1">('P&amp;L Existing'!H45+'P&amp;L Existing'!H47+'P&amp;L Existing'!H39)/'P&amp;L Existing'!H39</f>
        <v>5.2844863273928899</v>
      </c>
      <c r="H56" s="226">
        <f ca="1">('P&amp;L Existing'!I45+'P&amp;L Existing'!I47+'P&amp;L Existing'!I39)/'P&amp;L Existing'!I39</f>
        <v>5.9204973702446315</v>
      </c>
      <c r="I56" s="226">
        <f ca="1">('P&amp;L Existing'!J45+'P&amp;L Existing'!J47+'P&amp;L Existing'!J39)/'P&amp;L Existing'!J39</f>
        <v>6.4521581656784823</v>
      </c>
      <c r="J56" s="226">
        <f ca="1">('P&amp;L Existing'!K45+'P&amp;L Existing'!K47+'P&amp;L Existing'!K39)/'P&amp;L Existing'!K39</f>
        <v>7.0388354914311293</v>
      </c>
      <c r="K56" s="226">
        <f ca="1">('P&amp;L Existing'!L45+'P&amp;L Existing'!L47+'P&amp;L Existing'!L39)/'P&amp;L Existing'!L39</f>
        <v>7.6877878395069654</v>
      </c>
      <c r="L56" s="226">
        <f ca="1">('P&amp;L Existing'!M45+'P&amp;L Existing'!M47+'P&amp;L Existing'!M39)/'P&amp;L Existing'!M39</f>
        <v>8.4048300925595463</v>
      </c>
      <c r="M56" s="226">
        <f ca="1">('P&amp;L Existing'!N45+'P&amp;L Existing'!N47+'P&amp;L Existing'!N39)/'P&amp;L Existing'!N39</f>
        <v>9.1964071781367931</v>
      </c>
      <c r="N56" s="226">
        <f ca="1">('P&amp;L Existing'!O45+'P&amp;L Existing'!O47+'P&amp;L Existing'!O39)/'P&amp;L Existing'!O39</f>
        <v>10.069651218180569</v>
      </c>
      <c r="O56" s="226">
        <f ca="1">('P&amp;L Existing'!P45+'P&amp;L Existing'!P47+'P&amp;L Existing'!P39)/'P&amp;L Existing'!P39</f>
        <v>11.032445113671745</v>
      </c>
    </row>
    <row r="62" spans="1:15" x14ac:dyDescent="0.25">
      <c r="A62" s="476" t="s">
        <v>896</v>
      </c>
      <c r="B62" s="476"/>
      <c r="C62" s="476"/>
      <c r="D62" s="476"/>
      <c r="E62" s="477"/>
      <c r="F62" s="477"/>
      <c r="G62" s="477"/>
      <c r="H62" s="476"/>
      <c r="I62" s="476"/>
      <c r="J62" s="476"/>
      <c r="K62" s="476"/>
      <c r="L62" s="476"/>
      <c r="M62" s="476"/>
      <c r="N62" s="476"/>
      <c r="O62" s="361"/>
    </row>
    <row r="63" spans="1:15" x14ac:dyDescent="0.25">
      <c r="A63" s="476" t="s">
        <v>897</v>
      </c>
      <c r="B63" s="476"/>
      <c r="C63" s="476"/>
      <c r="D63" s="476"/>
      <c r="E63" s="477"/>
      <c r="F63" s="477"/>
      <c r="G63" s="477"/>
      <c r="H63" s="476"/>
      <c r="I63" s="476"/>
      <c r="J63" s="476"/>
      <c r="K63" s="476"/>
      <c r="L63" s="476"/>
      <c r="M63" s="476"/>
      <c r="N63" s="476"/>
      <c r="O63" s="361"/>
    </row>
    <row r="64" spans="1:15" x14ac:dyDescent="0.25">
      <c r="A64" s="478"/>
      <c r="B64" s="479" t="s">
        <v>906</v>
      </c>
      <c r="C64" s="479" t="s">
        <v>906</v>
      </c>
      <c r="D64" s="479" t="s">
        <v>907</v>
      </c>
      <c r="E64" s="479" t="s">
        <v>907</v>
      </c>
      <c r="F64" s="479" t="s">
        <v>907</v>
      </c>
      <c r="G64" s="479" t="s">
        <v>906</v>
      </c>
      <c r="H64" s="479" t="s">
        <v>907</v>
      </c>
      <c r="I64" s="479" t="s">
        <v>907</v>
      </c>
      <c r="J64" s="479" t="s">
        <v>907</v>
      </c>
      <c r="K64" s="479" t="s">
        <v>907</v>
      </c>
      <c r="L64" s="479" t="s">
        <v>907</v>
      </c>
      <c r="M64" s="479" t="s">
        <v>907</v>
      </c>
      <c r="N64" s="479" t="s">
        <v>907</v>
      </c>
      <c r="O64" s="479" t="s">
        <v>907</v>
      </c>
    </row>
    <row r="65" spans="1:15" x14ac:dyDescent="0.25">
      <c r="A65" s="478"/>
      <c r="B65" s="479">
        <v>2023</v>
      </c>
      <c r="C65" s="479">
        <v>2024</v>
      </c>
      <c r="D65" s="479">
        <v>2025</v>
      </c>
      <c r="E65" s="479">
        <v>2026</v>
      </c>
      <c r="F65" s="479">
        <v>2027</v>
      </c>
      <c r="G65" s="479">
        <v>2028</v>
      </c>
      <c r="H65" s="479">
        <v>2029</v>
      </c>
      <c r="I65" s="479">
        <v>2030</v>
      </c>
      <c r="J65" s="479">
        <v>2031</v>
      </c>
      <c r="K65" s="479">
        <v>2032</v>
      </c>
      <c r="L65" s="479">
        <v>2033</v>
      </c>
      <c r="M65" s="479">
        <v>2034</v>
      </c>
      <c r="N65" s="479">
        <v>2035</v>
      </c>
      <c r="O65" s="479">
        <v>2036</v>
      </c>
    </row>
    <row r="66" spans="1:15" ht="30" x14ac:dyDescent="0.25">
      <c r="A66" s="480" t="s">
        <v>898</v>
      </c>
      <c r="B66" s="481">
        <f>B45-B42-B43-B44</f>
        <v>2258.66</v>
      </c>
      <c r="C66" s="481">
        <f t="shared" ref="C66:O66" si="18">C45-C42-C43-C44</f>
        <v>2740</v>
      </c>
      <c r="D66" s="481">
        <f t="shared" si="18"/>
        <v>2948.0000000000005</v>
      </c>
      <c r="E66" s="481">
        <f t="shared" si="18"/>
        <v>3424.3000000000011</v>
      </c>
      <c r="F66" s="481">
        <f t="shared" si="18"/>
        <v>3327.5000000000009</v>
      </c>
      <c r="G66" s="481">
        <f t="shared" si="18"/>
        <v>3660.2500000000014</v>
      </c>
      <c r="H66" s="481">
        <f t="shared" si="18"/>
        <v>4026.2750000000024</v>
      </c>
      <c r="I66" s="481">
        <f t="shared" si="18"/>
        <v>4428.902500000002</v>
      </c>
      <c r="J66" s="481">
        <f t="shared" si="18"/>
        <v>4871.7927500000023</v>
      </c>
      <c r="K66" s="481">
        <f t="shared" si="18"/>
        <v>5358.9720250000037</v>
      </c>
      <c r="L66" s="481">
        <f t="shared" si="18"/>
        <v>5894.8692275000049</v>
      </c>
      <c r="M66" s="481">
        <f t="shared" si="18"/>
        <v>6484.3561502500052</v>
      </c>
      <c r="N66" s="481">
        <f t="shared" si="18"/>
        <v>7132.7917652750057</v>
      </c>
      <c r="O66" s="481">
        <f t="shared" si="18"/>
        <v>7846.0709418025071</v>
      </c>
    </row>
    <row r="67" spans="1:15" x14ac:dyDescent="0.25">
      <c r="A67" s="482" t="s">
        <v>1</v>
      </c>
      <c r="B67" s="481">
        <f>B42+B43+B44</f>
        <v>112.02000000000001</v>
      </c>
      <c r="C67" s="481">
        <f t="shared" ref="C67:O67" si="19">C42+C43+C44</f>
        <v>173.28000000000003</v>
      </c>
      <c r="D67" s="481">
        <f t="shared" si="19"/>
        <v>153.80000000000001</v>
      </c>
      <c r="E67" s="481">
        <f t="shared" si="19"/>
        <v>184.14</v>
      </c>
      <c r="F67" s="481">
        <f t="shared" si="19"/>
        <v>232.09</v>
      </c>
      <c r="G67" s="481">
        <f t="shared" si="19"/>
        <v>238.51</v>
      </c>
      <c r="H67" s="481">
        <f t="shared" si="19"/>
        <v>250.8</v>
      </c>
      <c r="I67" s="481">
        <f t="shared" si="19"/>
        <v>278.88</v>
      </c>
      <c r="J67" s="481">
        <f t="shared" si="19"/>
        <v>360.52</v>
      </c>
      <c r="K67" s="481">
        <f t="shared" si="19"/>
        <v>488.4</v>
      </c>
      <c r="L67" s="481">
        <f t="shared" si="19"/>
        <v>539.9</v>
      </c>
      <c r="M67" s="481">
        <f t="shared" si="19"/>
        <v>633.81999999999994</v>
      </c>
      <c r="N67" s="481">
        <f t="shared" si="19"/>
        <v>711.64</v>
      </c>
      <c r="O67" s="481">
        <f t="shared" si="19"/>
        <v>743.42000000000007</v>
      </c>
    </row>
    <row r="68" spans="1:15" x14ac:dyDescent="0.25">
      <c r="A68" s="483" t="s">
        <v>630</v>
      </c>
      <c r="B68" s="484">
        <f t="shared" ref="B68:N68" si="20">B66+B67</f>
        <v>2370.6799999999998</v>
      </c>
      <c r="C68" s="484">
        <f t="shared" si="20"/>
        <v>2913.28</v>
      </c>
      <c r="D68" s="484">
        <f t="shared" si="20"/>
        <v>3101.8000000000006</v>
      </c>
      <c r="E68" s="484">
        <f t="shared" si="20"/>
        <v>3608.440000000001</v>
      </c>
      <c r="F68" s="484">
        <f t="shared" si="20"/>
        <v>3559.5900000000011</v>
      </c>
      <c r="G68" s="484">
        <f t="shared" si="20"/>
        <v>3898.7600000000011</v>
      </c>
      <c r="H68" s="484">
        <f t="shared" si="20"/>
        <v>4277.0750000000025</v>
      </c>
      <c r="I68" s="484">
        <f t="shared" si="20"/>
        <v>4707.7825000000021</v>
      </c>
      <c r="J68" s="484">
        <f t="shared" si="20"/>
        <v>5232.3127500000028</v>
      </c>
      <c r="K68" s="484">
        <f t="shared" si="20"/>
        <v>5847.3720250000033</v>
      </c>
      <c r="L68" s="484">
        <f t="shared" si="20"/>
        <v>6434.7692275000045</v>
      </c>
      <c r="M68" s="484">
        <f t="shared" si="20"/>
        <v>7118.1761502500049</v>
      </c>
      <c r="N68" s="484">
        <f t="shared" si="20"/>
        <v>7844.431765275006</v>
      </c>
      <c r="O68" s="484">
        <f t="shared" ref="O68" si="21">O66+O67</f>
        <v>8589.4909418025072</v>
      </c>
    </row>
    <row r="69" spans="1:15" x14ac:dyDescent="0.25">
      <c r="A69" s="482" t="s">
        <v>899</v>
      </c>
      <c r="B69" s="481">
        <f>B29-B25</f>
        <v>1713.9199999999998</v>
      </c>
      <c r="C69" s="481">
        <f t="shared" ref="C69:O69" si="22">C29-C25</f>
        <v>1383.15</v>
      </c>
      <c r="D69" s="481">
        <f t="shared" si="22"/>
        <v>1486.2199999999998</v>
      </c>
      <c r="E69" s="481">
        <f t="shared" si="22"/>
        <v>1575.8700000000003</v>
      </c>
      <c r="F69" s="481">
        <f t="shared" si="22"/>
        <v>1712.1300000000006</v>
      </c>
      <c r="G69" s="481">
        <f t="shared" si="22"/>
        <v>1771.5300000000007</v>
      </c>
      <c r="H69" s="481">
        <f t="shared" si="22"/>
        <v>1777.4685600000007</v>
      </c>
      <c r="I69" s="481">
        <f t="shared" si="22"/>
        <v>1844.4634880000008</v>
      </c>
      <c r="J69" s="481">
        <f t="shared" si="22"/>
        <v>1909.6584160000011</v>
      </c>
      <c r="K69" s="481">
        <f t="shared" si="22"/>
        <v>2065.0529947200016</v>
      </c>
      <c r="L69" s="481">
        <f t="shared" si="22"/>
        <v>2087.2668050240018</v>
      </c>
      <c r="M69" s="481">
        <f t="shared" si="22"/>
        <v>2194.3061212446019</v>
      </c>
      <c r="N69" s="481">
        <f t="shared" si="22"/>
        <v>2276.7871314757817</v>
      </c>
      <c r="O69" s="481">
        <f t="shared" si="22"/>
        <v>2353.8212825407522</v>
      </c>
    </row>
    <row r="70" spans="1:15" ht="30" x14ac:dyDescent="0.25">
      <c r="A70" s="482" t="s">
        <v>900</v>
      </c>
      <c r="B70" s="481">
        <f t="shared" ref="B70:N70" si="23">B68-B69</f>
        <v>656.76</v>
      </c>
      <c r="C70" s="481">
        <f t="shared" si="23"/>
        <v>1530.13</v>
      </c>
      <c r="D70" s="481">
        <f t="shared" si="23"/>
        <v>1615.5800000000008</v>
      </c>
      <c r="E70" s="481">
        <f t="shared" si="23"/>
        <v>2032.5700000000006</v>
      </c>
      <c r="F70" s="481">
        <f t="shared" si="23"/>
        <v>1847.4600000000005</v>
      </c>
      <c r="G70" s="481">
        <f t="shared" si="23"/>
        <v>2127.2300000000005</v>
      </c>
      <c r="H70" s="481">
        <f t="shared" si="23"/>
        <v>2499.6064400000018</v>
      </c>
      <c r="I70" s="481">
        <f t="shared" si="23"/>
        <v>2863.3190120000013</v>
      </c>
      <c r="J70" s="481">
        <f t="shared" si="23"/>
        <v>3322.6543340000017</v>
      </c>
      <c r="K70" s="481">
        <f t="shared" si="23"/>
        <v>3782.3190302800017</v>
      </c>
      <c r="L70" s="481">
        <f t="shared" si="23"/>
        <v>4347.5024224760027</v>
      </c>
      <c r="M70" s="481">
        <f t="shared" si="23"/>
        <v>4923.870029005403</v>
      </c>
      <c r="N70" s="481">
        <f t="shared" si="23"/>
        <v>5567.6446337992238</v>
      </c>
      <c r="O70" s="481">
        <f t="shared" ref="O70" si="24">O68-O69</f>
        <v>6235.6696592617554</v>
      </c>
    </row>
    <row r="71" spans="1:15" ht="60" x14ac:dyDescent="0.25">
      <c r="A71" s="482" t="s">
        <v>901</v>
      </c>
      <c r="B71" s="481">
        <f>B68*25%</f>
        <v>592.66999999999996</v>
      </c>
      <c r="C71" s="481">
        <f t="shared" ref="C71:O71" si="25">C68*25%</f>
        <v>728.32</v>
      </c>
      <c r="D71" s="481">
        <f t="shared" si="25"/>
        <v>775.45000000000016</v>
      </c>
      <c r="E71" s="481">
        <f t="shared" si="25"/>
        <v>902.11000000000024</v>
      </c>
      <c r="F71" s="481">
        <f t="shared" si="25"/>
        <v>889.89750000000026</v>
      </c>
      <c r="G71" s="481">
        <f t="shared" si="25"/>
        <v>974.69000000000028</v>
      </c>
      <c r="H71" s="481">
        <f t="shared" si="25"/>
        <v>1069.2687500000006</v>
      </c>
      <c r="I71" s="481">
        <f t="shared" si="25"/>
        <v>1176.9456250000005</v>
      </c>
      <c r="J71" s="481">
        <f t="shared" si="25"/>
        <v>1308.0781875000007</v>
      </c>
      <c r="K71" s="481">
        <f t="shared" si="25"/>
        <v>1461.8430062500008</v>
      </c>
      <c r="L71" s="481">
        <f t="shared" si="25"/>
        <v>1608.6923068750011</v>
      </c>
      <c r="M71" s="481">
        <f t="shared" si="25"/>
        <v>1779.5440375625012</v>
      </c>
      <c r="N71" s="481">
        <f t="shared" si="25"/>
        <v>1961.1079413187515</v>
      </c>
      <c r="O71" s="481">
        <f t="shared" si="25"/>
        <v>2147.3727354506268</v>
      </c>
    </row>
    <row r="72" spans="1:15" x14ac:dyDescent="0.25">
      <c r="A72" s="482" t="s">
        <v>902</v>
      </c>
      <c r="B72" s="481">
        <f>B45-B29</f>
        <v>170.26999999999998</v>
      </c>
      <c r="C72" s="481">
        <f t="shared" ref="C72:O72" si="26">C45-C29</f>
        <v>730.12999999999965</v>
      </c>
      <c r="D72" s="481">
        <f t="shared" si="26"/>
        <v>815.58000000000084</v>
      </c>
      <c r="E72" s="481">
        <f t="shared" si="26"/>
        <v>1232.5700000000006</v>
      </c>
      <c r="F72" s="481">
        <f t="shared" si="26"/>
        <v>1047.46</v>
      </c>
      <c r="G72" s="481">
        <f t="shared" si="26"/>
        <v>1327.2300000000009</v>
      </c>
      <c r="H72" s="481">
        <f t="shared" si="26"/>
        <v>1699.6064400000018</v>
      </c>
      <c r="I72" s="481">
        <f t="shared" si="26"/>
        <v>2063.3190120000013</v>
      </c>
      <c r="J72" s="481">
        <f t="shared" si="26"/>
        <v>2522.6543340000017</v>
      </c>
      <c r="K72" s="481">
        <f t="shared" si="26"/>
        <v>2982.3190302800017</v>
      </c>
      <c r="L72" s="481">
        <f t="shared" si="26"/>
        <v>3547.5024224760027</v>
      </c>
      <c r="M72" s="481">
        <f t="shared" si="26"/>
        <v>4123.870029005403</v>
      </c>
      <c r="N72" s="481">
        <f t="shared" si="26"/>
        <v>4767.6446337992238</v>
      </c>
      <c r="O72" s="481">
        <f t="shared" si="26"/>
        <v>5435.6696592617554</v>
      </c>
    </row>
    <row r="73" spans="1:15" x14ac:dyDescent="0.25">
      <c r="A73" s="482" t="s">
        <v>903</v>
      </c>
      <c r="B73" s="481">
        <f>B70-B71</f>
        <v>64.090000000000032</v>
      </c>
      <c r="C73" s="481">
        <f t="shared" ref="C73:O73" si="27">C70-C71</f>
        <v>801.81000000000006</v>
      </c>
      <c r="D73" s="481">
        <f t="shared" si="27"/>
        <v>840.13000000000068</v>
      </c>
      <c r="E73" s="481">
        <f t="shared" si="27"/>
        <v>1130.4600000000005</v>
      </c>
      <c r="F73" s="481">
        <f t="shared" si="27"/>
        <v>957.56250000000023</v>
      </c>
      <c r="G73" s="481">
        <f t="shared" si="27"/>
        <v>1152.5400000000002</v>
      </c>
      <c r="H73" s="481">
        <f t="shared" si="27"/>
        <v>1430.3376900000012</v>
      </c>
      <c r="I73" s="481">
        <f t="shared" si="27"/>
        <v>1686.3733870000008</v>
      </c>
      <c r="J73" s="481">
        <f t="shared" si="27"/>
        <v>2014.576146500001</v>
      </c>
      <c r="K73" s="481">
        <f t="shared" si="27"/>
        <v>2320.4760240300011</v>
      </c>
      <c r="L73" s="481">
        <f t="shared" si="27"/>
        <v>2738.8101156010016</v>
      </c>
      <c r="M73" s="481">
        <f t="shared" si="27"/>
        <v>3144.3259914429018</v>
      </c>
      <c r="N73" s="481">
        <f t="shared" si="27"/>
        <v>3606.5366924804721</v>
      </c>
      <c r="O73" s="481">
        <f t="shared" si="27"/>
        <v>4088.2969238111286</v>
      </c>
    </row>
    <row r="74" spans="1:15" x14ac:dyDescent="0.25">
      <c r="A74" s="482" t="s">
        <v>904</v>
      </c>
      <c r="B74" s="481">
        <f>B70-B72</f>
        <v>486.49</v>
      </c>
      <c r="C74" s="481">
        <f t="shared" ref="C74:O74" si="28">C70-C72</f>
        <v>800.00000000000045</v>
      </c>
      <c r="D74" s="481">
        <f t="shared" si="28"/>
        <v>800</v>
      </c>
      <c r="E74" s="481">
        <f t="shared" si="28"/>
        <v>800</v>
      </c>
      <c r="F74" s="481">
        <f t="shared" si="28"/>
        <v>800.00000000000045</v>
      </c>
      <c r="G74" s="481">
        <f t="shared" si="28"/>
        <v>799.99999999999955</v>
      </c>
      <c r="H74" s="481">
        <f t="shared" si="28"/>
        <v>800</v>
      </c>
      <c r="I74" s="481">
        <f t="shared" si="28"/>
        <v>800</v>
      </c>
      <c r="J74" s="481">
        <f t="shared" si="28"/>
        <v>800</v>
      </c>
      <c r="K74" s="481">
        <f t="shared" si="28"/>
        <v>800</v>
      </c>
      <c r="L74" s="481">
        <f t="shared" si="28"/>
        <v>800</v>
      </c>
      <c r="M74" s="481">
        <f t="shared" si="28"/>
        <v>800</v>
      </c>
      <c r="N74" s="481">
        <f t="shared" si="28"/>
        <v>800</v>
      </c>
      <c r="O74" s="481">
        <f t="shared" si="28"/>
        <v>800</v>
      </c>
    </row>
    <row r="75" spans="1:15" x14ac:dyDescent="0.25">
      <c r="A75" s="482" t="s">
        <v>905</v>
      </c>
      <c r="B75" s="481">
        <f t="shared" ref="B75:N75" si="29">MIN(B73:B74)</f>
        <v>64.090000000000032</v>
      </c>
      <c r="C75" s="481">
        <f t="shared" si="29"/>
        <v>800.00000000000045</v>
      </c>
      <c r="D75" s="481">
        <f t="shared" si="29"/>
        <v>800</v>
      </c>
      <c r="E75" s="481">
        <f t="shared" si="29"/>
        <v>800</v>
      </c>
      <c r="F75" s="481">
        <f t="shared" si="29"/>
        <v>800.00000000000045</v>
      </c>
      <c r="G75" s="481">
        <f t="shared" si="29"/>
        <v>799.99999999999955</v>
      </c>
      <c r="H75" s="481">
        <f t="shared" si="29"/>
        <v>800</v>
      </c>
      <c r="I75" s="481">
        <f t="shared" si="29"/>
        <v>800</v>
      </c>
      <c r="J75" s="481">
        <f t="shared" si="29"/>
        <v>800</v>
      </c>
      <c r="K75" s="481">
        <f t="shared" si="29"/>
        <v>800</v>
      </c>
      <c r="L75" s="481">
        <f t="shared" si="29"/>
        <v>800</v>
      </c>
      <c r="M75" s="481">
        <f t="shared" si="29"/>
        <v>800</v>
      </c>
      <c r="N75" s="481">
        <f t="shared" si="29"/>
        <v>800</v>
      </c>
      <c r="O75" s="481">
        <f t="shared" ref="O75" si="30">MIN(O73:O74)</f>
        <v>800</v>
      </c>
    </row>
  </sheetData>
  <mergeCells count="3">
    <mergeCell ref="A1:O1"/>
    <mergeCell ref="A2:O2"/>
    <mergeCell ref="A4:O4"/>
  </mergeCells>
  <pageMargins left="0.7" right="0.7" top="0.75" bottom="0.75" header="0.3" footer="0.3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5"/>
  <sheetViews>
    <sheetView topLeftCell="A31" workbookViewId="0">
      <selection activeCell="M10" sqref="M10"/>
    </sheetView>
  </sheetViews>
  <sheetFormatPr defaultRowHeight="12.75" x14ac:dyDescent="0.2"/>
  <cols>
    <col min="3" max="3" width="37.5703125" customWidth="1"/>
    <col min="7" max="7" width="13.42578125" customWidth="1"/>
    <col min="8" max="8" width="17.28515625" customWidth="1"/>
  </cols>
  <sheetData>
    <row r="1" spans="1:8" ht="34.5" customHeight="1" thickBot="1" x14ac:dyDescent="0.25">
      <c r="A1" s="590" t="s">
        <v>175</v>
      </c>
      <c r="B1" s="591"/>
      <c r="C1" s="591"/>
      <c r="D1" s="591"/>
      <c r="E1" s="591"/>
      <c r="F1" s="591"/>
      <c r="G1" s="591"/>
      <c r="H1" s="592"/>
    </row>
    <row r="2" spans="1:8" x14ac:dyDescent="0.2">
      <c r="A2" s="55" t="s">
        <v>176</v>
      </c>
      <c r="B2" s="593" t="s">
        <v>178</v>
      </c>
      <c r="C2" s="593" t="s">
        <v>179</v>
      </c>
      <c r="D2" s="57" t="s">
        <v>180</v>
      </c>
      <c r="E2" s="593" t="s">
        <v>182</v>
      </c>
      <c r="F2" s="593" t="s">
        <v>183</v>
      </c>
      <c r="G2" s="57" t="s">
        <v>184</v>
      </c>
      <c r="H2" s="57" t="s">
        <v>186</v>
      </c>
    </row>
    <row r="3" spans="1:8" ht="13.5" thickBot="1" x14ac:dyDescent="0.25">
      <c r="A3" s="56" t="s">
        <v>177</v>
      </c>
      <c r="B3" s="594"/>
      <c r="C3" s="594"/>
      <c r="D3" s="58" t="s">
        <v>181</v>
      </c>
      <c r="E3" s="594"/>
      <c r="F3" s="594"/>
      <c r="G3" s="58" t="s">
        <v>185</v>
      </c>
      <c r="H3" s="58" t="s">
        <v>185</v>
      </c>
    </row>
    <row r="4" spans="1:8" ht="78.75" thickBot="1" x14ac:dyDescent="0.25">
      <c r="A4" s="59">
        <v>1</v>
      </c>
      <c r="B4" s="60" t="s">
        <v>187</v>
      </c>
      <c r="C4" s="61"/>
      <c r="D4" s="61"/>
      <c r="E4" s="61"/>
      <c r="F4" s="61"/>
      <c r="G4" s="61"/>
      <c r="H4" s="61"/>
    </row>
    <row r="5" spans="1:8" ht="39.75" thickBot="1" x14ac:dyDescent="0.25">
      <c r="A5" s="62">
        <v>1.1000000000000001</v>
      </c>
      <c r="B5" s="63" t="s">
        <v>188</v>
      </c>
      <c r="C5" s="64"/>
      <c r="D5" s="64"/>
      <c r="E5" s="64"/>
      <c r="F5" s="64"/>
      <c r="G5" s="64"/>
      <c r="H5" s="64"/>
    </row>
    <row r="6" spans="1:8" ht="30" thickBot="1" x14ac:dyDescent="0.25">
      <c r="A6" s="65" t="s">
        <v>189</v>
      </c>
      <c r="B6" s="66" t="s">
        <v>190</v>
      </c>
      <c r="C6" s="595"/>
      <c r="D6" s="68" t="s">
        <v>191</v>
      </c>
      <c r="E6" s="68">
        <v>1</v>
      </c>
      <c r="F6" s="68" t="s">
        <v>192</v>
      </c>
      <c r="G6" s="69">
        <v>550000</v>
      </c>
      <c r="H6" s="70">
        <v>550000</v>
      </c>
    </row>
    <row r="7" spans="1:8" ht="30" thickBot="1" x14ac:dyDescent="0.25">
      <c r="A7" s="65" t="s">
        <v>193</v>
      </c>
      <c r="B7" s="66" t="s">
        <v>194</v>
      </c>
      <c r="C7" s="596"/>
      <c r="D7" s="68" t="s">
        <v>191</v>
      </c>
      <c r="E7" s="68">
        <v>1</v>
      </c>
      <c r="F7" s="68" t="s">
        <v>192</v>
      </c>
      <c r="G7" s="69">
        <v>275000</v>
      </c>
      <c r="H7" s="70">
        <v>275000</v>
      </c>
    </row>
    <row r="8" spans="1:8" ht="20.25" thickBot="1" x14ac:dyDescent="0.25">
      <c r="A8" s="65" t="s">
        <v>195</v>
      </c>
      <c r="B8" s="66" t="s">
        <v>196</v>
      </c>
      <c r="C8" s="596"/>
      <c r="D8" s="68" t="s">
        <v>197</v>
      </c>
      <c r="E8" s="68">
        <v>1</v>
      </c>
      <c r="F8" s="68" t="s">
        <v>192</v>
      </c>
      <c r="G8" s="69">
        <v>60000</v>
      </c>
      <c r="H8" s="71">
        <v>60000</v>
      </c>
    </row>
    <row r="9" spans="1:8" ht="20.25" thickBot="1" x14ac:dyDescent="0.25">
      <c r="A9" s="65" t="s">
        <v>198</v>
      </c>
      <c r="B9" s="66" t="s">
        <v>196</v>
      </c>
      <c r="C9" s="596"/>
      <c r="D9" s="68" t="s">
        <v>199</v>
      </c>
      <c r="E9" s="68">
        <v>2</v>
      </c>
      <c r="F9" s="68" t="s">
        <v>192</v>
      </c>
      <c r="G9" s="69">
        <v>50000</v>
      </c>
      <c r="H9" s="70">
        <v>100000</v>
      </c>
    </row>
    <row r="10" spans="1:8" ht="20.25" thickBot="1" x14ac:dyDescent="0.25">
      <c r="A10" s="65" t="s">
        <v>200</v>
      </c>
      <c r="B10" s="66" t="s">
        <v>196</v>
      </c>
      <c r="C10" s="596"/>
      <c r="D10" s="68" t="s">
        <v>201</v>
      </c>
      <c r="E10" s="68">
        <v>2</v>
      </c>
      <c r="F10" s="68" t="s">
        <v>192</v>
      </c>
      <c r="G10" s="69">
        <v>45000</v>
      </c>
      <c r="H10" s="71">
        <v>90000</v>
      </c>
    </row>
    <row r="11" spans="1:8" ht="13.5" thickBot="1" x14ac:dyDescent="0.25">
      <c r="A11" s="65"/>
      <c r="B11" s="66"/>
      <c r="C11" s="67"/>
      <c r="D11" s="68"/>
      <c r="E11" s="68"/>
      <c r="F11" s="68"/>
      <c r="G11" s="69"/>
      <c r="H11" s="71">
        <f>SUM(H6:H10)</f>
        <v>1075000</v>
      </c>
    </row>
    <row r="12" spans="1:8" ht="49.5" thickBot="1" x14ac:dyDescent="0.25">
      <c r="A12" s="62">
        <v>1.2</v>
      </c>
      <c r="B12" s="63" t="s">
        <v>202</v>
      </c>
      <c r="C12" s="64"/>
      <c r="D12" s="64"/>
      <c r="E12" s="64"/>
      <c r="F12" s="64"/>
      <c r="G12" s="64"/>
      <c r="H12" s="64"/>
    </row>
    <row r="13" spans="1:8" ht="25.5" x14ac:dyDescent="0.2">
      <c r="A13" s="122" t="s">
        <v>203</v>
      </c>
      <c r="B13" s="602" t="s">
        <v>204</v>
      </c>
      <c r="C13" s="617"/>
      <c r="D13" s="76" t="s">
        <v>205</v>
      </c>
      <c r="E13" s="599">
        <v>1</v>
      </c>
      <c r="F13" s="599" t="s">
        <v>192</v>
      </c>
      <c r="G13" s="620">
        <v>4520000</v>
      </c>
      <c r="H13" s="613">
        <v>4520000</v>
      </c>
    </row>
    <row r="14" spans="1:8" x14ac:dyDescent="0.2">
      <c r="A14" s="123"/>
      <c r="B14" s="603"/>
      <c r="C14" s="618"/>
      <c r="D14" s="76" t="s">
        <v>206</v>
      </c>
      <c r="E14" s="600"/>
      <c r="F14" s="600"/>
      <c r="G14" s="621"/>
      <c r="H14" s="614"/>
    </row>
    <row r="15" spans="1:8" ht="26.25" thickBot="1" x14ac:dyDescent="0.25">
      <c r="A15" s="124"/>
      <c r="B15" s="604"/>
      <c r="C15" s="618"/>
      <c r="D15" s="77" t="s">
        <v>207</v>
      </c>
      <c r="E15" s="601"/>
      <c r="F15" s="601"/>
      <c r="G15" s="622"/>
      <c r="H15" s="615"/>
    </row>
    <row r="16" spans="1:8" ht="20.25" thickBot="1" x14ac:dyDescent="0.25">
      <c r="A16" s="65" t="s">
        <v>208</v>
      </c>
      <c r="B16" s="66" t="s">
        <v>209</v>
      </c>
      <c r="C16" s="618"/>
      <c r="D16" s="68" t="s">
        <v>210</v>
      </c>
      <c r="E16" s="68">
        <v>1</v>
      </c>
      <c r="F16" s="68" t="s">
        <v>192</v>
      </c>
      <c r="G16" s="69">
        <v>250000</v>
      </c>
      <c r="H16" s="70">
        <v>250000</v>
      </c>
    </row>
    <row r="17" spans="1:8" ht="30" thickBot="1" x14ac:dyDescent="0.25">
      <c r="A17" s="65" t="s">
        <v>211</v>
      </c>
      <c r="B17" s="66" t="s">
        <v>190</v>
      </c>
      <c r="C17" s="618"/>
      <c r="D17" s="68" t="s">
        <v>191</v>
      </c>
      <c r="E17" s="68">
        <v>1</v>
      </c>
      <c r="F17" s="68" t="s">
        <v>192</v>
      </c>
      <c r="G17" s="69">
        <v>450000</v>
      </c>
      <c r="H17" s="70">
        <v>450000</v>
      </c>
    </row>
    <row r="18" spans="1:8" ht="13.5" thickBot="1" x14ac:dyDescent="0.25">
      <c r="A18" s="65" t="s">
        <v>212</v>
      </c>
      <c r="B18" s="66" t="s">
        <v>213</v>
      </c>
      <c r="C18" s="618"/>
      <c r="D18" s="68" t="s">
        <v>214</v>
      </c>
      <c r="E18" s="68">
        <v>1</v>
      </c>
      <c r="F18" s="68" t="s">
        <v>192</v>
      </c>
      <c r="G18" s="69">
        <v>250000</v>
      </c>
      <c r="H18" s="70">
        <v>250000</v>
      </c>
    </row>
    <row r="19" spans="1:8" ht="20.25" thickBot="1" x14ac:dyDescent="0.25">
      <c r="A19" s="65" t="s">
        <v>215</v>
      </c>
      <c r="B19" s="66" t="s">
        <v>216</v>
      </c>
      <c r="C19" s="618"/>
      <c r="D19" s="68" t="s">
        <v>217</v>
      </c>
      <c r="E19" s="68">
        <v>1</v>
      </c>
      <c r="F19" s="68" t="s">
        <v>192</v>
      </c>
      <c r="G19" s="69">
        <v>250000</v>
      </c>
      <c r="H19" s="70">
        <v>250000</v>
      </c>
    </row>
    <row r="20" spans="1:8" ht="69" thickBot="1" x14ac:dyDescent="0.25">
      <c r="A20" s="65" t="s">
        <v>218</v>
      </c>
      <c r="B20" s="66" t="s">
        <v>219</v>
      </c>
      <c r="C20" s="618"/>
      <c r="D20" s="68" t="s">
        <v>220</v>
      </c>
      <c r="E20" s="68">
        <v>1</v>
      </c>
      <c r="F20" s="68" t="s">
        <v>192</v>
      </c>
      <c r="G20" s="69">
        <v>3375000</v>
      </c>
      <c r="H20" s="70">
        <v>3375000</v>
      </c>
    </row>
    <row r="21" spans="1:8" ht="39.75" thickBot="1" x14ac:dyDescent="0.25">
      <c r="A21" s="65" t="s">
        <v>221</v>
      </c>
      <c r="B21" s="66" t="s">
        <v>222</v>
      </c>
      <c r="C21" s="618"/>
      <c r="D21" s="68" t="s">
        <v>220</v>
      </c>
      <c r="E21" s="68">
        <v>1</v>
      </c>
      <c r="F21" s="68" t="s">
        <v>192</v>
      </c>
      <c r="G21" s="69">
        <v>4550000</v>
      </c>
      <c r="H21" s="70">
        <v>4550000</v>
      </c>
    </row>
    <row r="22" spans="1:8" ht="69" thickBot="1" x14ac:dyDescent="0.25">
      <c r="A22" s="65" t="s">
        <v>223</v>
      </c>
      <c r="B22" s="66" t="s">
        <v>224</v>
      </c>
      <c r="C22" s="618"/>
      <c r="D22" s="68" t="s">
        <v>220</v>
      </c>
      <c r="E22" s="68">
        <v>1</v>
      </c>
      <c r="F22" s="68" t="s">
        <v>192</v>
      </c>
      <c r="G22" s="69">
        <v>4800000</v>
      </c>
      <c r="H22" s="70">
        <v>4800000</v>
      </c>
    </row>
    <row r="23" spans="1:8" ht="49.5" thickBot="1" x14ac:dyDescent="0.25">
      <c r="A23" s="65" t="s">
        <v>225</v>
      </c>
      <c r="B23" s="66" t="s">
        <v>226</v>
      </c>
      <c r="C23" s="618"/>
      <c r="D23" s="68" t="s">
        <v>227</v>
      </c>
      <c r="E23" s="68">
        <v>1</v>
      </c>
      <c r="F23" s="68" t="s">
        <v>192</v>
      </c>
      <c r="G23" s="69">
        <v>1800000</v>
      </c>
      <c r="H23" s="70">
        <v>1800000</v>
      </c>
    </row>
    <row r="24" spans="1:8" ht="39.75" thickBot="1" x14ac:dyDescent="0.25">
      <c r="A24" s="65" t="s">
        <v>228</v>
      </c>
      <c r="B24" s="66" t="s">
        <v>229</v>
      </c>
      <c r="C24" s="618"/>
      <c r="D24" s="68" t="s">
        <v>220</v>
      </c>
      <c r="E24" s="68">
        <v>1</v>
      </c>
      <c r="F24" s="68" t="s">
        <v>192</v>
      </c>
      <c r="G24" s="69">
        <v>6800000</v>
      </c>
      <c r="H24" s="70">
        <v>6800000</v>
      </c>
    </row>
    <row r="25" spans="1:8" ht="30" thickBot="1" x14ac:dyDescent="0.25">
      <c r="A25" s="65" t="s">
        <v>230</v>
      </c>
      <c r="B25" s="66" t="s">
        <v>231</v>
      </c>
      <c r="C25" s="618"/>
      <c r="D25" s="68" t="s">
        <v>220</v>
      </c>
      <c r="E25" s="68">
        <v>1</v>
      </c>
      <c r="F25" s="68" t="s">
        <v>192</v>
      </c>
      <c r="G25" s="69">
        <v>380000</v>
      </c>
      <c r="H25" s="70">
        <v>380000</v>
      </c>
    </row>
    <row r="26" spans="1:8" ht="39.75" thickBot="1" x14ac:dyDescent="0.25">
      <c r="A26" s="65" t="s">
        <v>232</v>
      </c>
      <c r="B26" s="66" t="s">
        <v>233</v>
      </c>
      <c r="C26" s="618"/>
      <c r="D26" s="68" t="s">
        <v>220</v>
      </c>
      <c r="E26" s="68">
        <v>1</v>
      </c>
      <c r="F26" s="68" t="s">
        <v>192</v>
      </c>
      <c r="G26" s="69">
        <v>460000</v>
      </c>
      <c r="H26" s="70">
        <v>460000</v>
      </c>
    </row>
    <row r="27" spans="1:8" ht="20.25" thickBot="1" x14ac:dyDescent="0.25">
      <c r="A27" s="65" t="s">
        <v>234</v>
      </c>
      <c r="B27" s="66" t="s">
        <v>235</v>
      </c>
      <c r="C27" s="618"/>
      <c r="D27" s="68" t="s">
        <v>236</v>
      </c>
      <c r="E27" s="68">
        <v>1</v>
      </c>
      <c r="F27" s="68" t="s">
        <v>192</v>
      </c>
      <c r="G27" s="69">
        <v>75000</v>
      </c>
      <c r="H27" s="71">
        <v>75000</v>
      </c>
    </row>
    <row r="28" spans="1:8" ht="30" thickBot="1" x14ac:dyDescent="0.25">
      <c r="A28" s="65" t="s">
        <v>237</v>
      </c>
      <c r="B28" s="66" t="s">
        <v>238</v>
      </c>
      <c r="C28" s="618"/>
      <c r="D28" s="68" t="s">
        <v>239</v>
      </c>
      <c r="E28" s="68">
        <v>1</v>
      </c>
      <c r="F28" s="68" t="s">
        <v>177</v>
      </c>
      <c r="G28" s="69">
        <v>350000</v>
      </c>
      <c r="H28" s="70">
        <v>350000</v>
      </c>
    </row>
    <row r="29" spans="1:8" ht="30" thickBot="1" x14ac:dyDescent="0.25">
      <c r="A29" s="65" t="s">
        <v>240</v>
      </c>
      <c r="B29" s="66" t="s">
        <v>241</v>
      </c>
      <c r="C29" s="619"/>
      <c r="D29" s="68" t="s">
        <v>239</v>
      </c>
      <c r="E29" s="68">
        <v>1</v>
      </c>
      <c r="F29" s="68" t="s">
        <v>177</v>
      </c>
      <c r="G29" s="69">
        <v>245000</v>
      </c>
      <c r="H29" s="70">
        <v>245000</v>
      </c>
    </row>
    <row r="30" spans="1:8" ht="15" thickBot="1" x14ac:dyDescent="0.25">
      <c r="A30" s="65"/>
      <c r="B30" s="66"/>
      <c r="C30" s="121"/>
      <c r="D30" s="68"/>
      <c r="E30" s="68"/>
      <c r="F30" s="68"/>
      <c r="G30" s="69"/>
      <c r="H30" s="70">
        <f>SUM(H16:H29)</f>
        <v>24035000</v>
      </c>
    </row>
    <row r="31" spans="1:8" ht="88.5" thickBot="1" x14ac:dyDescent="0.25">
      <c r="A31" s="59">
        <v>2</v>
      </c>
      <c r="B31" s="60" t="s">
        <v>242</v>
      </c>
      <c r="C31" s="61"/>
      <c r="D31" s="61"/>
      <c r="E31" s="61"/>
      <c r="F31" s="61"/>
      <c r="G31" s="61"/>
      <c r="H31" s="61"/>
    </row>
    <row r="32" spans="1:8" ht="39.75" thickBot="1" x14ac:dyDescent="0.25">
      <c r="A32" s="62">
        <v>2.1</v>
      </c>
      <c r="B32" s="63" t="s">
        <v>188</v>
      </c>
      <c r="C32" s="64"/>
      <c r="D32" s="64"/>
      <c r="E32" s="64"/>
      <c r="F32" s="64"/>
      <c r="G32" s="64"/>
      <c r="H32" s="64"/>
    </row>
    <row r="33" spans="1:8" ht="30" thickBot="1" x14ac:dyDescent="0.25">
      <c r="A33" s="65" t="s">
        <v>243</v>
      </c>
      <c r="B33" s="66" t="s">
        <v>190</v>
      </c>
      <c r="C33" s="595"/>
      <c r="D33" s="68" t="s">
        <v>191</v>
      </c>
      <c r="E33" s="68">
        <v>1</v>
      </c>
      <c r="F33" s="68" t="s">
        <v>192</v>
      </c>
      <c r="G33" s="69">
        <v>550000</v>
      </c>
      <c r="H33" s="70">
        <v>550000</v>
      </c>
    </row>
    <row r="34" spans="1:8" ht="30" thickBot="1" x14ac:dyDescent="0.25">
      <c r="A34" s="65" t="s">
        <v>244</v>
      </c>
      <c r="B34" s="66" t="s">
        <v>194</v>
      </c>
      <c r="C34" s="596"/>
      <c r="D34" s="68" t="s">
        <v>191</v>
      </c>
      <c r="E34" s="68">
        <v>1</v>
      </c>
      <c r="F34" s="68" t="s">
        <v>192</v>
      </c>
      <c r="G34" s="69">
        <v>275000</v>
      </c>
      <c r="H34" s="70">
        <v>275000</v>
      </c>
    </row>
    <row r="35" spans="1:8" ht="20.25" thickBot="1" x14ac:dyDescent="0.25">
      <c r="A35" s="65" t="s">
        <v>245</v>
      </c>
      <c r="B35" s="66" t="s">
        <v>196</v>
      </c>
      <c r="C35" s="596"/>
      <c r="D35" s="68" t="s">
        <v>197</v>
      </c>
      <c r="E35" s="68">
        <v>1</v>
      </c>
      <c r="F35" s="68" t="s">
        <v>192</v>
      </c>
      <c r="G35" s="69">
        <v>60000</v>
      </c>
      <c r="H35" s="71">
        <v>60000</v>
      </c>
    </row>
    <row r="36" spans="1:8" ht="20.25" thickBot="1" x14ac:dyDescent="0.25">
      <c r="A36" s="65" t="s">
        <v>246</v>
      </c>
      <c r="B36" s="66" t="s">
        <v>196</v>
      </c>
      <c r="C36" s="596"/>
      <c r="D36" s="68" t="s">
        <v>199</v>
      </c>
      <c r="E36" s="68">
        <v>2</v>
      </c>
      <c r="F36" s="68" t="s">
        <v>192</v>
      </c>
      <c r="G36" s="69">
        <v>50000</v>
      </c>
      <c r="H36" s="70">
        <v>100000</v>
      </c>
    </row>
    <row r="37" spans="1:8" ht="20.25" thickBot="1" x14ac:dyDescent="0.25">
      <c r="A37" s="65" t="s">
        <v>247</v>
      </c>
      <c r="B37" s="66" t="s">
        <v>196</v>
      </c>
      <c r="C37" s="596"/>
      <c r="D37" s="68" t="s">
        <v>201</v>
      </c>
      <c r="E37" s="68">
        <v>2</v>
      </c>
      <c r="F37" s="68" t="s">
        <v>192</v>
      </c>
      <c r="G37" s="69">
        <v>45000</v>
      </c>
      <c r="H37" s="71">
        <v>90000</v>
      </c>
    </row>
    <row r="38" spans="1:8" ht="13.5" thickBot="1" x14ac:dyDescent="0.25">
      <c r="A38" s="72"/>
      <c r="B38" s="73"/>
      <c r="C38" s="616"/>
      <c r="D38" s="73"/>
      <c r="E38" s="73"/>
      <c r="F38" s="73"/>
      <c r="G38" s="73"/>
      <c r="H38" s="73">
        <f>SUM(H33:H37)</f>
        <v>1075000</v>
      </c>
    </row>
    <row r="39" spans="1:8" ht="49.5" thickBot="1" x14ac:dyDescent="0.25">
      <c r="A39" s="62">
        <v>2.2000000000000002</v>
      </c>
      <c r="B39" s="63" t="s">
        <v>248</v>
      </c>
      <c r="C39" s="64"/>
      <c r="D39" s="64"/>
      <c r="E39" s="64"/>
      <c r="F39" s="64"/>
      <c r="G39" s="64"/>
      <c r="H39" s="64"/>
    </row>
    <row r="40" spans="1:8" ht="13.5" thickBot="1" x14ac:dyDescent="0.25">
      <c r="A40" s="65" t="s">
        <v>249</v>
      </c>
      <c r="B40" s="66" t="s">
        <v>250</v>
      </c>
      <c r="C40" s="597"/>
      <c r="D40" s="68" t="s">
        <v>251</v>
      </c>
      <c r="E40" s="68">
        <v>1</v>
      </c>
      <c r="F40" s="68" t="s">
        <v>192</v>
      </c>
      <c r="G40" s="69">
        <v>2500000</v>
      </c>
      <c r="H40" s="70">
        <v>2500000</v>
      </c>
    </row>
    <row r="41" spans="1:8" ht="25.5" x14ac:dyDescent="0.2">
      <c r="A41" s="599" t="s">
        <v>252</v>
      </c>
      <c r="B41" s="602" t="s">
        <v>253</v>
      </c>
      <c r="C41" s="598"/>
      <c r="D41" s="76" t="s">
        <v>205</v>
      </c>
      <c r="E41" s="86"/>
      <c r="F41" s="86"/>
      <c r="G41" s="86"/>
      <c r="H41" s="86"/>
    </row>
    <row r="42" spans="1:8" x14ac:dyDescent="0.2">
      <c r="A42" s="600"/>
      <c r="B42" s="603"/>
      <c r="C42" s="598"/>
      <c r="D42" s="76" t="s">
        <v>206</v>
      </c>
      <c r="E42" s="86"/>
      <c r="F42" s="86"/>
      <c r="G42" s="86"/>
      <c r="H42" s="86"/>
    </row>
    <row r="43" spans="1:8" ht="26.25" thickBot="1" x14ac:dyDescent="0.25">
      <c r="A43" s="601"/>
      <c r="B43" s="604"/>
      <c r="C43" s="598"/>
      <c r="D43" s="77" t="s">
        <v>207</v>
      </c>
      <c r="E43" s="68">
        <v>1</v>
      </c>
      <c r="F43" s="68" t="s">
        <v>192</v>
      </c>
      <c r="G43" s="69">
        <v>3500000</v>
      </c>
      <c r="H43" s="70">
        <v>3500000</v>
      </c>
    </row>
    <row r="44" spans="1:8" ht="20.25" thickBot="1" x14ac:dyDescent="0.25">
      <c r="A44" s="65" t="s">
        <v>254</v>
      </c>
      <c r="B44" s="66" t="s">
        <v>209</v>
      </c>
      <c r="C44" s="598"/>
      <c r="D44" s="68" t="s">
        <v>255</v>
      </c>
      <c r="E44" s="68">
        <v>1</v>
      </c>
      <c r="F44" s="68" t="s">
        <v>192</v>
      </c>
      <c r="G44" s="69">
        <v>250000</v>
      </c>
      <c r="H44" s="70">
        <v>250000</v>
      </c>
    </row>
    <row r="45" spans="1:8" ht="49.5" thickBot="1" x14ac:dyDescent="0.25">
      <c r="A45" s="62">
        <v>2.2999999999999998</v>
      </c>
      <c r="B45" s="63" t="s">
        <v>256</v>
      </c>
      <c r="C45" s="64"/>
      <c r="D45" s="64"/>
      <c r="E45" s="64"/>
      <c r="F45" s="64"/>
      <c r="G45" s="64"/>
      <c r="H45" s="64"/>
    </row>
    <row r="46" spans="1:8" ht="49.5" thickBot="1" x14ac:dyDescent="0.25">
      <c r="A46" s="65" t="s">
        <v>257</v>
      </c>
      <c r="B46" s="66" t="s">
        <v>258</v>
      </c>
      <c r="C46" s="605"/>
      <c r="D46" s="68" t="s">
        <v>259</v>
      </c>
      <c r="E46" s="68">
        <v>1</v>
      </c>
      <c r="F46" s="68" t="s">
        <v>192</v>
      </c>
      <c r="G46" s="69">
        <v>2675000</v>
      </c>
      <c r="H46" s="70">
        <v>2675000</v>
      </c>
    </row>
    <row r="47" spans="1:8" ht="39.75" thickBot="1" x14ac:dyDescent="0.25">
      <c r="A47" s="65" t="s">
        <v>260</v>
      </c>
      <c r="B47" s="66" t="s">
        <v>222</v>
      </c>
      <c r="C47" s="606"/>
      <c r="D47" s="68" t="s">
        <v>261</v>
      </c>
      <c r="E47" s="68">
        <v>1</v>
      </c>
      <c r="F47" s="68" t="s">
        <v>192</v>
      </c>
      <c r="G47" s="69">
        <v>4375000</v>
      </c>
      <c r="H47" s="70">
        <v>4375000</v>
      </c>
    </row>
    <row r="48" spans="1:8" ht="88.5" thickBot="1" x14ac:dyDescent="0.25">
      <c r="A48" s="65" t="s">
        <v>262</v>
      </c>
      <c r="B48" s="66" t="s">
        <v>263</v>
      </c>
      <c r="C48" s="606"/>
      <c r="D48" s="68" t="s">
        <v>264</v>
      </c>
      <c r="E48" s="68">
        <v>1</v>
      </c>
      <c r="F48" s="68" t="s">
        <v>192</v>
      </c>
      <c r="G48" s="69">
        <v>5700000</v>
      </c>
      <c r="H48" s="70">
        <v>5700000</v>
      </c>
    </row>
    <row r="49" spans="1:8" ht="49.5" thickBot="1" x14ac:dyDescent="0.25">
      <c r="A49" s="65" t="s">
        <v>265</v>
      </c>
      <c r="B49" s="66" t="s">
        <v>266</v>
      </c>
      <c r="C49" s="606"/>
      <c r="D49" s="68" t="s">
        <v>267</v>
      </c>
      <c r="E49" s="68">
        <v>1</v>
      </c>
      <c r="F49" s="68" t="s">
        <v>268</v>
      </c>
      <c r="G49" s="69">
        <v>1800000</v>
      </c>
      <c r="H49" s="70">
        <v>1800000</v>
      </c>
    </row>
    <row r="50" spans="1:8" ht="69" thickBot="1" x14ac:dyDescent="0.25">
      <c r="A50" s="65" t="s">
        <v>269</v>
      </c>
      <c r="B50" s="66" t="s">
        <v>270</v>
      </c>
      <c r="C50" s="606"/>
      <c r="D50" s="68" t="s">
        <v>267</v>
      </c>
      <c r="E50" s="68">
        <v>1</v>
      </c>
      <c r="F50" s="68" t="s">
        <v>268</v>
      </c>
      <c r="G50" s="69">
        <v>1200000</v>
      </c>
      <c r="H50" s="70">
        <v>1200000</v>
      </c>
    </row>
    <row r="51" spans="1:8" ht="49.5" thickBot="1" x14ac:dyDescent="0.25">
      <c r="A51" s="62">
        <v>2.4</v>
      </c>
      <c r="B51" s="63" t="s">
        <v>271</v>
      </c>
      <c r="C51" s="64"/>
      <c r="D51" s="64"/>
      <c r="E51" s="64"/>
      <c r="F51" s="64"/>
      <c r="G51" s="64"/>
      <c r="H51" s="64"/>
    </row>
    <row r="52" spans="1:8" ht="69" thickBot="1" x14ac:dyDescent="0.25">
      <c r="A52" s="65" t="s">
        <v>272</v>
      </c>
      <c r="B52" s="66" t="s">
        <v>219</v>
      </c>
      <c r="C52" s="607"/>
      <c r="D52" s="68" t="s">
        <v>220</v>
      </c>
      <c r="E52" s="68">
        <v>1</v>
      </c>
      <c r="F52" s="68" t="s">
        <v>192</v>
      </c>
      <c r="G52" s="69">
        <v>2375000</v>
      </c>
      <c r="H52" s="70">
        <v>2375000</v>
      </c>
    </row>
    <row r="53" spans="1:8" ht="39.75" thickBot="1" x14ac:dyDescent="0.25">
      <c r="A53" s="65" t="s">
        <v>273</v>
      </c>
      <c r="B53" s="66" t="s">
        <v>222</v>
      </c>
      <c r="C53" s="608"/>
      <c r="D53" s="68" t="s">
        <v>274</v>
      </c>
      <c r="E53" s="68">
        <v>1</v>
      </c>
      <c r="F53" s="68" t="s">
        <v>192</v>
      </c>
      <c r="G53" s="69">
        <v>4375000</v>
      </c>
      <c r="H53" s="70">
        <v>4375000</v>
      </c>
    </row>
    <row r="54" spans="1:8" ht="69" thickBot="1" x14ac:dyDescent="0.25">
      <c r="A54" s="65" t="s">
        <v>275</v>
      </c>
      <c r="B54" s="66" t="s">
        <v>276</v>
      </c>
      <c r="C54" s="608"/>
      <c r="D54" s="68" t="s">
        <v>220</v>
      </c>
      <c r="E54" s="68">
        <v>1</v>
      </c>
      <c r="F54" s="68" t="s">
        <v>192</v>
      </c>
      <c r="G54" s="69">
        <v>5555000</v>
      </c>
      <c r="H54" s="70">
        <v>5555000</v>
      </c>
    </row>
    <row r="55" spans="1:8" ht="30" thickBot="1" x14ac:dyDescent="0.25">
      <c r="A55" s="65" t="s">
        <v>277</v>
      </c>
      <c r="B55" s="66" t="s">
        <v>278</v>
      </c>
      <c r="C55" s="608"/>
      <c r="D55" s="68" t="s">
        <v>220</v>
      </c>
      <c r="E55" s="68">
        <v>1</v>
      </c>
      <c r="F55" s="68" t="s">
        <v>192</v>
      </c>
      <c r="G55" s="69">
        <v>3075000</v>
      </c>
      <c r="H55" s="70">
        <v>3075000</v>
      </c>
    </row>
    <row r="56" spans="1:8" ht="59.25" thickBot="1" x14ac:dyDescent="0.25">
      <c r="A56" s="65" t="s">
        <v>279</v>
      </c>
      <c r="B56" s="66" t="s">
        <v>280</v>
      </c>
      <c r="C56" s="608"/>
      <c r="D56" s="68" t="s">
        <v>281</v>
      </c>
      <c r="E56" s="68">
        <v>1</v>
      </c>
      <c r="F56" s="68" t="s">
        <v>192</v>
      </c>
      <c r="G56" s="69">
        <v>675000</v>
      </c>
      <c r="H56" s="70">
        <v>675000</v>
      </c>
    </row>
    <row r="57" spans="1:8" ht="39.75" thickBot="1" x14ac:dyDescent="0.25">
      <c r="A57" s="65" t="s">
        <v>282</v>
      </c>
      <c r="B57" s="66" t="s">
        <v>233</v>
      </c>
      <c r="C57" s="608"/>
      <c r="D57" s="68" t="s">
        <v>220</v>
      </c>
      <c r="E57" s="68">
        <v>1</v>
      </c>
      <c r="F57" s="68" t="s">
        <v>192</v>
      </c>
      <c r="G57" s="69">
        <v>400000</v>
      </c>
      <c r="H57" s="70">
        <v>400000</v>
      </c>
    </row>
    <row r="58" spans="1:8" ht="49.5" thickBot="1" x14ac:dyDescent="0.25">
      <c r="A58" s="65" t="s">
        <v>283</v>
      </c>
      <c r="B58" s="66" t="s">
        <v>266</v>
      </c>
      <c r="C58" s="608"/>
      <c r="D58" s="68" t="s">
        <v>284</v>
      </c>
      <c r="E58" s="68">
        <v>1</v>
      </c>
      <c r="F58" s="68" t="s">
        <v>268</v>
      </c>
      <c r="G58" s="69">
        <v>2800000</v>
      </c>
      <c r="H58" s="70">
        <v>2800000</v>
      </c>
    </row>
    <row r="59" spans="1:8" ht="69" thickBot="1" x14ac:dyDescent="0.25">
      <c r="A59" s="65" t="s">
        <v>285</v>
      </c>
      <c r="B59" s="66" t="s">
        <v>270</v>
      </c>
      <c r="C59" s="609"/>
      <c r="D59" s="68" t="s">
        <v>284</v>
      </c>
      <c r="E59" s="68">
        <v>1</v>
      </c>
      <c r="F59" s="68" t="s">
        <v>268</v>
      </c>
      <c r="G59" s="69">
        <v>1500000</v>
      </c>
      <c r="H59" s="70">
        <v>1500000</v>
      </c>
    </row>
    <row r="60" spans="1:8" ht="69" thickBot="1" x14ac:dyDescent="0.25">
      <c r="A60" s="62">
        <v>2.5</v>
      </c>
      <c r="B60" s="63" t="s">
        <v>286</v>
      </c>
      <c r="C60" s="64"/>
      <c r="D60" s="64"/>
      <c r="E60" s="64"/>
      <c r="F60" s="64"/>
      <c r="G60" s="64"/>
      <c r="H60" s="64"/>
    </row>
    <row r="61" spans="1:8" ht="20.25" thickBot="1" x14ac:dyDescent="0.25">
      <c r="A61" s="65" t="s">
        <v>287</v>
      </c>
      <c r="B61" s="66" t="s">
        <v>235</v>
      </c>
      <c r="C61" s="610"/>
      <c r="D61" s="68" t="s">
        <v>236</v>
      </c>
      <c r="E61" s="68">
        <v>1</v>
      </c>
      <c r="F61" s="68" t="s">
        <v>192</v>
      </c>
      <c r="G61" s="69">
        <v>75000</v>
      </c>
      <c r="H61" s="71">
        <v>75000</v>
      </c>
    </row>
    <row r="62" spans="1:8" ht="30" thickBot="1" x14ac:dyDescent="0.25">
      <c r="A62" s="65" t="s">
        <v>288</v>
      </c>
      <c r="B62" s="66" t="s">
        <v>238</v>
      </c>
      <c r="C62" s="611"/>
      <c r="D62" s="68" t="s">
        <v>239</v>
      </c>
      <c r="E62" s="68">
        <v>1</v>
      </c>
      <c r="F62" s="68" t="s">
        <v>177</v>
      </c>
      <c r="G62" s="69">
        <v>350000</v>
      </c>
      <c r="H62" s="70">
        <v>350000</v>
      </c>
    </row>
    <row r="63" spans="1:8" ht="30" thickBot="1" x14ac:dyDescent="0.25">
      <c r="A63" s="65" t="s">
        <v>289</v>
      </c>
      <c r="B63" s="66" t="s">
        <v>241</v>
      </c>
      <c r="C63" s="611"/>
      <c r="D63" s="68" t="s">
        <v>239</v>
      </c>
      <c r="E63" s="68">
        <v>2</v>
      </c>
      <c r="F63" s="68" t="s">
        <v>177</v>
      </c>
      <c r="G63" s="69">
        <v>245000</v>
      </c>
      <c r="H63" s="70">
        <v>490000</v>
      </c>
    </row>
    <row r="64" spans="1:8" ht="25.5" customHeight="1" x14ac:dyDescent="0.2">
      <c r="A64" s="122" t="s">
        <v>290</v>
      </c>
      <c r="B64" s="602" t="s">
        <v>291</v>
      </c>
      <c r="C64" s="611"/>
      <c r="D64" s="78" t="s">
        <v>292</v>
      </c>
      <c r="E64" s="83"/>
      <c r="F64" s="83"/>
      <c r="G64" s="83"/>
      <c r="H64" s="83"/>
    </row>
    <row r="65" spans="1:8" ht="13.5" thickBot="1" x14ac:dyDescent="0.25">
      <c r="A65" s="124"/>
      <c r="B65" s="604"/>
      <c r="C65" s="611"/>
      <c r="D65" s="68" t="s">
        <v>293</v>
      </c>
      <c r="E65" s="68">
        <v>1</v>
      </c>
      <c r="F65" s="68" t="s">
        <v>177</v>
      </c>
      <c r="G65" s="69">
        <v>2500000</v>
      </c>
      <c r="H65" s="70">
        <v>2500000</v>
      </c>
    </row>
    <row r="66" spans="1:8" ht="30" thickBot="1" x14ac:dyDescent="0.25">
      <c r="A66" s="65" t="s">
        <v>294</v>
      </c>
      <c r="B66" s="66" t="s">
        <v>295</v>
      </c>
      <c r="C66" s="612"/>
      <c r="D66" s="68" t="s">
        <v>296</v>
      </c>
      <c r="E66" s="68">
        <v>2</v>
      </c>
      <c r="F66" s="68" t="s">
        <v>192</v>
      </c>
      <c r="G66" s="69">
        <v>150000</v>
      </c>
      <c r="H66" s="70">
        <v>300000</v>
      </c>
    </row>
    <row r="67" spans="1:8" ht="13.5" thickBot="1" x14ac:dyDescent="0.25">
      <c r="A67" s="65"/>
      <c r="B67" s="66"/>
      <c r="C67" s="125"/>
      <c r="D67" s="68"/>
      <c r="E67" s="68"/>
      <c r="F67" s="68"/>
      <c r="G67" s="69"/>
      <c r="H67" s="70">
        <f>SUM(H40:H66)</f>
        <v>46470000</v>
      </c>
    </row>
    <row r="68" spans="1:8" ht="88.5" thickBot="1" x14ac:dyDescent="0.25">
      <c r="A68" s="59">
        <v>3</v>
      </c>
      <c r="B68" s="60" t="s">
        <v>297</v>
      </c>
      <c r="C68" s="61"/>
      <c r="D68" s="61"/>
      <c r="E68" s="61"/>
      <c r="F68" s="61"/>
      <c r="G68" s="61"/>
      <c r="H68" s="61"/>
    </row>
    <row r="69" spans="1:8" ht="39.75" thickBot="1" x14ac:dyDescent="0.25">
      <c r="A69" s="62">
        <v>3.1</v>
      </c>
      <c r="B69" s="63" t="s">
        <v>188</v>
      </c>
      <c r="C69" s="64"/>
      <c r="D69" s="64"/>
      <c r="E69" s="64"/>
      <c r="F69" s="64"/>
      <c r="G69" s="64"/>
      <c r="H69" s="64"/>
    </row>
    <row r="70" spans="1:8" ht="30" thickBot="1" x14ac:dyDescent="0.25">
      <c r="A70" s="65" t="s">
        <v>298</v>
      </c>
      <c r="B70" s="66" t="s">
        <v>299</v>
      </c>
      <c r="C70" s="629"/>
      <c r="D70" s="68" t="s">
        <v>191</v>
      </c>
      <c r="E70" s="68">
        <v>2</v>
      </c>
      <c r="F70" s="68" t="s">
        <v>192</v>
      </c>
      <c r="G70" s="69">
        <v>550000</v>
      </c>
      <c r="H70" s="70">
        <v>1100000</v>
      </c>
    </row>
    <row r="71" spans="1:8" ht="30" thickBot="1" x14ac:dyDescent="0.25">
      <c r="A71" s="65" t="s">
        <v>300</v>
      </c>
      <c r="B71" s="66" t="s">
        <v>194</v>
      </c>
      <c r="C71" s="630"/>
      <c r="D71" s="68" t="s">
        <v>191</v>
      </c>
      <c r="E71" s="68">
        <v>1</v>
      </c>
      <c r="F71" s="68" t="s">
        <v>192</v>
      </c>
      <c r="G71" s="69">
        <v>275000</v>
      </c>
      <c r="H71" s="70">
        <v>275000</v>
      </c>
    </row>
    <row r="72" spans="1:8" ht="20.25" thickBot="1" x14ac:dyDescent="0.25">
      <c r="A72" s="65" t="s">
        <v>301</v>
      </c>
      <c r="B72" s="66" t="s">
        <v>196</v>
      </c>
      <c r="C72" s="630"/>
      <c r="D72" s="68" t="s">
        <v>197</v>
      </c>
      <c r="E72" s="68">
        <v>1</v>
      </c>
      <c r="F72" s="68" t="s">
        <v>192</v>
      </c>
      <c r="G72" s="69">
        <v>60000</v>
      </c>
      <c r="H72" s="71">
        <v>60000</v>
      </c>
    </row>
    <row r="73" spans="1:8" ht="20.25" thickBot="1" x14ac:dyDescent="0.25">
      <c r="A73" s="65" t="s">
        <v>302</v>
      </c>
      <c r="B73" s="66" t="s">
        <v>196</v>
      </c>
      <c r="C73" s="630"/>
      <c r="D73" s="68" t="s">
        <v>199</v>
      </c>
      <c r="E73" s="68">
        <v>2</v>
      </c>
      <c r="F73" s="68" t="s">
        <v>192</v>
      </c>
      <c r="G73" s="69">
        <v>50000</v>
      </c>
      <c r="H73" s="70">
        <v>100000</v>
      </c>
    </row>
    <row r="74" spans="1:8" ht="20.25" thickBot="1" x14ac:dyDescent="0.25">
      <c r="A74" s="65" t="s">
        <v>303</v>
      </c>
      <c r="B74" s="66" t="s">
        <v>196</v>
      </c>
      <c r="C74" s="630"/>
      <c r="D74" s="68" t="s">
        <v>201</v>
      </c>
      <c r="E74" s="68">
        <v>2</v>
      </c>
      <c r="F74" s="68" t="s">
        <v>192</v>
      </c>
      <c r="G74" s="69">
        <v>45000</v>
      </c>
      <c r="H74" s="71">
        <v>90000</v>
      </c>
    </row>
    <row r="75" spans="1:8" ht="13.5" thickBot="1" x14ac:dyDescent="0.25">
      <c r="A75" s="72"/>
      <c r="B75" s="73"/>
      <c r="C75" s="631"/>
      <c r="D75" s="73"/>
      <c r="E75" s="73"/>
      <c r="F75" s="73"/>
      <c r="G75" s="73"/>
      <c r="H75" s="73"/>
    </row>
    <row r="76" spans="1:8" ht="39.75" thickBot="1" x14ac:dyDescent="0.25">
      <c r="A76" s="62">
        <v>3.2</v>
      </c>
      <c r="B76" s="63" t="s">
        <v>304</v>
      </c>
      <c r="C76" s="64"/>
      <c r="D76" s="64"/>
      <c r="E76" s="64"/>
      <c r="F76" s="64"/>
      <c r="G76" s="64"/>
      <c r="H76" s="64"/>
    </row>
    <row r="77" spans="1:8" ht="156" x14ac:dyDescent="0.2">
      <c r="A77" s="599" t="s">
        <v>305</v>
      </c>
      <c r="B77" s="74" t="s">
        <v>306</v>
      </c>
      <c r="C77" s="605"/>
      <c r="D77" s="86"/>
      <c r="E77" s="86"/>
      <c r="F77" s="86"/>
      <c r="G77" s="86"/>
      <c r="H77" s="86"/>
    </row>
    <row r="78" spans="1:8" ht="19.5" x14ac:dyDescent="0.2">
      <c r="A78" s="600"/>
      <c r="B78" s="74" t="s">
        <v>307</v>
      </c>
      <c r="C78" s="606"/>
      <c r="D78" s="90"/>
      <c r="E78" s="90"/>
      <c r="F78" s="90"/>
      <c r="G78" s="87"/>
      <c r="H78" s="87"/>
    </row>
    <row r="79" spans="1:8" ht="13.5" thickBot="1" x14ac:dyDescent="0.25">
      <c r="A79" s="601"/>
      <c r="B79" s="89"/>
      <c r="C79" s="606"/>
      <c r="D79" s="68" t="s">
        <v>308</v>
      </c>
      <c r="E79" s="68">
        <v>1</v>
      </c>
      <c r="F79" s="68" t="s">
        <v>268</v>
      </c>
      <c r="G79" s="69">
        <v>4500000</v>
      </c>
      <c r="H79" s="70">
        <v>4500000</v>
      </c>
    </row>
    <row r="80" spans="1:8" ht="156" x14ac:dyDescent="0.2">
      <c r="A80" s="599" t="s">
        <v>309</v>
      </c>
      <c r="B80" s="74" t="s">
        <v>306</v>
      </c>
      <c r="C80" s="606"/>
      <c r="D80" s="86"/>
      <c r="E80" s="86"/>
      <c r="F80" s="86"/>
      <c r="G80" s="86"/>
      <c r="H80" s="86"/>
    </row>
    <row r="81" spans="1:8" ht="19.5" x14ac:dyDescent="0.2">
      <c r="A81" s="600"/>
      <c r="B81" s="74" t="s">
        <v>307</v>
      </c>
      <c r="C81" s="606"/>
      <c r="D81" s="91"/>
      <c r="E81" s="91"/>
      <c r="F81" s="91"/>
      <c r="G81" s="92"/>
      <c r="H81" s="92"/>
    </row>
    <row r="82" spans="1:8" ht="13.5" thickBot="1" x14ac:dyDescent="0.25">
      <c r="A82" s="601"/>
      <c r="B82" s="89"/>
      <c r="C82" s="606"/>
      <c r="D82" s="68" t="s">
        <v>310</v>
      </c>
      <c r="E82" s="68">
        <v>1</v>
      </c>
      <c r="F82" s="68" t="s">
        <v>268</v>
      </c>
      <c r="G82" s="69">
        <v>3800000</v>
      </c>
      <c r="H82" s="70">
        <v>3800000</v>
      </c>
    </row>
    <row r="83" spans="1:8" ht="39.75" thickBot="1" x14ac:dyDescent="0.25">
      <c r="A83" s="65" t="s">
        <v>311</v>
      </c>
      <c r="B83" s="66" t="s">
        <v>312</v>
      </c>
      <c r="C83" s="606"/>
      <c r="D83" s="68" t="s">
        <v>313</v>
      </c>
      <c r="E83" s="68">
        <v>2</v>
      </c>
      <c r="F83" s="68" t="s">
        <v>314</v>
      </c>
      <c r="G83" s="69">
        <v>2800000</v>
      </c>
      <c r="H83" s="70">
        <v>5600000</v>
      </c>
    </row>
    <row r="84" spans="1:8" ht="49.5" thickBot="1" x14ac:dyDescent="0.25">
      <c r="A84" s="65" t="s">
        <v>315</v>
      </c>
      <c r="B84" s="66" t="s">
        <v>316</v>
      </c>
      <c r="C84" s="606"/>
      <c r="D84" s="68" t="s">
        <v>313</v>
      </c>
      <c r="E84" s="68">
        <v>2</v>
      </c>
      <c r="F84" s="68" t="s">
        <v>314</v>
      </c>
      <c r="G84" s="69">
        <v>4500000</v>
      </c>
      <c r="H84" s="70">
        <v>9000000</v>
      </c>
    </row>
    <row r="85" spans="1:8" ht="20.25" thickBot="1" x14ac:dyDescent="0.25">
      <c r="A85" s="65" t="s">
        <v>317</v>
      </c>
      <c r="B85" s="66" t="s">
        <v>235</v>
      </c>
      <c r="C85" s="606"/>
      <c r="D85" s="68" t="s">
        <v>236</v>
      </c>
      <c r="E85" s="68">
        <v>1</v>
      </c>
      <c r="F85" s="68" t="s">
        <v>192</v>
      </c>
      <c r="G85" s="69">
        <v>75000</v>
      </c>
      <c r="H85" s="71">
        <v>75000</v>
      </c>
    </row>
    <row r="86" spans="1:8" ht="30" thickBot="1" x14ac:dyDescent="0.25">
      <c r="A86" s="65" t="s">
        <v>318</v>
      </c>
      <c r="B86" s="66" t="s">
        <v>238</v>
      </c>
      <c r="C86" s="606"/>
      <c r="D86" s="68" t="s">
        <v>239</v>
      </c>
      <c r="E86" s="68">
        <v>1</v>
      </c>
      <c r="F86" s="68" t="s">
        <v>177</v>
      </c>
      <c r="G86" s="69">
        <v>350000</v>
      </c>
      <c r="H86" s="70">
        <v>350000</v>
      </c>
    </row>
    <row r="87" spans="1:8" ht="30" thickBot="1" x14ac:dyDescent="0.25">
      <c r="A87" s="65" t="s">
        <v>319</v>
      </c>
      <c r="B87" s="66" t="s">
        <v>241</v>
      </c>
      <c r="C87" s="606"/>
      <c r="D87" s="68" t="s">
        <v>239</v>
      </c>
      <c r="E87" s="68">
        <v>1</v>
      </c>
      <c r="F87" s="68" t="s">
        <v>177</v>
      </c>
      <c r="G87" s="69">
        <v>245000</v>
      </c>
      <c r="H87" s="70">
        <v>245000</v>
      </c>
    </row>
    <row r="88" spans="1:8" ht="39.75" thickBot="1" x14ac:dyDescent="0.25">
      <c r="A88" s="62">
        <v>3.3</v>
      </c>
      <c r="B88" s="63" t="s">
        <v>320</v>
      </c>
      <c r="C88" s="64"/>
      <c r="D88" s="64"/>
      <c r="E88" s="64"/>
      <c r="F88" s="64"/>
      <c r="G88" s="64"/>
      <c r="H88" s="64"/>
    </row>
    <row r="89" spans="1:8" ht="59.25" thickBot="1" x14ac:dyDescent="0.25">
      <c r="A89" s="65" t="s">
        <v>321</v>
      </c>
      <c r="B89" s="66" t="s">
        <v>322</v>
      </c>
      <c r="C89" s="610"/>
      <c r="D89" s="68" t="s">
        <v>251</v>
      </c>
      <c r="E89" s="68">
        <v>1</v>
      </c>
      <c r="F89" s="68" t="s">
        <v>268</v>
      </c>
      <c r="G89" s="69">
        <v>750000</v>
      </c>
      <c r="H89" s="70">
        <v>750000</v>
      </c>
    </row>
    <row r="90" spans="1:8" ht="25.5" customHeight="1" x14ac:dyDescent="0.2">
      <c r="A90" s="599" t="s">
        <v>323</v>
      </c>
      <c r="B90" s="602" t="s">
        <v>324</v>
      </c>
      <c r="C90" s="611"/>
      <c r="D90" s="623" t="s">
        <v>325</v>
      </c>
      <c r="E90" s="83"/>
      <c r="F90" s="83"/>
      <c r="G90" s="83"/>
      <c r="H90" s="83"/>
    </row>
    <row r="91" spans="1:8" ht="13.5" thickBot="1" x14ac:dyDescent="0.25">
      <c r="A91" s="601"/>
      <c r="B91" s="604"/>
      <c r="C91" s="611"/>
      <c r="D91" s="624"/>
      <c r="E91" s="68">
        <v>1</v>
      </c>
      <c r="F91" s="68" t="s">
        <v>177</v>
      </c>
      <c r="G91" s="69">
        <v>2400000</v>
      </c>
      <c r="H91" s="70">
        <v>2400000</v>
      </c>
    </row>
    <row r="92" spans="1:8" ht="39.75" thickBot="1" x14ac:dyDescent="0.25">
      <c r="A92" s="65" t="s">
        <v>326</v>
      </c>
      <c r="B92" s="66" t="s">
        <v>327</v>
      </c>
      <c r="C92" s="611"/>
      <c r="D92" s="625"/>
      <c r="E92" s="68">
        <v>1</v>
      </c>
      <c r="F92" s="68" t="s">
        <v>177</v>
      </c>
      <c r="G92" s="69">
        <v>250000</v>
      </c>
      <c r="H92" s="70">
        <v>250000</v>
      </c>
    </row>
    <row r="93" spans="1:8" ht="20.25" thickBot="1" x14ac:dyDescent="0.25">
      <c r="A93" s="65" t="s">
        <v>328</v>
      </c>
      <c r="B93" s="66" t="s">
        <v>235</v>
      </c>
      <c r="C93" s="611"/>
      <c r="D93" s="68" t="s">
        <v>236</v>
      </c>
      <c r="E93" s="68">
        <v>1</v>
      </c>
      <c r="F93" s="68" t="s">
        <v>192</v>
      </c>
      <c r="G93" s="69">
        <v>75000</v>
      </c>
      <c r="H93" s="71">
        <v>75000</v>
      </c>
    </row>
    <row r="94" spans="1:8" ht="30" thickBot="1" x14ac:dyDescent="0.25">
      <c r="A94" s="65" t="s">
        <v>329</v>
      </c>
      <c r="B94" s="66" t="s">
        <v>238</v>
      </c>
      <c r="C94" s="611"/>
      <c r="D94" s="68" t="s">
        <v>239</v>
      </c>
      <c r="E94" s="68">
        <v>1</v>
      </c>
      <c r="F94" s="68" t="s">
        <v>177</v>
      </c>
      <c r="G94" s="69">
        <v>350000</v>
      </c>
      <c r="H94" s="70">
        <v>350000</v>
      </c>
    </row>
    <row r="95" spans="1:8" ht="30" thickBot="1" x14ac:dyDescent="0.25">
      <c r="A95" s="65" t="s">
        <v>330</v>
      </c>
      <c r="B95" s="66" t="s">
        <v>241</v>
      </c>
      <c r="C95" s="611"/>
      <c r="D95" s="68" t="s">
        <v>239</v>
      </c>
      <c r="E95" s="68">
        <v>1</v>
      </c>
      <c r="F95" s="68" t="s">
        <v>177</v>
      </c>
      <c r="G95" s="69">
        <v>245000</v>
      </c>
      <c r="H95" s="70">
        <v>245000</v>
      </c>
    </row>
    <row r="96" spans="1:8" ht="30" thickBot="1" x14ac:dyDescent="0.25">
      <c r="A96" s="65" t="s">
        <v>331</v>
      </c>
      <c r="B96" s="66" t="s">
        <v>295</v>
      </c>
      <c r="C96" s="612"/>
      <c r="D96" s="68" t="s">
        <v>296</v>
      </c>
      <c r="E96" s="68">
        <v>1</v>
      </c>
      <c r="F96" s="68" t="s">
        <v>192</v>
      </c>
      <c r="G96" s="69">
        <v>150000</v>
      </c>
      <c r="H96" s="70">
        <v>150000</v>
      </c>
    </row>
    <row r="97" spans="1:8" ht="39.75" thickBot="1" x14ac:dyDescent="0.25">
      <c r="A97" s="62">
        <v>3.4</v>
      </c>
      <c r="B97" s="63" t="s">
        <v>332</v>
      </c>
      <c r="C97" s="64"/>
      <c r="D97" s="64"/>
      <c r="E97" s="64"/>
      <c r="F97" s="64"/>
      <c r="G97" s="64"/>
      <c r="H97" s="64"/>
    </row>
    <row r="98" spans="1:8" ht="49.5" thickBot="1" x14ac:dyDescent="0.25">
      <c r="A98" s="65" t="s">
        <v>333</v>
      </c>
      <c r="B98" s="66" t="s">
        <v>334</v>
      </c>
      <c r="C98" s="626"/>
      <c r="D98" s="68" t="s">
        <v>267</v>
      </c>
      <c r="E98" s="68">
        <v>1</v>
      </c>
      <c r="F98" s="68" t="s">
        <v>268</v>
      </c>
      <c r="G98" s="69">
        <v>750000</v>
      </c>
      <c r="H98" s="70">
        <v>750000</v>
      </c>
    </row>
    <row r="99" spans="1:8" ht="69" thickBot="1" x14ac:dyDescent="0.25">
      <c r="A99" s="65" t="s">
        <v>333</v>
      </c>
      <c r="B99" s="66" t="s">
        <v>335</v>
      </c>
      <c r="C99" s="627"/>
      <c r="D99" s="68" t="s">
        <v>336</v>
      </c>
      <c r="E99" s="68">
        <v>1</v>
      </c>
      <c r="F99" s="68" t="s">
        <v>192</v>
      </c>
      <c r="G99" s="69">
        <v>1800000</v>
      </c>
      <c r="H99" s="70">
        <v>1800000</v>
      </c>
    </row>
    <row r="100" spans="1:8" ht="30" thickBot="1" x14ac:dyDescent="0.25">
      <c r="A100" s="65" t="s">
        <v>333</v>
      </c>
      <c r="B100" s="66" t="s">
        <v>238</v>
      </c>
      <c r="C100" s="627"/>
      <c r="D100" s="68" t="s">
        <v>239</v>
      </c>
      <c r="E100" s="68">
        <v>1</v>
      </c>
      <c r="F100" s="68" t="s">
        <v>177</v>
      </c>
      <c r="G100" s="69">
        <v>350000</v>
      </c>
      <c r="H100" s="70">
        <v>350000</v>
      </c>
    </row>
    <row r="101" spans="1:8" ht="30" thickBot="1" x14ac:dyDescent="0.25">
      <c r="A101" s="65" t="s">
        <v>333</v>
      </c>
      <c r="B101" s="66" t="s">
        <v>241</v>
      </c>
      <c r="C101" s="627"/>
      <c r="D101" s="68" t="s">
        <v>239</v>
      </c>
      <c r="E101" s="68">
        <v>1</v>
      </c>
      <c r="F101" s="68" t="s">
        <v>177</v>
      </c>
      <c r="G101" s="69">
        <v>245000</v>
      </c>
      <c r="H101" s="70">
        <v>245000</v>
      </c>
    </row>
    <row r="102" spans="1:8" ht="30" thickBot="1" x14ac:dyDescent="0.25">
      <c r="A102" s="65" t="s">
        <v>333</v>
      </c>
      <c r="B102" s="66" t="s">
        <v>295</v>
      </c>
      <c r="C102" s="628"/>
      <c r="D102" s="68" t="s">
        <v>296</v>
      </c>
      <c r="E102" s="68">
        <v>1</v>
      </c>
      <c r="F102" s="68" t="s">
        <v>192</v>
      </c>
      <c r="G102" s="69">
        <v>150000</v>
      </c>
      <c r="H102" s="70">
        <v>150000</v>
      </c>
    </row>
    <row r="103" spans="1:8" ht="13.5" thickBot="1" x14ac:dyDescent="0.25">
      <c r="A103" s="126"/>
      <c r="B103" s="127"/>
      <c r="C103" s="128"/>
      <c r="D103" s="129"/>
      <c r="E103" s="129"/>
      <c r="F103" s="129"/>
      <c r="G103" s="130"/>
      <c r="H103" s="70">
        <f>SUM(H70:H102)</f>
        <v>32710000</v>
      </c>
    </row>
    <row r="104" spans="1:8" ht="87.75" x14ac:dyDescent="0.2">
      <c r="A104" s="632"/>
      <c r="B104" s="74" t="s">
        <v>351</v>
      </c>
      <c r="C104" s="641"/>
      <c r="D104" s="632"/>
      <c r="E104" s="632"/>
      <c r="F104" s="632"/>
      <c r="G104" s="632"/>
      <c r="H104" s="632"/>
    </row>
    <row r="105" spans="1:8" ht="58.5" x14ac:dyDescent="0.2">
      <c r="A105" s="633"/>
      <c r="B105" s="74" t="s">
        <v>352</v>
      </c>
      <c r="C105" s="642"/>
      <c r="D105" s="633"/>
      <c r="E105" s="633"/>
      <c r="F105" s="633"/>
      <c r="G105" s="633"/>
      <c r="H105" s="633"/>
    </row>
    <row r="106" spans="1:8" ht="78.75" thickBot="1" x14ac:dyDescent="0.25">
      <c r="A106" s="634"/>
      <c r="B106" s="66" t="s">
        <v>353</v>
      </c>
      <c r="C106" s="643"/>
      <c r="D106" s="634"/>
      <c r="E106" s="634"/>
      <c r="F106" s="634"/>
      <c r="G106" s="634"/>
      <c r="H106" s="634"/>
    </row>
    <row r="107" spans="1:8" ht="13.5" thickBot="1" x14ac:dyDescent="0.25">
      <c r="A107" s="635"/>
      <c r="B107" s="636"/>
      <c r="C107" s="636"/>
      <c r="D107" s="637"/>
      <c r="E107" s="64"/>
      <c r="F107" s="64"/>
      <c r="G107" s="64"/>
      <c r="H107" s="64"/>
    </row>
    <row r="108" spans="1:8" ht="29.25" x14ac:dyDescent="0.2">
      <c r="A108" s="638">
        <v>8</v>
      </c>
      <c r="B108" s="94" t="s">
        <v>354</v>
      </c>
      <c r="C108" s="626"/>
      <c r="D108" s="632"/>
      <c r="E108" s="599">
        <v>1</v>
      </c>
      <c r="F108" s="620" t="s">
        <v>350</v>
      </c>
      <c r="G108" s="613">
        <v>40735000</v>
      </c>
      <c r="H108" s="613">
        <v>40735000</v>
      </c>
    </row>
    <row r="109" spans="1:8" ht="68.25" x14ac:dyDescent="0.2">
      <c r="A109" s="639"/>
      <c r="B109" s="74" t="s">
        <v>355</v>
      </c>
      <c r="C109" s="627"/>
      <c r="D109" s="633"/>
      <c r="E109" s="600"/>
      <c r="F109" s="621"/>
      <c r="G109" s="614"/>
      <c r="H109" s="614"/>
    </row>
    <row r="110" spans="1:8" ht="136.5" x14ac:dyDescent="0.2">
      <c r="A110" s="639"/>
      <c r="B110" s="74" t="s">
        <v>356</v>
      </c>
      <c r="C110" s="627"/>
      <c r="D110" s="633"/>
      <c r="E110" s="600"/>
      <c r="F110" s="621"/>
      <c r="G110" s="614"/>
      <c r="H110" s="614"/>
    </row>
    <row r="111" spans="1:8" ht="48.75" x14ac:dyDescent="0.2">
      <c r="A111" s="639"/>
      <c r="B111" s="74" t="s">
        <v>357</v>
      </c>
      <c r="C111" s="627"/>
      <c r="D111" s="633"/>
      <c r="E111" s="600"/>
      <c r="F111" s="621"/>
      <c r="G111" s="614"/>
      <c r="H111" s="614"/>
    </row>
    <row r="112" spans="1:8" ht="126.75" x14ac:dyDescent="0.2">
      <c r="A112" s="639"/>
      <c r="B112" s="74" t="s">
        <v>358</v>
      </c>
      <c r="C112" s="627"/>
      <c r="D112" s="633"/>
      <c r="E112" s="600"/>
      <c r="F112" s="621"/>
      <c r="G112" s="614"/>
      <c r="H112" s="614"/>
    </row>
    <row r="113" spans="1:8" ht="97.5" x14ac:dyDescent="0.2">
      <c r="A113" s="639"/>
      <c r="B113" s="74" t="s">
        <v>359</v>
      </c>
      <c r="C113" s="627"/>
      <c r="D113" s="633"/>
      <c r="E113" s="600"/>
      <c r="F113" s="621"/>
      <c r="G113" s="614"/>
      <c r="H113" s="614"/>
    </row>
    <row r="114" spans="1:8" ht="48.75" x14ac:dyDescent="0.2">
      <c r="A114" s="639"/>
      <c r="B114" s="74" t="s">
        <v>360</v>
      </c>
      <c r="C114" s="627"/>
      <c r="D114" s="633"/>
      <c r="E114" s="600"/>
      <c r="F114" s="621"/>
      <c r="G114" s="614"/>
      <c r="H114" s="614"/>
    </row>
    <row r="115" spans="1:8" ht="19.5" x14ac:dyDescent="0.2">
      <c r="A115" s="639"/>
      <c r="B115" s="74" t="s">
        <v>361</v>
      </c>
      <c r="C115" s="627"/>
      <c r="D115" s="633"/>
      <c r="E115" s="600"/>
      <c r="F115" s="621"/>
      <c r="G115" s="614"/>
      <c r="H115" s="614"/>
    </row>
    <row r="116" spans="1:8" ht="107.25" x14ac:dyDescent="0.2">
      <c r="A116" s="639"/>
      <c r="B116" s="74" t="s">
        <v>362</v>
      </c>
      <c r="C116" s="627"/>
      <c r="D116" s="633"/>
      <c r="E116" s="600"/>
      <c r="F116" s="621"/>
      <c r="G116" s="614"/>
      <c r="H116" s="614"/>
    </row>
    <row r="117" spans="1:8" ht="68.25" x14ac:dyDescent="0.2">
      <c r="A117" s="639"/>
      <c r="B117" s="74" t="s">
        <v>363</v>
      </c>
      <c r="C117" s="627"/>
      <c r="D117" s="633"/>
      <c r="E117" s="600"/>
      <c r="F117" s="621"/>
      <c r="G117" s="614"/>
      <c r="H117" s="614"/>
    </row>
    <row r="118" spans="1:8" ht="39.75" thickBot="1" x14ac:dyDescent="0.25">
      <c r="A118" s="640"/>
      <c r="B118" s="66" t="s">
        <v>364</v>
      </c>
      <c r="C118" s="628"/>
      <c r="D118" s="634"/>
      <c r="E118" s="601"/>
      <c r="F118" s="622"/>
      <c r="G118" s="615"/>
      <c r="H118" s="615"/>
    </row>
    <row r="119" spans="1:8" ht="13.5" thickBot="1" x14ac:dyDescent="0.25">
      <c r="A119" s="635"/>
      <c r="B119" s="636"/>
      <c r="C119" s="636"/>
      <c r="D119" s="637"/>
      <c r="E119" s="64"/>
      <c r="F119" s="64"/>
      <c r="G119" s="64"/>
      <c r="H119" s="64"/>
    </row>
    <row r="120" spans="1:8" ht="58.5" x14ac:dyDescent="0.2">
      <c r="A120" s="638">
        <v>9</v>
      </c>
      <c r="B120" s="94" t="s">
        <v>365</v>
      </c>
      <c r="C120" s="97"/>
      <c r="D120" s="632"/>
      <c r="E120" s="599">
        <v>1</v>
      </c>
      <c r="F120" s="613" t="s">
        <v>350</v>
      </c>
      <c r="G120" s="613">
        <v>12000000</v>
      </c>
      <c r="H120" s="613">
        <v>12000000</v>
      </c>
    </row>
    <row r="121" spans="1:8" ht="39" x14ac:dyDescent="0.2">
      <c r="A121" s="639"/>
      <c r="B121" s="74" t="s">
        <v>366</v>
      </c>
      <c r="C121" s="75"/>
      <c r="D121" s="633"/>
      <c r="E121" s="600"/>
      <c r="F121" s="614"/>
      <c r="G121" s="614"/>
      <c r="H121" s="614"/>
    </row>
    <row r="122" spans="1:8" ht="97.5" x14ac:dyDescent="0.2">
      <c r="A122" s="639"/>
      <c r="B122" s="74" t="s">
        <v>367</v>
      </c>
      <c r="C122" s="98"/>
      <c r="D122" s="633"/>
      <c r="E122" s="600"/>
      <c r="F122" s="614"/>
      <c r="G122" s="614"/>
      <c r="H122" s="614"/>
    </row>
    <row r="123" spans="1:8" ht="19.5" x14ac:dyDescent="0.2">
      <c r="A123" s="639"/>
      <c r="B123" s="74" t="s">
        <v>368</v>
      </c>
      <c r="C123" s="99" t="s">
        <v>44</v>
      </c>
      <c r="D123" s="633"/>
      <c r="E123" s="600"/>
      <c r="F123" s="614"/>
      <c r="G123" s="614"/>
      <c r="H123" s="614"/>
    </row>
    <row r="124" spans="1:8" ht="165.75" x14ac:dyDescent="0.2">
      <c r="A124" s="639"/>
      <c r="B124" s="74" t="s">
        <v>369</v>
      </c>
      <c r="C124" s="84"/>
      <c r="D124" s="633"/>
      <c r="E124" s="600"/>
      <c r="F124" s="614"/>
      <c r="G124" s="614"/>
      <c r="H124" s="614"/>
    </row>
    <row r="125" spans="1:8" ht="78" x14ac:dyDescent="0.2">
      <c r="A125" s="639"/>
      <c r="B125" s="74" t="s">
        <v>370</v>
      </c>
      <c r="C125" s="84"/>
      <c r="D125" s="633"/>
      <c r="E125" s="600"/>
      <c r="F125" s="614"/>
      <c r="G125" s="614"/>
      <c r="H125" s="614"/>
    </row>
    <row r="126" spans="1:8" ht="59.25" thickBot="1" x14ac:dyDescent="0.25">
      <c r="A126" s="639"/>
      <c r="B126" s="66" t="s">
        <v>371</v>
      </c>
      <c r="C126" s="84"/>
      <c r="D126" s="633"/>
      <c r="E126" s="600"/>
      <c r="F126" s="614"/>
      <c r="G126" s="614"/>
      <c r="H126" s="614"/>
    </row>
    <row r="127" spans="1:8" ht="13.5" thickBot="1" x14ac:dyDescent="0.25">
      <c r="A127" s="639"/>
      <c r="B127" s="66"/>
      <c r="C127" s="84"/>
      <c r="D127" s="633"/>
      <c r="E127" s="600"/>
      <c r="F127" s="614"/>
      <c r="G127" s="614"/>
      <c r="H127" s="614"/>
    </row>
    <row r="128" spans="1:8" ht="13.5" thickBot="1" x14ac:dyDescent="0.25">
      <c r="A128" s="640"/>
      <c r="B128" s="73"/>
      <c r="C128" s="85"/>
      <c r="D128" s="634"/>
      <c r="E128" s="601"/>
      <c r="F128" s="615"/>
      <c r="G128" s="615"/>
      <c r="H128" s="615"/>
    </row>
    <row r="129" spans="1:8" ht="13.5" thickBot="1" x14ac:dyDescent="0.25">
      <c r="A129" s="137"/>
      <c r="B129" s="103"/>
      <c r="C129" s="138"/>
      <c r="D129" s="103"/>
      <c r="E129" s="129"/>
      <c r="F129" s="139"/>
      <c r="G129" s="139"/>
      <c r="H129" s="70">
        <f>SUM(H104:H128)</f>
        <v>52735000</v>
      </c>
    </row>
    <row r="130" spans="1:8" ht="59.25" thickBot="1" x14ac:dyDescent="0.25">
      <c r="A130" s="100">
        <v>11</v>
      </c>
      <c r="B130" s="101" t="s">
        <v>380</v>
      </c>
      <c r="C130" s="73"/>
      <c r="D130" s="73"/>
      <c r="E130" s="73"/>
      <c r="F130" s="73"/>
      <c r="G130" s="73"/>
      <c r="H130" s="73"/>
    </row>
    <row r="131" spans="1:8" ht="20.25" thickBot="1" x14ac:dyDescent="0.25">
      <c r="A131" s="65">
        <v>11.1</v>
      </c>
      <c r="B131" s="66" t="s">
        <v>381</v>
      </c>
      <c r="C131" s="650"/>
      <c r="D131" s="68" t="s">
        <v>382</v>
      </c>
      <c r="E131" s="66">
        <v>22</v>
      </c>
      <c r="F131" s="68" t="s">
        <v>192</v>
      </c>
      <c r="G131" s="68">
        <v>280000</v>
      </c>
      <c r="H131" s="68">
        <v>6160000</v>
      </c>
    </row>
    <row r="132" spans="1:8" ht="20.25" thickBot="1" x14ac:dyDescent="0.25">
      <c r="A132" s="65">
        <v>11.2</v>
      </c>
      <c r="B132" s="66" t="s">
        <v>383</v>
      </c>
      <c r="C132" s="651"/>
      <c r="D132" s="68" t="s">
        <v>382</v>
      </c>
      <c r="E132" s="70">
        <v>7</v>
      </c>
      <c r="F132" s="68" t="s">
        <v>192</v>
      </c>
      <c r="G132" s="68">
        <v>180000</v>
      </c>
      <c r="H132" s="68">
        <v>1260000</v>
      </c>
    </row>
    <row r="133" spans="1:8" ht="20.25" thickBot="1" x14ac:dyDescent="0.25">
      <c r="A133" s="65">
        <v>11.3</v>
      </c>
      <c r="B133" s="66" t="s">
        <v>381</v>
      </c>
      <c r="C133" s="651"/>
      <c r="D133" s="68" t="s">
        <v>384</v>
      </c>
      <c r="E133" s="70">
        <v>3</v>
      </c>
      <c r="F133" s="68" t="s">
        <v>192</v>
      </c>
      <c r="G133" s="68">
        <v>145000</v>
      </c>
      <c r="H133" s="68">
        <v>435000</v>
      </c>
    </row>
    <row r="134" spans="1:8" ht="20.25" thickBot="1" x14ac:dyDescent="0.25">
      <c r="A134" s="65">
        <v>11.4</v>
      </c>
      <c r="B134" s="66" t="s">
        <v>383</v>
      </c>
      <c r="C134" s="651"/>
      <c r="D134" s="68" t="s">
        <v>384</v>
      </c>
      <c r="E134" s="70">
        <v>1</v>
      </c>
      <c r="F134" s="68" t="s">
        <v>192</v>
      </c>
      <c r="G134" s="68">
        <v>85000</v>
      </c>
      <c r="H134" s="68">
        <v>85000</v>
      </c>
    </row>
    <row r="135" spans="1:8" ht="13.5" thickBot="1" x14ac:dyDescent="0.25">
      <c r="A135" s="65">
        <v>11.5</v>
      </c>
      <c r="B135" s="66" t="s">
        <v>385</v>
      </c>
      <c r="C135" s="651"/>
      <c r="D135" s="68" t="s">
        <v>386</v>
      </c>
      <c r="E135" s="70">
        <v>4</v>
      </c>
      <c r="F135" s="68" t="s">
        <v>192</v>
      </c>
      <c r="G135" s="68">
        <v>55000</v>
      </c>
      <c r="H135" s="68">
        <v>220000</v>
      </c>
    </row>
    <row r="136" spans="1:8" ht="13.5" thickBot="1" x14ac:dyDescent="0.25">
      <c r="A136" s="65">
        <v>11.6</v>
      </c>
      <c r="B136" s="66" t="s">
        <v>385</v>
      </c>
      <c r="C136" s="651"/>
      <c r="D136" s="68" t="s">
        <v>387</v>
      </c>
      <c r="E136" s="70">
        <v>6</v>
      </c>
      <c r="F136" s="68" t="s">
        <v>192</v>
      </c>
      <c r="G136" s="68">
        <v>35000</v>
      </c>
      <c r="H136" s="68">
        <v>210000</v>
      </c>
    </row>
    <row r="137" spans="1:8" ht="13.5" thickBot="1" x14ac:dyDescent="0.25">
      <c r="A137" s="65">
        <v>11.7</v>
      </c>
      <c r="B137" s="66" t="s">
        <v>388</v>
      </c>
      <c r="C137" s="651"/>
      <c r="D137" s="68" t="s">
        <v>389</v>
      </c>
      <c r="E137" s="66">
        <v>10</v>
      </c>
      <c r="F137" s="68" t="s">
        <v>192</v>
      </c>
      <c r="G137" s="68">
        <v>8500</v>
      </c>
      <c r="H137" s="68">
        <v>85000</v>
      </c>
    </row>
    <row r="138" spans="1:8" ht="20.25" thickBot="1" x14ac:dyDescent="0.25">
      <c r="A138" s="65">
        <v>11.8</v>
      </c>
      <c r="B138" s="66" t="s">
        <v>390</v>
      </c>
      <c r="C138" s="651"/>
      <c r="D138" s="68" t="s">
        <v>391</v>
      </c>
      <c r="E138" s="66">
        <v>10</v>
      </c>
      <c r="F138" s="68" t="s">
        <v>192</v>
      </c>
      <c r="G138" s="68">
        <v>15000</v>
      </c>
      <c r="H138" s="68">
        <v>150000</v>
      </c>
    </row>
    <row r="139" spans="1:8" ht="13.5" thickBot="1" x14ac:dyDescent="0.25">
      <c r="A139" s="65">
        <v>11.9</v>
      </c>
      <c r="B139" s="66" t="s">
        <v>392</v>
      </c>
      <c r="C139" s="651"/>
      <c r="D139" s="68" t="s">
        <v>389</v>
      </c>
      <c r="E139" s="70">
        <v>4</v>
      </c>
      <c r="F139" s="68" t="s">
        <v>192</v>
      </c>
      <c r="G139" s="68">
        <v>7000</v>
      </c>
      <c r="H139" s="68">
        <v>28000</v>
      </c>
    </row>
    <row r="140" spans="1:8" ht="20.25" thickBot="1" x14ac:dyDescent="0.25">
      <c r="A140" s="65">
        <v>11.1</v>
      </c>
      <c r="B140" s="66" t="s">
        <v>393</v>
      </c>
      <c r="C140" s="651"/>
      <c r="D140" s="68" t="s">
        <v>389</v>
      </c>
      <c r="E140" s="66">
        <v>25</v>
      </c>
      <c r="F140" s="68" t="s">
        <v>192</v>
      </c>
      <c r="G140" s="68">
        <v>45000</v>
      </c>
      <c r="H140" s="68">
        <v>1125000</v>
      </c>
    </row>
    <row r="141" spans="1:8" ht="30" thickBot="1" x14ac:dyDescent="0.25">
      <c r="A141" s="65">
        <v>11.11</v>
      </c>
      <c r="B141" s="66" t="s">
        <v>394</v>
      </c>
      <c r="C141" s="651"/>
      <c r="D141" s="68" t="s">
        <v>389</v>
      </c>
      <c r="E141" s="66">
        <v>20</v>
      </c>
      <c r="F141" s="68" t="s">
        <v>192</v>
      </c>
      <c r="G141" s="68">
        <v>95000</v>
      </c>
      <c r="H141" s="68">
        <v>1900000</v>
      </c>
    </row>
    <row r="142" spans="1:8" ht="20.25" thickBot="1" x14ac:dyDescent="0.25">
      <c r="A142" s="65">
        <v>11.12</v>
      </c>
      <c r="B142" s="66" t="s">
        <v>395</v>
      </c>
      <c r="C142" s="651"/>
      <c r="D142" s="68" t="s">
        <v>389</v>
      </c>
      <c r="E142" s="66">
        <v>20</v>
      </c>
      <c r="F142" s="68" t="s">
        <v>192</v>
      </c>
      <c r="G142" s="68">
        <v>50000</v>
      </c>
      <c r="H142" s="68">
        <v>1000000</v>
      </c>
    </row>
    <row r="143" spans="1:8" ht="30" thickBot="1" x14ac:dyDescent="0.25">
      <c r="A143" s="65">
        <v>11.13</v>
      </c>
      <c r="B143" s="66" t="s">
        <v>396</v>
      </c>
      <c r="C143" s="651"/>
      <c r="D143" s="68" t="s">
        <v>389</v>
      </c>
      <c r="E143" s="70">
        <v>3</v>
      </c>
      <c r="F143" s="68" t="s">
        <v>192</v>
      </c>
      <c r="G143" s="68">
        <v>300000</v>
      </c>
      <c r="H143" s="68">
        <v>900000</v>
      </c>
    </row>
    <row r="144" spans="1:8" ht="30" thickBot="1" x14ac:dyDescent="0.25">
      <c r="A144" s="65">
        <v>11.14</v>
      </c>
      <c r="B144" s="66" t="s">
        <v>397</v>
      </c>
      <c r="C144" s="651"/>
      <c r="D144" s="68" t="s">
        <v>389</v>
      </c>
      <c r="E144" s="66">
        <v>10</v>
      </c>
      <c r="F144" s="68" t="s">
        <v>192</v>
      </c>
      <c r="G144" s="68">
        <v>7500</v>
      </c>
      <c r="H144" s="68">
        <v>75000</v>
      </c>
    </row>
    <row r="145" spans="1:8" ht="78.75" thickBot="1" x14ac:dyDescent="0.25">
      <c r="A145" s="65">
        <v>11.15</v>
      </c>
      <c r="B145" s="66" t="s">
        <v>398</v>
      </c>
      <c r="C145" s="651"/>
      <c r="D145" s="68" t="s">
        <v>389</v>
      </c>
      <c r="E145" s="70">
        <v>1</v>
      </c>
      <c r="F145" s="68" t="s">
        <v>341</v>
      </c>
      <c r="G145" s="68">
        <v>125000</v>
      </c>
      <c r="H145" s="68">
        <v>125000</v>
      </c>
    </row>
    <row r="146" spans="1:8" ht="13.5" thickBot="1" x14ac:dyDescent="0.25">
      <c r="A146" s="65">
        <v>11.16</v>
      </c>
      <c r="B146" s="66" t="s">
        <v>399</v>
      </c>
      <c r="C146" s="651"/>
      <c r="D146" s="68" t="s">
        <v>389</v>
      </c>
      <c r="E146" s="66">
        <v>25</v>
      </c>
      <c r="F146" s="68" t="s">
        <v>192</v>
      </c>
      <c r="G146" s="68">
        <v>12000</v>
      </c>
      <c r="H146" s="68">
        <v>300000</v>
      </c>
    </row>
    <row r="147" spans="1:8" ht="30" thickBot="1" x14ac:dyDescent="0.25">
      <c r="A147" s="65">
        <v>11.17</v>
      </c>
      <c r="B147" s="66" t="s">
        <v>400</v>
      </c>
      <c r="C147" s="651"/>
      <c r="D147" s="68" t="s">
        <v>401</v>
      </c>
      <c r="E147" s="66">
        <v>300</v>
      </c>
      <c r="F147" s="68" t="s">
        <v>192</v>
      </c>
      <c r="G147" s="68">
        <v>3000</v>
      </c>
      <c r="H147" s="68">
        <v>900000</v>
      </c>
    </row>
    <row r="148" spans="1:8" ht="39.75" thickBot="1" x14ac:dyDescent="0.25">
      <c r="A148" s="65">
        <v>11.18</v>
      </c>
      <c r="B148" s="66" t="s">
        <v>402</v>
      </c>
      <c r="C148" s="651"/>
      <c r="D148" s="68" t="s">
        <v>389</v>
      </c>
      <c r="E148" s="70">
        <v>1</v>
      </c>
      <c r="F148" s="68" t="s">
        <v>341</v>
      </c>
      <c r="G148" s="68">
        <v>3000000</v>
      </c>
      <c r="H148" s="68">
        <v>3000000</v>
      </c>
    </row>
    <row r="149" spans="1:8" ht="39.75" thickBot="1" x14ac:dyDescent="0.25">
      <c r="A149" s="65">
        <v>11.19</v>
      </c>
      <c r="B149" s="66" t="s">
        <v>403</v>
      </c>
      <c r="C149" s="652"/>
      <c r="D149" s="68" t="s">
        <v>389</v>
      </c>
      <c r="E149" s="70">
        <v>6</v>
      </c>
      <c r="F149" s="68" t="s">
        <v>192</v>
      </c>
      <c r="G149" s="68">
        <v>85000</v>
      </c>
      <c r="H149" s="68">
        <v>510000</v>
      </c>
    </row>
    <row r="150" spans="1:8" ht="13.5" thickBot="1" x14ac:dyDescent="0.25">
      <c r="A150" s="126"/>
      <c r="B150" s="127"/>
      <c r="C150" s="140"/>
      <c r="D150" s="129"/>
      <c r="E150" s="139"/>
      <c r="F150" s="129"/>
      <c r="G150" s="129"/>
      <c r="H150" s="68">
        <f>SUM(H131:H149)</f>
        <v>18468000</v>
      </c>
    </row>
    <row r="151" spans="1:8" ht="13.5" thickBot="1" x14ac:dyDescent="0.25">
      <c r="A151" s="93"/>
      <c r="B151" s="64"/>
      <c r="C151" s="64"/>
      <c r="D151" s="64"/>
      <c r="E151" s="64"/>
      <c r="F151" s="64"/>
      <c r="G151" s="64"/>
      <c r="H151" s="64"/>
    </row>
    <row r="152" spans="1:8" ht="114.75" customHeight="1" x14ac:dyDescent="0.2">
      <c r="A152" s="638">
        <v>14</v>
      </c>
      <c r="B152" s="644" t="s">
        <v>406</v>
      </c>
      <c r="C152" s="647"/>
      <c r="D152" s="632"/>
      <c r="E152" s="86"/>
      <c r="F152" s="86"/>
      <c r="G152" s="86"/>
      <c r="H152" s="86"/>
    </row>
    <row r="153" spans="1:8" x14ac:dyDescent="0.2">
      <c r="A153" s="639"/>
      <c r="B153" s="645"/>
      <c r="C153" s="648"/>
      <c r="D153" s="633"/>
      <c r="E153" s="86"/>
      <c r="F153" s="86"/>
      <c r="G153" s="86"/>
      <c r="H153" s="86"/>
    </row>
    <row r="154" spans="1:8" x14ac:dyDescent="0.2">
      <c r="A154" s="639"/>
      <c r="B154" s="645"/>
      <c r="C154" s="648"/>
      <c r="D154" s="633"/>
      <c r="E154" s="86"/>
      <c r="F154" s="86"/>
      <c r="G154" s="86"/>
      <c r="H154" s="86"/>
    </row>
    <row r="155" spans="1:8" x14ac:dyDescent="0.2">
      <c r="A155" s="639"/>
      <c r="B155" s="645"/>
      <c r="C155" s="648"/>
      <c r="D155" s="633"/>
      <c r="E155" s="86"/>
      <c r="F155" s="86"/>
      <c r="G155" s="86"/>
      <c r="H155" s="86"/>
    </row>
    <row r="156" spans="1:8" x14ac:dyDescent="0.2">
      <c r="A156" s="639"/>
      <c r="B156" s="645"/>
      <c r="C156" s="648"/>
      <c r="D156" s="633"/>
      <c r="E156" s="86"/>
      <c r="F156" s="86"/>
      <c r="G156" s="86"/>
      <c r="H156" s="86"/>
    </row>
    <row r="157" spans="1:8" x14ac:dyDescent="0.2">
      <c r="A157" s="639"/>
      <c r="B157" s="645"/>
      <c r="C157" s="648"/>
      <c r="D157" s="633"/>
      <c r="E157" s="86"/>
      <c r="F157" s="86"/>
      <c r="G157" s="86"/>
      <c r="H157" s="86"/>
    </row>
    <row r="158" spans="1:8" x14ac:dyDescent="0.2">
      <c r="A158" s="639"/>
      <c r="B158" s="645"/>
      <c r="C158" s="648"/>
      <c r="D158" s="633"/>
      <c r="E158" s="104"/>
      <c r="F158" s="104"/>
      <c r="G158" s="86"/>
      <c r="H158" s="104"/>
    </row>
    <row r="159" spans="1:8" ht="13.5" thickBot="1" x14ac:dyDescent="0.25">
      <c r="A159" s="640"/>
      <c r="B159" s="646"/>
      <c r="C159" s="649"/>
      <c r="D159" s="634"/>
      <c r="E159" s="68">
        <v>1</v>
      </c>
      <c r="F159" s="68" t="s">
        <v>350</v>
      </c>
      <c r="G159" s="68">
        <v>9075000</v>
      </c>
      <c r="H159" s="69">
        <v>9075000</v>
      </c>
    </row>
    <row r="160" spans="1:8" ht="114.75" customHeight="1" x14ac:dyDescent="0.2">
      <c r="A160" s="638">
        <v>15</v>
      </c>
      <c r="B160" s="644" t="s">
        <v>407</v>
      </c>
      <c r="C160" s="632"/>
      <c r="D160" s="632"/>
      <c r="E160" s="86"/>
      <c r="F160" s="86"/>
      <c r="G160" s="86"/>
      <c r="H160" s="86"/>
    </row>
    <row r="161" spans="1:8" x14ac:dyDescent="0.2">
      <c r="A161" s="639"/>
      <c r="B161" s="645"/>
      <c r="C161" s="633"/>
      <c r="D161" s="633"/>
      <c r="E161" s="86"/>
      <c r="F161" s="86"/>
      <c r="G161" s="86"/>
      <c r="H161" s="86"/>
    </row>
    <row r="162" spans="1:8" x14ac:dyDescent="0.2">
      <c r="A162" s="639"/>
      <c r="B162" s="645"/>
      <c r="C162" s="633"/>
      <c r="D162" s="633"/>
      <c r="E162" s="86"/>
      <c r="F162" s="86"/>
      <c r="G162" s="86"/>
      <c r="H162" s="86"/>
    </row>
    <row r="163" spans="1:8" x14ac:dyDescent="0.2">
      <c r="A163" s="639"/>
      <c r="B163" s="645"/>
      <c r="C163" s="633"/>
      <c r="D163" s="633"/>
      <c r="E163" s="86"/>
      <c r="F163" s="86"/>
      <c r="G163" s="86"/>
      <c r="H163" s="86"/>
    </row>
    <row r="164" spans="1:8" x14ac:dyDescent="0.2">
      <c r="A164" s="639"/>
      <c r="B164" s="645"/>
      <c r="C164" s="633"/>
      <c r="D164" s="633"/>
      <c r="E164" s="86"/>
      <c r="F164" s="86"/>
      <c r="G164" s="86"/>
      <c r="H164" s="86"/>
    </row>
    <row r="165" spans="1:8" x14ac:dyDescent="0.2">
      <c r="A165" s="639"/>
      <c r="B165" s="645"/>
      <c r="C165" s="633"/>
      <c r="D165" s="633"/>
      <c r="E165" s="86"/>
      <c r="F165" s="86"/>
      <c r="G165" s="86"/>
      <c r="H165" s="86"/>
    </row>
    <row r="166" spans="1:8" x14ac:dyDescent="0.2">
      <c r="A166" s="639"/>
      <c r="B166" s="645"/>
      <c r="C166" s="633"/>
      <c r="D166" s="633"/>
      <c r="E166" s="104"/>
      <c r="F166" s="104"/>
      <c r="G166" s="86"/>
      <c r="H166" s="104"/>
    </row>
    <row r="167" spans="1:8" ht="13.5" thickBot="1" x14ac:dyDescent="0.25">
      <c r="A167" s="640"/>
      <c r="B167" s="646"/>
      <c r="C167" s="634"/>
      <c r="D167" s="634"/>
      <c r="E167" s="68">
        <v>1</v>
      </c>
      <c r="F167" s="68" t="s">
        <v>350</v>
      </c>
      <c r="G167" s="68">
        <v>7575000</v>
      </c>
      <c r="H167" s="69">
        <v>7575000</v>
      </c>
    </row>
    <row r="168" spans="1:8" ht="75.75" customHeight="1" x14ac:dyDescent="0.2">
      <c r="A168" s="638">
        <v>16</v>
      </c>
      <c r="B168" s="644" t="s">
        <v>408</v>
      </c>
      <c r="C168" s="632"/>
      <c r="D168" s="632"/>
      <c r="E168" s="86"/>
      <c r="F168" s="86"/>
      <c r="G168" s="86"/>
      <c r="H168" s="86"/>
    </row>
    <row r="169" spans="1:8" x14ac:dyDescent="0.2">
      <c r="A169" s="639"/>
      <c r="B169" s="645"/>
      <c r="C169" s="633"/>
      <c r="D169" s="633"/>
      <c r="E169" s="86"/>
      <c r="F169" s="86"/>
      <c r="G169" s="86"/>
      <c r="H169" s="86"/>
    </row>
    <row r="170" spans="1:8" x14ac:dyDescent="0.2">
      <c r="A170" s="639"/>
      <c r="B170" s="645"/>
      <c r="C170" s="633"/>
      <c r="D170" s="633"/>
      <c r="E170" s="86"/>
      <c r="F170" s="86"/>
      <c r="G170" s="86"/>
      <c r="H170" s="86"/>
    </row>
    <row r="171" spans="1:8" x14ac:dyDescent="0.2">
      <c r="A171" s="639"/>
      <c r="B171" s="645"/>
      <c r="C171" s="633"/>
      <c r="D171" s="633"/>
      <c r="E171" s="86"/>
      <c r="F171" s="86"/>
      <c r="G171" s="86"/>
      <c r="H171" s="86"/>
    </row>
    <row r="172" spans="1:8" x14ac:dyDescent="0.2">
      <c r="A172" s="639"/>
      <c r="B172" s="645"/>
      <c r="C172" s="633"/>
      <c r="D172" s="633"/>
      <c r="E172" s="86"/>
      <c r="F172" s="86"/>
      <c r="G172" s="86"/>
      <c r="H172" s="86"/>
    </row>
    <row r="173" spans="1:8" x14ac:dyDescent="0.2">
      <c r="A173" s="639"/>
      <c r="B173" s="645"/>
      <c r="C173" s="633"/>
      <c r="D173" s="633"/>
      <c r="E173" s="86"/>
      <c r="F173" s="86"/>
      <c r="G173" s="86"/>
      <c r="H173" s="86"/>
    </row>
    <row r="174" spans="1:8" x14ac:dyDescent="0.2">
      <c r="A174" s="639"/>
      <c r="B174" s="645"/>
      <c r="C174" s="633"/>
      <c r="D174" s="633"/>
      <c r="E174" s="104"/>
      <c r="F174" s="104"/>
      <c r="G174" s="86"/>
      <c r="H174" s="104"/>
    </row>
    <row r="175" spans="1:8" ht="13.5" thickBot="1" x14ac:dyDescent="0.25">
      <c r="A175" s="640"/>
      <c r="B175" s="646"/>
      <c r="C175" s="634"/>
      <c r="D175" s="634"/>
      <c r="E175" s="68">
        <v>1</v>
      </c>
      <c r="F175" s="68" t="s">
        <v>350</v>
      </c>
      <c r="G175" s="68">
        <v>5575000</v>
      </c>
      <c r="H175" s="69">
        <v>5575000</v>
      </c>
    </row>
    <row r="176" spans="1:8" ht="13.5" thickBot="1" x14ac:dyDescent="0.25">
      <c r="A176" s="93"/>
      <c r="B176" s="64"/>
      <c r="C176" s="106"/>
      <c r="D176" s="106"/>
      <c r="E176" s="64"/>
      <c r="F176" s="64"/>
      <c r="G176" s="64"/>
      <c r="H176" s="64">
        <f>SUM(H151:H175)</f>
        <v>22225000</v>
      </c>
    </row>
    <row r="177" spans="1:8" ht="17.25" customHeight="1" x14ac:dyDescent="0.2">
      <c r="A177" s="638">
        <v>17</v>
      </c>
      <c r="B177" s="644" t="s">
        <v>409</v>
      </c>
      <c r="C177" s="653"/>
      <c r="D177" s="656"/>
      <c r="E177" s="86"/>
      <c r="F177" s="86"/>
      <c r="G177" s="86"/>
      <c r="H177" s="86"/>
    </row>
    <row r="178" spans="1:8" x14ac:dyDescent="0.2">
      <c r="A178" s="639"/>
      <c r="B178" s="645"/>
      <c r="C178" s="654"/>
      <c r="D178" s="657"/>
      <c r="E178" s="86"/>
      <c r="F178" s="86"/>
      <c r="G178" s="86"/>
      <c r="H178" s="86"/>
    </row>
    <row r="179" spans="1:8" x14ac:dyDescent="0.2">
      <c r="A179" s="639"/>
      <c r="B179" s="645"/>
      <c r="C179" s="654"/>
      <c r="D179" s="657"/>
      <c r="E179" s="86"/>
      <c r="F179" s="86"/>
      <c r="G179" s="86"/>
      <c r="H179" s="86"/>
    </row>
    <row r="180" spans="1:8" x14ac:dyDescent="0.2">
      <c r="A180" s="639"/>
      <c r="B180" s="645"/>
      <c r="C180" s="654"/>
      <c r="D180" s="657"/>
      <c r="E180" s="86"/>
      <c r="F180" s="86"/>
      <c r="G180" s="86"/>
      <c r="H180" s="86"/>
    </row>
    <row r="181" spans="1:8" x14ac:dyDescent="0.2">
      <c r="A181" s="639"/>
      <c r="B181" s="645"/>
      <c r="C181" s="654"/>
      <c r="D181" s="657"/>
      <c r="E181" s="86"/>
      <c r="F181" s="86"/>
      <c r="G181" s="86"/>
      <c r="H181" s="86"/>
    </row>
    <row r="182" spans="1:8" x14ac:dyDescent="0.2">
      <c r="A182" s="639"/>
      <c r="B182" s="645"/>
      <c r="C182" s="654"/>
      <c r="D182" s="657"/>
      <c r="E182" s="86"/>
      <c r="F182" s="86"/>
      <c r="G182" s="86"/>
      <c r="H182" s="86"/>
    </row>
    <row r="183" spans="1:8" x14ac:dyDescent="0.2">
      <c r="A183" s="639"/>
      <c r="B183" s="645"/>
      <c r="C183" s="654"/>
      <c r="D183" s="657"/>
      <c r="E183" s="104"/>
      <c r="F183" s="104"/>
      <c r="G183" s="86"/>
      <c r="H183" s="104"/>
    </row>
    <row r="184" spans="1:8" ht="13.5" thickBot="1" x14ac:dyDescent="0.25">
      <c r="A184" s="640"/>
      <c r="B184" s="646"/>
      <c r="C184" s="655"/>
      <c r="D184" s="658"/>
      <c r="E184" s="68">
        <v>1</v>
      </c>
      <c r="F184" s="68" t="s">
        <v>350</v>
      </c>
      <c r="G184" s="70">
        <v>4500000</v>
      </c>
      <c r="H184" s="68">
        <v>4500000</v>
      </c>
    </row>
    <row r="185" spans="1:8" ht="13.5" thickBot="1" x14ac:dyDescent="0.25">
      <c r="A185" s="107"/>
      <c r="B185" s="108"/>
      <c r="C185" s="108"/>
      <c r="D185" s="108"/>
      <c r="E185" s="108"/>
      <c r="F185" s="108"/>
      <c r="G185" s="108"/>
      <c r="H185" s="108"/>
    </row>
    <row r="186" spans="1:8" x14ac:dyDescent="0.2">
      <c r="A186" s="638">
        <v>18</v>
      </c>
      <c r="B186" s="644" t="s">
        <v>410</v>
      </c>
      <c r="C186" s="641"/>
      <c r="D186" s="656"/>
      <c r="E186" s="86"/>
      <c r="F186" s="86"/>
      <c r="G186" s="86"/>
      <c r="H186" s="86"/>
    </row>
    <row r="187" spans="1:8" x14ac:dyDescent="0.2">
      <c r="A187" s="639"/>
      <c r="B187" s="645"/>
      <c r="C187" s="642"/>
      <c r="D187" s="657"/>
      <c r="E187" s="86"/>
      <c r="F187" s="86"/>
      <c r="G187" s="86"/>
      <c r="H187" s="86"/>
    </row>
    <row r="188" spans="1:8" x14ac:dyDescent="0.2">
      <c r="A188" s="639"/>
      <c r="B188" s="645"/>
      <c r="C188" s="642"/>
      <c r="D188" s="657"/>
      <c r="E188" s="86"/>
      <c r="F188" s="86"/>
      <c r="G188" s="86"/>
      <c r="H188" s="86"/>
    </row>
    <row r="189" spans="1:8" x14ac:dyDescent="0.2">
      <c r="A189" s="639"/>
      <c r="B189" s="645"/>
      <c r="C189" s="642"/>
      <c r="D189" s="657"/>
      <c r="E189" s="86"/>
      <c r="F189" s="86"/>
      <c r="G189" s="86"/>
      <c r="H189" s="86"/>
    </row>
    <row r="190" spans="1:8" x14ac:dyDescent="0.2">
      <c r="A190" s="639"/>
      <c r="B190" s="645"/>
      <c r="C190" s="642"/>
      <c r="D190" s="657"/>
      <c r="E190" s="86"/>
      <c r="F190" s="86"/>
      <c r="G190" s="86"/>
      <c r="H190" s="86"/>
    </row>
    <row r="191" spans="1:8" x14ac:dyDescent="0.2">
      <c r="A191" s="639"/>
      <c r="B191" s="645"/>
      <c r="C191" s="642"/>
      <c r="D191" s="657"/>
      <c r="E191" s="86"/>
      <c r="F191" s="86"/>
      <c r="G191" s="86"/>
      <c r="H191" s="86"/>
    </row>
    <row r="192" spans="1:8" x14ac:dyDescent="0.2">
      <c r="A192" s="639"/>
      <c r="B192" s="645"/>
      <c r="C192" s="642"/>
      <c r="D192" s="657"/>
      <c r="E192" s="104"/>
      <c r="F192" s="104"/>
      <c r="G192" s="86"/>
      <c r="H192" s="104"/>
    </row>
    <row r="193" spans="1:9" ht="13.5" thickBot="1" x14ac:dyDescent="0.25">
      <c r="A193" s="640"/>
      <c r="B193" s="646"/>
      <c r="C193" s="643"/>
      <c r="D193" s="658"/>
      <c r="E193" s="68">
        <v>2</v>
      </c>
      <c r="F193" s="68" t="s">
        <v>411</v>
      </c>
      <c r="G193" s="70">
        <v>4940000</v>
      </c>
      <c r="H193" s="68">
        <v>9880000</v>
      </c>
    </row>
    <row r="194" spans="1:9" ht="13.5" thickBot="1" x14ac:dyDescent="0.25">
      <c r="A194" s="107"/>
      <c r="B194" s="108"/>
      <c r="C194" s="108"/>
      <c r="D194" s="108"/>
      <c r="E194" s="108"/>
      <c r="F194" s="108"/>
      <c r="G194" s="108"/>
      <c r="H194" s="108"/>
    </row>
    <row r="195" spans="1:9" ht="30" thickBot="1" x14ac:dyDescent="0.25">
      <c r="A195" s="100">
        <v>19</v>
      </c>
      <c r="B195" s="101" t="s">
        <v>412</v>
      </c>
      <c r="C195" s="109"/>
      <c r="D195" s="109"/>
      <c r="E195" s="68">
        <v>1</v>
      </c>
      <c r="F195" s="68" t="s">
        <v>177</v>
      </c>
      <c r="G195" s="70">
        <v>450000</v>
      </c>
      <c r="H195" s="68">
        <v>450000</v>
      </c>
    </row>
    <row r="196" spans="1:9" ht="13.5" thickBot="1" x14ac:dyDescent="0.25">
      <c r="A196" s="110"/>
      <c r="B196" s="109"/>
      <c r="C196" s="109"/>
      <c r="D196" s="109"/>
      <c r="E196" s="109"/>
      <c r="F196" s="109"/>
      <c r="G196" s="109"/>
      <c r="H196" s="109">
        <f>SUM(H182:H195)</f>
        <v>14830000</v>
      </c>
    </row>
    <row r="197" spans="1:9" ht="13.5" thickBot="1" x14ac:dyDescent="0.25">
      <c r="A197" s="107"/>
      <c r="B197" s="108"/>
      <c r="C197" s="111"/>
      <c r="D197" s="111"/>
      <c r="E197" s="108"/>
      <c r="F197" s="108"/>
      <c r="G197" s="108"/>
      <c r="H197" s="108">
        <f>H11+H30+H38+H67+H103+H129+H150+H176+H196</f>
        <v>213623000</v>
      </c>
    </row>
    <row r="198" spans="1:9" ht="15" customHeight="1" x14ac:dyDescent="0.2">
      <c r="A198" s="88"/>
      <c r="E198" s="2"/>
      <c r="F198" s="142" t="s">
        <v>441</v>
      </c>
      <c r="G198" s="143"/>
      <c r="H198" s="143">
        <f>H197*5/100</f>
        <v>10681150</v>
      </c>
    </row>
    <row r="199" spans="1:9" ht="15" customHeight="1" x14ac:dyDescent="0.2">
      <c r="A199" s="88"/>
      <c r="E199" s="2"/>
      <c r="F199" s="144" t="s">
        <v>442</v>
      </c>
      <c r="G199" s="145"/>
      <c r="H199" s="145">
        <f>H197*18/100</f>
        <v>38452140</v>
      </c>
    </row>
    <row r="200" spans="1:9" ht="15" customHeight="1" x14ac:dyDescent="0.2">
      <c r="A200" s="88"/>
      <c r="E200" s="144" t="s">
        <v>443</v>
      </c>
      <c r="F200" s="2"/>
      <c r="G200" s="145"/>
      <c r="H200" s="145">
        <f>H197*3/100</f>
        <v>6408690</v>
      </c>
      <c r="I200" s="141"/>
    </row>
    <row r="201" spans="1:9" x14ac:dyDescent="0.2">
      <c r="A201" s="88"/>
      <c r="E201" s="2"/>
      <c r="F201" s="2"/>
      <c r="G201" s="2"/>
      <c r="H201" s="2">
        <f>H197-H198+H199+H200</f>
        <v>247802680</v>
      </c>
    </row>
    <row r="202" spans="1:9" x14ac:dyDescent="0.2">
      <c r="A202" s="88"/>
    </row>
    <row r="203" spans="1:9" x14ac:dyDescent="0.2">
      <c r="A203" s="88"/>
    </row>
    <row r="204" spans="1:9" x14ac:dyDescent="0.2">
      <c r="A204" s="88"/>
    </row>
    <row r="205" spans="1:9" x14ac:dyDescent="0.2">
      <c r="A205" s="88"/>
    </row>
    <row r="206" spans="1:9" x14ac:dyDescent="0.2">
      <c r="A206" s="88"/>
    </row>
    <row r="207" spans="1:9" x14ac:dyDescent="0.2">
      <c r="A207" s="88"/>
    </row>
    <row r="208" spans="1:9" x14ac:dyDescent="0.2">
      <c r="A208" s="88"/>
    </row>
    <row r="209" spans="1:8" x14ac:dyDescent="0.2">
      <c r="A209" s="88"/>
    </row>
    <row r="210" spans="1:8" x14ac:dyDescent="0.2">
      <c r="A210" s="88"/>
    </row>
    <row r="211" spans="1:8" x14ac:dyDescent="0.2">
      <c r="A211" s="88"/>
    </row>
    <row r="212" spans="1:8" x14ac:dyDescent="0.2">
      <c r="A212" s="88"/>
    </row>
    <row r="213" spans="1:8" x14ac:dyDescent="0.2">
      <c r="A213" s="88"/>
    </row>
    <row r="214" spans="1:8" x14ac:dyDescent="0.2">
      <c r="A214" s="88"/>
    </row>
    <row r="215" spans="1:8" x14ac:dyDescent="0.2">
      <c r="A215" s="88"/>
    </row>
    <row r="216" spans="1:8" x14ac:dyDescent="0.2">
      <c r="A216" s="88"/>
    </row>
    <row r="217" spans="1:8" x14ac:dyDescent="0.2">
      <c r="A217" s="88"/>
    </row>
    <row r="218" spans="1:8" x14ac:dyDescent="0.2">
      <c r="A218" s="88"/>
    </row>
    <row r="219" spans="1:8" x14ac:dyDescent="0.2">
      <c r="A219" s="112"/>
    </row>
    <row r="220" spans="1:8" x14ac:dyDescent="0.2">
      <c r="A220" s="81" t="s">
        <v>413</v>
      </c>
    </row>
    <row r="222" spans="1:8" ht="13.5" thickBot="1" x14ac:dyDescent="0.25">
      <c r="A222" s="82"/>
    </row>
    <row r="223" spans="1:8" ht="34.5" customHeight="1" thickBot="1" x14ac:dyDescent="0.25">
      <c r="A223" s="590" t="s">
        <v>175</v>
      </c>
      <c r="B223" s="591"/>
      <c r="C223" s="591"/>
      <c r="D223" s="591"/>
      <c r="E223" s="591"/>
      <c r="F223" s="591"/>
      <c r="G223" s="591"/>
      <c r="H223" s="592"/>
    </row>
    <row r="224" spans="1:8" x14ac:dyDescent="0.2">
      <c r="A224" s="55" t="s">
        <v>176</v>
      </c>
      <c r="B224" s="593" t="s">
        <v>178</v>
      </c>
      <c r="C224" s="593" t="s">
        <v>179</v>
      </c>
      <c r="D224" s="57" t="s">
        <v>180</v>
      </c>
      <c r="E224" s="593" t="s">
        <v>182</v>
      </c>
      <c r="F224" s="593" t="s">
        <v>183</v>
      </c>
      <c r="G224" s="57" t="s">
        <v>184</v>
      </c>
      <c r="H224" s="57" t="s">
        <v>186</v>
      </c>
    </row>
    <row r="225" spans="1:8" ht="13.5" thickBot="1" x14ac:dyDescent="0.25">
      <c r="A225" s="56" t="s">
        <v>177</v>
      </c>
      <c r="B225" s="594"/>
      <c r="C225" s="594"/>
      <c r="D225" s="58" t="s">
        <v>181</v>
      </c>
      <c r="E225" s="594"/>
      <c r="F225" s="594"/>
      <c r="G225" s="58" t="s">
        <v>185</v>
      </c>
      <c r="H225" s="58" t="s">
        <v>185</v>
      </c>
    </row>
    <row r="226" spans="1:8" ht="45" customHeight="1" x14ac:dyDescent="0.2">
      <c r="A226" s="659">
        <v>20</v>
      </c>
      <c r="B226" s="644" t="s">
        <v>414</v>
      </c>
      <c r="C226" s="665"/>
      <c r="D226" s="656"/>
      <c r="E226" s="656"/>
      <c r="F226" s="656"/>
      <c r="G226" s="656"/>
      <c r="H226" s="656"/>
    </row>
    <row r="227" spans="1:8" ht="13.5" thickBot="1" x14ac:dyDescent="0.25">
      <c r="A227" s="661"/>
      <c r="B227" s="646"/>
      <c r="C227" s="666"/>
      <c r="D227" s="658"/>
      <c r="E227" s="658"/>
      <c r="F227" s="658"/>
      <c r="G227" s="658"/>
      <c r="H227" s="658"/>
    </row>
    <row r="228" spans="1:8" ht="13.5" thickBot="1" x14ac:dyDescent="0.25">
      <c r="A228" s="113">
        <v>20.100000000000001</v>
      </c>
      <c r="B228" s="109"/>
      <c r="C228" s="101" t="s">
        <v>415</v>
      </c>
      <c r="D228" s="114" t="s">
        <v>416</v>
      </c>
      <c r="E228" s="68">
        <v>2</v>
      </c>
      <c r="F228" s="68" t="s">
        <v>177</v>
      </c>
      <c r="G228" s="68">
        <v>280000</v>
      </c>
      <c r="H228" s="68">
        <v>560000</v>
      </c>
    </row>
    <row r="229" spans="1:8" ht="13.5" thickBot="1" x14ac:dyDescent="0.25">
      <c r="A229" s="113">
        <v>20.2</v>
      </c>
      <c r="B229" s="109"/>
      <c r="C229" s="101" t="s">
        <v>417</v>
      </c>
      <c r="D229" s="114" t="s">
        <v>416</v>
      </c>
      <c r="E229" s="68">
        <v>2</v>
      </c>
      <c r="F229" s="68" t="s">
        <v>177</v>
      </c>
      <c r="G229" s="68">
        <v>115000</v>
      </c>
      <c r="H229" s="68">
        <v>230000</v>
      </c>
    </row>
    <row r="230" spans="1:8" ht="13.5" thickBot="1" x14ac:dyDescent="0.25">
      <c r="A230" s="113">
        <v>20.3</v>
      </c>
      <c r="B230" s="109"/>
      <c r="C230" s="101" t="s">
        <v>418</v>
      </c>
      <c r="D230" s="114" t="s">
        <v>416</v>
      </c>
      <c r="E230" s="68">
        <v>2</v>
      </c>
      <c r="F230" s="68" t="s">
        <v>177</v>
      </c>
      <c r="G230" s="68">
        <v>65000</v>
      </c>
      <c r="H230" s="68">
        <v>130000</v>
      </c>
    </row>
    <row r="231" spans="1:8" ht="13.5" thickBot="1" x14ac:dyDescent="0.25">
      <c r="A231" s="107"/>
      <c r="B231" s="108"/>
      <c r="C231" s="108"/>
      <c r="D231" s="108"/>
      <c r="E231" s="108"/>
      <c r="F231" s="108"/>
      <c r="G231" s="108"/>
      <c r="H231" s="108"/>
    </row>
    <row r="232" spans="1:8" x14ac:dyDescent="0.2">
      <c r="A232" s="659">
        <v>21</v>
      </c>
      <c r="B232" s="644" t="s">
        <v>419</v>
      </c>
      <c r="C232" s="662"/>
      <c r="D232" s="656"/>
      <c r="E232" s="86"/>
      <c r="F232" s="86"/>
      <c r="G232" s="86"/>
      <c r="H232" s="86"/>
    </row>
    <row r="233" spans="1:8" x14ac:dyDescent="0.2">
      <c r="A233" s="660"/>
      <c r="B233" s="645"/>
      <c r="C233" s="663"/>
      <c r="D233" s="657"/>
      <c r="E233" s="86"/>
      <c r="F233" s="86"/>
      <c r="G233" s="86"/>
      <c r="H233" s="86"/>
    </row>
    <row r="234" spans="1:8" x14ac:dyDescent="0.2">
      <c r="A234" s="660"/>
      <c r="B234" s="645"/>
      <c r="C234" s="663"/>
      <c r="D234" s="657"/>
      <c r="E234" s="86"/>
      <c r="F234" s="86"/>
      <c r="G234" s="86"/>
      <c r="H234" s="86"/>
    </row>
    <row r="235" spans="1:8" x14ac:dyDescent="0.2">
      <c r="A235" s="660"/>
      <c r="B235" s="645"/>
      <c r="C235" s="663"/>
      <c r="D235" s="657"/>
      <c r="E235" s="86"/>
      <c r="F235" s="86"/>
      <c r="G235" s="86"/>
      <c r="H235" s="86"/>
    </row>
    <row r="236" spans="1:8" x14ac:dyDescent="0.2">
      <c r="A236" s="660"/>
      <c r="B236" s="645"/>
      <c r="C236" s="663"/>
      <c r="D236" s="657"/>
      <c r="E236" s="86"/>
      <c r="F236" s="86"/>
      <c r="G236" s="86"/>
      <c r="H236" s="86"/>
    </row>
    <row r="237" spans="1:8" x14ac:dyDescent="0.2">
      <c r="A237" s="660"/>
      <c r="B237" s="645"/>
      <c r="C237" s="663"/>
      <c r="D237" s="657"/>
      <c r="E237" s="86"/>
      <c r="F237" s="86"/>
      <c r="G237" s="86"/>
      <c r="H237" s="86"/>
    </row>
    <row r="238" spans="1:8" x14ac:dyDescent="0.2">
      <c r="A238" s="660"/>
      <c r="B238" s="645"/>
      <c r="C238" s="663"/>
      <c r="D238" s="657"/>
      <c r="E238" s="86"/>
      <c r="F238" s="86"/>
      <c r="G238" s="86"/>
      <c r="H238" s="86"/>
    </row>
    <row r="239" spans="1:8" x14ac:dyDescent="0.2">
      <c r="A239" s="660"/>
      <c r="B239" s="645"/>
      <c r="C239" s="663"/>
      <c r="D239" s="657"/>
      <c r="E239" s="86"/>
      <c r="F239" s="86"/>
      <c r="G239" s="86"/>
      <c r="H239" s="86"/>
    </row>
    <row r="240" spans="1:8" x14ac:dyDescent="0.2">
      <c r="A240" s="660"/>
      <c r="B240" s="645"/>
      <c r="C240" s="663"/>
      <c r="D240" s="657"/>
      <c r="E240" s="86"/>
      <c r="F240" s="86"/>
      <c r="G240" s="86"/>
      <c r="H240" s="105"/>
    </row>
    <row r="241" spans="1:8" ht="13.5" thickBot="1" x14ac:dyDescent="0.25">
      <c r="A241" s="661"/>
      <c r="B241" s="646"/>
      <c r="C241" s="664"/>
      <c r="D241" s="658"/>
      <c r="E241" s="68">
        <v>2</v>
      </c>
      <c r="F241" s="68" t="s">
        <v>268</v>
      </c>
      <c r="G241" s="68">
        <v>1538180</v>
      </c>
      <c r="H241" s="68">
        <v>3076360</v>
      </c>
    </row>
    <row r="242" spans="1:8" ht="13.5" thickBot="1" x14ac:dyDescent="0.25">
      <c r="A242" s="107"/>
      <c r="B242" s="108"/>
      <c r="C242" s="108"/>
      <c r="D242" s="108"/>
      <c r="E242" s="108"/>
      <c r="F242" s="108"/>
      <c r="G242" s="108"/>
      <c r="H242" s="108"/>
    </row>
    <row r="243" spans="1:8" ht="30.75" customHeight="1" x14ac:dyDescent="0.2">
      <c r="A243" s="659">
        <v>22</v>
      </c>
      <c r="B243" s="644" t="s">
        <v>420</v>
      </c>
      <c r="C243" s="656"/>
      <c r="D243" s="656"/>
      <c r="E243" s="86"/>
      <c r="F243" s="86"/>
      <c r="G243" s="86"/>
      <c r="H243" s="86"/>
    </row>
    <row r="244" spans="1:8" ht="14.25" x14ac:dyDescent="0.2">
      <c r="A244" s="660"/>
      <c r="B244" s="645"/>
      <c r="C244" s="657"/>
      <c r="D244" s="657"/>
      <c r="E244" s="92"/>
      <c r="F244" s="92"/>
      <c r="G244" s="92"/>
      <c r="H244" s="91"/>
    </row>
    <row r="245" spans="1:8" ht="13.5" thickBot="1" x14ac:dyDescent="0.25">
      <c r="A245" s="661"/>
      <c r="B245" s="646"/>
      <c r="C245" s="658"/>
      <c r="D245" s="658"/>
      <c r="E245" s="68">
        <v>1</v>
      </c>
      <c r="F245" s="68" t="s">
        <v>341</v>
      </c>
      <c r="G245" s="68">
        <v>17755683</v>
      </c>
      <c r="H245" s="68">
        <v>17755683</v>
      </c>
    </row>
    <row r="246" spans="1:8" ht="13.5" thickBot="1" x14ac:dyDescent="0.25">
      <c r="A246" s="107"/>
      <c r="B246" s="108"/>
      <c r="C246" s="108"/>
      <c r="D246" s="108"/>
      <c r="E246" s="108"/>
      <c r="F246" s="108"/>
      <c r="G246" s="108"/>
      <c r="H246" s="108"/>
    </row>
    <row r="247" spans="1:8" x14ac:dyDescent="0.2">
      <c r="A247" s="659">
        <v>23</v>
      </c>
      <c r="B247" s="644" t="s">
        <v>421</v>
      </c>
      <c r="C247" s="629"/>
      <c r="D247" s="656"/>
      <c r="E247" s="86"/>
      <c r="F247" s="86"/>
      <c r="G247" s="86"/>
      <c r="H247" s="86"/>
    </row>
    <row r="248" spans="1:8" x14ac:dyDescent="0.2">
      <c r="A248" s="660"/>
      <c r="B248" s="645"/>
      <c r="C248" s="630"/>
      <c r="D248" s="657"/>
      <c r="E248" s="86"/>
      <c r="F248" s="86"/>
      <c r="G248" s="86"/>
      <c r="H248" s="86"/>
    </row>
    <row r="249" spans="1:8" x14ac:dyDescent="0.2">
      <c r="A249" s="660"/>
      <c r="B249" s="645"/>
      <c r="C249" s="630"/>
      <c r="D249" s="657"/>
      <c r="E249" s="86"/>
      <c r="F249" s="86"/>
      <c r="G249" s="86"/>
      <c r="H249" s="86"/>
    </row>
    <row r="250" spans="1:8" x14ac:dyDescent="0.2">
      <c r="A250" s="660"/>
      <c r="B250" s="645"/>
      <c r="C250" s="630"/>
      <c r="D250" s="657"/>
      <c r="E250" s="86"/>
      <c r="F250" s="86"/>
      <c r="G250" s="86"/>
      <c r="H250" s="86"/>
    </row>
    <row r="251" spans="1:8" x14ac:dyDescent="0.2">
      <c r="A251" s="660"/>
      <c r="B251" s="645"/>
      <c r="C251" s="630"/>
      <c r="D251" s="657"/>
      <c r="E251" s="86"/>
      <c r="F251" s="86"/>
      <c r="G251" s="86"/>
      <c r="H251" s="86"/>
    </row>
    <row r="252" spans="1:8" x14ac:dyDescent="0.2">
      <c r="A252" s="660"/>
      <c r="B252" s="645"/>
      <c r="C252" s="630"/>
      <c r="D252" s="657"/>
      <c r="E252" s="86"/>
      <c r="F252" s="86"/>
      <c r="G252" s="86"/>
      <c r="H252" s="86"/>
    </row>
    <row r="253" spans="1:8" x14ac:dyDescent="0.2">
      <c r="A253" s="660"/>
      <c r="B253" s="645"/>
      <c r="C253" s="630"/>
      <c r="D253" s="657"/>
      <c r="E253" s="86"/>
      <c r="F253" s="86"/>
      <c r="G253" s="86"/>
      <c r="H253" s="86"/>
    </row>
    <row r="254" spans="1:8" ht="14.25" x14ac:dyDescent="0.2">
      <c r="A254" s="660"/>
      <c r="B254" s="645"/>
      <c r="C254" s="630"/>
      <c r="D254" s="657"/>
      <c r="E254" s="92"/>
      <c r="F254" s="92"/>
      <c r="G254" s="92"/>
      <c r="H254" s="87"/>
    </row>
    <row r="255" spans="1:8" ht="13.5" thickBot="1" x14ac:dyDescent="0.25">
      <c r="A255" s="661"/>
      <c r="B255" s="646"/>
      <c r="C255" s="631"/>
      <c r="D255" s="658"/>
      <c r="E255" s="68">
        <v>1</v>
      </c>
      <c r="F255" s="68" t="s">
        <v>341</v>
      </c>
      <c r="G255" s="68">
        <v>448760</v>
      </c>
      <c r="H255" s="68">
        <v>448760</v>
      </c>
    </row>
    <row r="256" spans="1:8" ht="13.5" thickBot="1" x14ac:dyDescent="0.25">
      <c r="A256" s="107"/>
      <c r="B256" s="108"/>
      <c r="C256" s="108"/>
      <c r="D256" s="108"/>
      <c r="E256" s="108"/>
      <c r="F256" s="108"/>
      <c r="G256" s="108"/>
      <c r="H256" s="108"/>
    </row>
    <row r="257" spans="1:8" x14ac:dyDescent="0.2">
      <c r="A257" s="88"/>
    </row>
    <row r="258" spans="1:8" x14ac:dyDescent="0.2">
      <c r="A258" s="88"/>
    </row>
    <row r="259" spans="1:8" x14ac:dyDescent="0.2">
      <c r="A259" s="88"/>
    </row>
    <row r="260" spans="1:8" x14ac:dyDescent="0.2">
      <c r="A260" s="88"/>
    </row>
    <row r="261" spans="1:8" x14ac:dyDescent="0.2">
      <c r="A261" s="88"/>
    </row>
    <row r="262" spans="1:8" x14ac:dyDescent="0.2">
      <c r="A262" s="88"/>
    </row>
    <row r="263" spans="1:8" ht="14.25" x14ac:dyDescent="0.2">
      <c r="A263" s="115"/>
    </row>
    <row r="264" spans="1:8" x14ac:dyDescent="0.2">
      <c r="A264" s="81" t="s">
        <v>422</v>
      </c>
    </row>
    <row r="266" spans="1:8" ht="13.5" thickBot="1" x14ac:dyDescent="0.25">
      <c r="A266" s="82"/>
    </row>
    <row r="267" spans="1:8" ht="34.5" customHeight="1" thickBot="1" x14ac:dyDescent="0.25">
      <c r="A267" s="590" t="s">
        <v>175</v>
      </c>
      <c r="B267" s="591"/>
      <c r="C267" s="591"/>
      <c r="D267" s="591"/>
      <c r="E267" s="591"/>
      <c r="F267" s="591"/>
      <c r="G267" s="591"/>
      <c r="H267" s="592"/>
    </row>
    <row r="268" spans="1:8" x14ac:dyDescent="0.2">
      <c r="A268" s="55" t="s">
        <v>176</v>
      </c>
      <c r="B268" s="593" t="s">
        <v>178</v>
      </c>
      <c r="C268" s="593" t="s">
        <v>179</v>
      </c>
      <c r="D268" s="57" t="s">
        <v>180</v>
      </c>
      <c r="E268" s="593" t="s">
        <v>182</v>
      </c>
      <c r="F268" s="593" t="s">
        <v>183</v>
      </c>
      <c r="G268" s="57" t="s">
        <v>184</v>
      </c>
      <c r="H268" s="57" t="s">
        <v>186</v>
      </c>
    </row>
    <row r="269" spans="1:8" ht="13.5" thickBot="1" x14ac:dyDescent="0.25">
      <c r="A269" s="56" t="s">
        <v>177</v>
      </c>
      <c r="B269" s="594"/>
      <c r="C269" s="594"/>
      <c r="D269" s="58" t="s">
        <v>181</v>
      </c>
      <c r="E269" s="594"/>
      <c r="F269" s="594"/>
      <c r="G269" s="58" t="s">
        <v>185</v>
      </c>
      <c r="H269" s="58" t="s">
        <v>185</v>
      </c>
    </row>
    <row r="270" spans="1:8" x14ac:dyDescent="0.2">
      <c r="A270" s="659">
        <v>24</v>
      </c>
      <c r="B270" s="644" t="s">
        <v>423</v>
      </c>
      <c r="C270" s="667"/>
      <c r="D270" s="632"/>
      <c r="E270" s="86"/>
      <c r="F270" s="86"/>
      <c r="G270" s="86"/>
      <c r="H270" s="86"/>
    </row>
    <row r="271" spans="1:8" x14ac:dyDescent="0.2">
      <c r="A271" s="660"/>
      <c r="B271" s="645"/>
      <c r="C271" s="668"/>
      <c r="D271" s="633"/>
      <c r="E271" s="86"/>
      <c r="F271" s="86"/>
      <c r="G271" s="86"/>
      <c r="H271" s="86"/>
    </row>
    <row r="272" spans="1:8" x14ac:dyDescent="0.2">
      <c r="A272" s="660"/>
      <c r="B272" s="645"/>
      <c r="C272" s="668"/>
      <c r="D272" s="633"/>
      <c r="E272" s="86"/>
      <c r="F272" s="86"/>
      <c r="G272" s="86"/>
      <c r="H272" s="86"/>
    </row>
    <row r="273" spans="1:8" x14ac:dyDescent="0.2">
      <c r="A273" s="660"/>
      <c r="B273" s="645"/>
      <c r="C273" s="668"/>
      <c r="D273" s="633"/>
      <c r="E273" s="86"/>
      <c r="F273" s="86"/>
      <c r="G273" s="86"/>
      <c r="H273" s="86"/>
    </row>
    <row r="274" spans="1:8" x14ac:dyDescent="0.2">
      <c r="A274" s="660"/>
      <c r="B274" s="645"/>
      <c r="C274" s="668"/>
      <c r="D274" s="633"/>
      <c r="E274" s="86"/>
      <c r="F274" s="86"/>
      <c r="G274" s="86"/>
      <c r="H274" s="86"/>
    </row>
    <row r="275" spans="1:8" x14ac:dyDescent="0.2">
      <c r="A275" s="660"/>
      <c r="B275" s="645"/>
      <c r="C275" s="668"/>
      <c r="D275" s="633"/>
      <c r="E275" s="86"/>
      <c r="F275" s="86"/>
      <c r="G275" s="86"/>
      <c r="H275" s="86"/>
    </row>
    <row r="276" spans="1:8" x14ac:dyDescent="0.2">
      <c r="A276" s="660"/>
      <c r="B276" s="645"/>
      <c r="C276" s="668"/>
      <c r="D276" s="633"/>
      <c r="E276" s="86"/>
      <c r="F276" s="86"/>
      <c r="G276" s="86"/>
      <c r="H276" s="86"/>
    </row>
    <row r="277" spans="1:8" ht="14.25" x14ac:dyDescent="0.2">
      <c r="A277" s="660"/>
      <c r="B277" s="645"/>
      <c r="C277" s="668"/>
      <c r="D277" s="633"/>
      <c r="E277" s="92"/>
      <c r="F277" s="92"/>
      <c r="G277" s="92"/>
      <c r="H277" s="87"/>
    </row>
    <row r="278" spans="1:8" ht="13.5" thickBot="1" x14ac:dyDescent="0.25">
      <c r="A278" s="661"/>
      <c r="B278" s="646"/>
      <c r="C278" s="669"/>
      <c r="D278" s="634"/>
      <c r="E278" s="68">
        <v>1</v>
      </c>
      <c r="F278" s="68" t="s">
        <v>341</v>
      </c>
      <c r="G278" s="68">
        <v>3400000</v>
      </c>
      <c r="H278" s="68">
        <v>3400000</v>
      </c>
    </row>
    <row r="279" spans="1:8" ht="13.5" thickBot="1" x14ac:dyDescent="0.25">
      <c r="A279" s="93"/>
      <c r="B279" s="64"/>
      <c r="C279" s="64"/>
      <c r="D279" s="64"/>
      <c r="E279" s="64"/>
      <c r="F279" s="64"/>
      <c r="G279" s="64"/>
      <c r="H279" s="64"/>
    </row>
    <row r="280" spans="1:8" ht="165.75" x14ac:dyDescent="0.2">
      <c r="A280" s="659">
        <v>25</v>
      </c>
      <c r="B280" s="94" t="s">
        <v>424</v>
      </c>
      <c r="C280" s="632"/>
      <c r="D280" s="632"/>
      <c r="E280" s="86"/>
      <c r="F280" s="86"/>
      <c r="G280" s="86"/>
      <c r="H280" s="86"/>
    </row>
    <row r="281" spans="1:8" ht="39" x14ac:dyDescent="0.2">
      <c r="A281" s="660"/>
      <c r="B281" s="94" t="s">
        <v>425</v>
      </c>
      <c r="C281" s="633"/>
      <c r="D281" s="633"/>
      <c r="E281" s="86"/>
      <c r="F281" s="86"/>
      <c r="G281" s="86"/>
      <c r="H281" s="116"/>
    </row>
    <row r="282" spans="1:8" ht="13.5" thickBot="1" x14ac:dyDescent="0.25">
      <c r="A282" s="661"/>
      <c r="B282" s="89"/>
      <c r="C282" s="634"/>
      <c r="D282" s="634"/>
      <c r="E282" s="68">
        <v>1</v>
      </c>
      <c r="F282" s="68" t="s">
        <v>341</v>
      </c>
      <c r="G282" s="68">
        <v>7000000</v>
      </c>
      <c r="H282" s="68">
        <v>7000000</v>
      </c>
    </row>
    <row r="283" spans="1:8" ht="49.5" thickBot="1" x14ac:dyDescent="0.25">
      <c r="A283" s="113">
        <v>26</v>
      </c>
      <c r="B283" s="101" t="s">
        <v>426</v>
      </c>
      <c r="C283" s="73"/>
      <c r="D283" s="68" t="s">
        <v>427</v>
      </c>
      <c r="E283" s="68">
        <v>1</v>
      </c>
      <c r="F283" s="68" t="s">
        <v>177</v>
      </c>
      <c r="G283" s="68">
        <v>3500000</v>
      </c>
      <c r="H283" s="68">
        <v>3500000</v>
      </c>
    </row>
    <row r="284" spans="1:8" ht="59.25" thickBot="1" x14ac:dyDescent="0.25">
      <c r="A284" s="113">
        <v>27</v>
      </c>
      <c r="B284" s="101" t="s">
        <v>428</v>
      </c>
      <c r="C284" s="73"/>
      <c r="D284" s="68" t="s">
        <v>429</v>
      </c>
      <c r="E284" s="68">
        <v>1</v>
      </c>
      <c r="F284" s="68" t="s">
        <v>177</v>
      </c>
      <c r="G284" s="68">
        <v>8500000</v>
      </c>
      <c r="H284" s="68">
        <v>8500000</v>
      </c>
    </row>
    <row r="285" spans="1:8" ht="13.5" thickBot="1" x14ac:dyDescent="0.25">
      <c r="A285" s="72"/>
      <c r="B285" s="73"/>
      <c r="C285" s="73"/>
      <c r="D285" s="73"/>
      <c r="E285" s="73"/>
      <c r="F285" s="73"/>
      <c r="G285" s="73"/>
      <c r="H285" s="73"/>
    </row>
    <row r="286" spans="1:8" ht="20.25" thickBot="1" x14ac:dyDescent="0.25">
      <c r="A286" s="117">
        <v>28</v>
      </c>
      <c r="B286" s="63" t="s">
        <v>430</v>
      </c>
      <c r="C286" s="64"/>
      <c r="D286" s="64"/>
      <c r="E286" s="64"/>
      <c r="F286" s="64"/>
      <c r="G286" s="64"/>
      <c r="H286" s="64"/>
    </row>
    <row r="287" spans="1:8" ht="20.25" thickBot="1" x14ac:dyDescent="0.25">
      <c r="A287" s="113">
        <v>28.1</v>
      </c>
      <c r="B287" s="101" t="s">
        <v>431</v>
      </c>
      <c r="C287" s="73"/>
      <c r="D287" s="68" t="s">
        <v>308</v>
      </c>
      <c r="E287" s="68">
        <v>2</v>
      </c>
      <c r="F287" s="68" t="s">
        <v>192</v>
      </c>
      <c r="G287" s="68">
        <v>1800000</v>
      </c>
      <c r="H287" s="68">
        <v>3600000</v>
      </c>
    </row>
    <row r="288" spans="1:8" ht="20.25" thickBot="1" x14ac:dyDescent="0.25">
      <c r="A288" s="113">
        <v>28.2</v>
      </c>
      <c r="B288" s="101" t="s">
        <v>432</v>
      </c>
      <c r="C288" s="73"/>
      <c r="D288" s="68" t="s">
        <v>310</v>
      </c>
      <c r="E288" s="68">
        <v>1</v>
      </c>
      <c r="F288" s="68" t="s">
        <v>177</v>
      </c>
      <c r="G288" s="68">
        <v>1500000</v>
      </c>
      <c r="H288" s="68">
        <v>1500000</v>
      </c>
    </row>
    <row r="289" spans="1:8" ht="13.5" thickBot="1" x14ac:dyDescent="0.25">
      <c r="A289" s="72"/>
      <c r="B289" s="73"/>
      <c r="C289" s="73"/>
      <c r="D289" s="73"/>
      <c r="E289" s="73"/>
      <c r="F289" s="73"/>
      <c r="G289" s="73"/>
      <c r="H289" s="73"/>
    </row>
    <row r="290" spans="1:8" ht="13.5" thickBot="1" x14ac:dyDescent="0.25">
      <c r="A290" s="93"/>
      <c r="B290" s="64"/>
      <c r="C290" s="64"/>
      <c r="D290" s="64"/>
      <c r="E290" s="64"/>
      <c r="F290" s="64"/>
      <c r="G290" s="64"/>
      <c r="H290" s="64"/>
    </row>
    <row r="291" spans="1:8" x14ac:dyDescent="0.2">
      <c r="A291" s="659">
        <v>29</v>
      </c>
      <c r="B291" s="644" t="s">
        <v>433</v>
      </c>
      <c r="C291" s="667"/>
      <c r="D291" s="632"/>
      <c r="E291" s="86"/>
      <c r="F291" s="86"/>
      <c r="G291" s="86"/>
      <c r="H291" s="86"/>
    </row>
    <row r="292" spans="1:8" x14ac:dyDescent="0.2">
      <c r="A292" s="660"/>
      <c r="B292" s="645"/>
      <c r="C292" s="668"/>
      <c r="D292" s="633"/>
      <c r="E292" s="86"/>
      <c r="F292" s="86"/>
      <c r="G292" s="86"/>
      <c r="H292" s="86"/>
    </row>
    <row r="293" spans="1:8" x14ac:dyDescent="0.2">
      <c r="A293" s="660"/>
      <c r="B293" s="645"/>
      <c r="C293" s="668"/>
      <c r="D293" s="633"/>
      <c r="E293" s="86"/>
      <c r="F293" s="86"/>
      <c r="G293" s="86"/>
      <c r="H293" s="86"/>
    </row>
    <row r="294" spans="1:8" x14ac:dyDescent="0.2">
      <c r="A294" s="660"/>
      <c r="B294" s="645"/>
      <c r="C294" s="668"/>
      <c r="D294" s="633"/>
      <c r="E294" s="86"/>
      <c r="F294" s="86"/>
      <c r="G294" s="86"/>
      <c r="H294" s="86"/>
    </row>
    <row r="295" spans="1:8" x14ac:dyDescent="0.2">
      <c r="A295" s="660"/>
      <c r="B295" s="645"/>
      <c r="C295" s="668"/>
      <c r="D295" s="633"/>
      <c r="E295" s="86"/>
      <c r="F295" s="86"/>
      <c r="G295" s="86"/>
      <c r="H295" s="86"/>
    </row>
    <row r="296" spans="1:8" x14ac:dyDescent="0.2">
      <c r="A296" s="660"/>
      <c r="B296" s="645"/>
      <c r="C296" s="668"/>
      <c r="D296" s="633"/>
      <c r="E296" s="86"/>
      <c r="F296" s="86"/>
      <c r="G296" s="86"/>
      <c r="H296" s="86"/>
    </row>
    <row r="297" spans="1:8" ht="13.5" x14ac:dyDescent="0.2">
      <c r="A297" s="660"/>
      <c r="B297" s="645"/>
      <c r="C297" s="668"/>
      <c r="D297" s="633"/>
      <c r="E297" s="91"/>
      <c r="F297" s="91"/>
      <c r="G297" s="91"/>
      <c r="H297" s="90"/>
    </row>
    <row r="298" spans="1:8" ht="13.5" thickBot="1" x14ac:dyDescent="0.25">
      <c r="A298" s="661"/>
      <c r="B298" s="646"/>
      <c r="C298" s="669"/>
      <c r="D298" s="634"/>
      <c r="E298" s="68">
        <v>1</v>
      </c>
      <c r="F298" s="68" t="s">
        <v>341</v>
      </c>
      <c r="G298" s="68">
        <v>2500000</v>
      </c>
      <c r="H298" s="68">
        <v>2500000</v>
      </c>
    </row>
    <row r="299" spans="1:8" ht="13.5" thickBot="1" x14ac:dyDescent="0.25">
      <c r="A299" s="72"/>
      <c r="B299" s="73"/>
      <c r="C299" s="73"/>
      <c r="D299" s="73"/>
      <c r="E299" s="73"/>
      <c r="F299" s="73"/>
      <c r="G299" s="73"/>
      <c r="H299" s="73"/>
    </row>
    <row r="300" spans="1:8" ht="13.5" thickBot="1" x14ac:dyDescent="0.25">
      <c r="A300" s="674" t="s">
        <v>434</v>
      </c>
      <c r="B300" s="675"/>
      <c r="C300" s="675"/>
      <c r="D300" s="675"/>
      <c r="E300" s="675"/>
      <c r="F300" s="675"/>
      <c r="G300" s="676"/>
      <c r="H300" s="118">
        <v>477647713</v>
      </c>
    </row>
    <row r="301" spans="1:8" x14ac:dyDescent="0.2">
      <c r="A301" s="677" t="s">
        <v>435</v>
      </c>
      <c r="B301" s="678"/>
      <c r="C301" s="678"/>
      <c r="D301" s="678"/>
      <c r="E301" s="678"/>
      <c r="F301" s="678"/>
      <c r="G301" s="678"/>
      <c r="H301" s="679"/>
    </row>
    <row r="302" spans="1:8" x14ac:dyDescent="0.2">
      <c r="A302" s="680" t="s">
        <v>436</v>
      </c>
      <c r="B302" s="681"/>
      <c r="C302" s="681"/>
      <c r="D302" s="681"/>
      <c r="E302" s="681"/>
      <c r="F302" s="681"/>
      <c r="G302" s="681"/>
      <c r="H302" s="682"/>
    </row>
    <row r="303" spans="1:8" ht="19.5" customHeight="1" x14ac:dyDescent="0.2">
      <c r="A303" s="680" t="s">
        <v>437</v>
      </c>
      <c r="B303" s="681"/>
      <c r="C303" s="681"/>
      <c r="D303" s="681"/>
      <c r="E303" s="681"/>
      <c r="F303" s="681"/>
      <c r="G303" s="681"/>
      <c r="H303" s="682"/>
    </row>
    <row r="304" spans="1:8" ht="19.5" customHeight="1" x14ac:dyDescent="0.2">
      <c r="A304" s="683" t="s">
        <v>438</v>
      </c>
      <c r="B304" s="684"/>
      <c r="C304" s="684"/>
      <c r="D304" s="684"/>
      <c r="E304" s="684"/>
      <c r="F304" s="684"/>
      <c r="G304" s="684"/>
      <c r="H304" s="685"/>
    </row>
    <row r="305" spans="1:8" ht="13.5" thickBot="1" x14ac:dyDescent="0.25">
      <c r="A305" s="686" t="s">
        <v>439</v>
      </c>
      <c r="B305" s="687"/>
      <c r="C305" s="687"/>
      <c r="D305" s="687"/>
      <c r="E305" s="687"/>
      <c r="F305" s="687"/>
      <c r="G305" s="687"/>
      <c r="H305" s="688"/>
    </row>
    <row r="306" spans="1:8" x14ac:dyDescent="0.2">
      <c r="A306" s="88"/>
    </row>
    <row r="307" spans="1:8" x14ac:dyDescent="0.2">
      <c r="A307" s="88"/>
    </row>
    <row r="308" spans="1:8" ht="16.5" x14ac:dyDescent="0.2">
      <c r="A308" s="119"/>
    </row>
    <row r="309" spans="1:8" x14ac:dyDescent="0.2">
      <c r="A309" s="81" t="s">
        <v>440</v>
      </c>
    </row>
    <row r="311" spans="1:8" ht="13.5" thickBot="1" x14ac:dyDescent="0.25">
      <c r="A311" s="82"/>
    </row>
    <row r="312" spans="1:8" ht="34.5" customHeight="1" thickBot="1" x14ac:dyDescent="0.25">
      <c r="A312" s="590" t="s">
        <v>175</v>
      </c>
      <c r="B312" s="591"/>
      <c r="C312" s="591"/>
      <c r="D312" s="591"/>
      <c r="E312" s="591"/>
      <c r="F312" s="591"/>
      <c r="G312" s="591"/>
      <c r="H312" s="592"/>
    </row>
    <row r="313" spans="1:8" x14ac:dyDescent="0.2">
      <c r="A313" s="55" t="s">
        <v>176</v>
      </c>
      <c r="B313" s="593" t="s">
        <v>178</v>
      </c>
      <c r="C313" s="593" t="s">
        <v>179</v>
      </c>
      <c r="D313" s="57" t="s">
        <v>180</v>
      </c>
      <c r="E313" s="670" t="s">
        <v>182</v>
      </c>
      <c r="F313" s="672" t="s">
        <v>183</v>
      </c>
      <c r="G313" s="57" t="s">
        <v>184</v>
      </c>
      <c r="H313" s="57" t="s">
        <v>186</v>
      </c>
    </row>
    <row r="314" spans="1:8" ht="13.5" thickBot="1" x14ac:dyDescent="0.25">
      <c r="A314" s="56" t="s">
        <v>177</v>
      </c>
      <c r="B314" s="594"/>
      <c r="C314" s="594"/>
      <c r="D314" s="58" t="s">
        <v>181</v>
      </c>
      <c r="E314" s="671"/>
      <c r="F314" s="673"/>
      <c r="G314" s="58" t="s">
        <v>185</v>
      </c>
      <c r="H314" s="58" t="s">
        <v>185</v>
      </c>
    </row>
    <row r="315" spans="1:8" x14ac:dyDescent="0.2">
      <c r="A315" s="120"/>
    </row>
  </sheetData>
  <mergeCells count="124">
    <mergeCell ref="A312:H312"/>
    <mergeCell ref="B313:B314"/>
    <mergeCell ref="C313:C314"/>
    <mergeCell ref="E313:E314"/>
    <mergeCell ref="F313:F314"/>
    <mergeCell ref="A300:G300"/>
    <mergeCell ref="A301:H301"/>
    <mergeCell ref="A302:H302"/>
    <mergeCell ref="A303:H303"/>
    <mergeCell ref="A304:H304"/>
    <mergeCell ref="A305:H305"/>
    <mergeCell ref="A280:A282"/>
    <mergeCell ref="C280:C282"/>
    <mergeCell ref="D280:D282"/>
    <mergeCell ref="A291:A298"/>
    <mergeCell ref="B291:B298"/>
    <mergeCell ref="C291:C298"/>
    <mergeCell ref="D291:D298"/>
    <mergeCell ref="A267:H267"/>
    <mergeCell ref="B268:B269"/>
    <mergeCell ref="C268:C269"/>
    <mergeCell ref="E268:E269"/>
    <mergeCell ref="F268:F269"/>
    <mergeCell ref="A270:A278"/>
    <mergeCell ref="B270:B278"/>
    <mergeCell ref="C270:C278"/>
    <mergeCell ref="D270:D278"/>
    <mergeCell ref="A243:A245"/>
    <mergeCell ref="B243:B245"/>
    <mergeCell ref="C243:C245"/>
    <mergeCell ref="D243:D245"/>
    <mergeCell ref="A247:A255"/>
    <mergeCell ref="B247:B255"/>
    <mergeCell ref="C247:C255"/>
    <mergeCell ref="D247:D255"/>
    <mergeCell ref="G226:G227"/>
    <mergeCell ref="H226:H227"/>
    <mergeCell ref="A232:A241"/>
    <mergeCell ref="B232:B241"/>
    <mergeCell ref="C232:C241"/>
    <mergeCell ref="D232:D241"/>
    <mergeCell ref="A226:A227"/>
    <mergeCell ref="B226:B227"/>
    <mergeCell ref="C226:C227"/>
    <mergeCell ref="D226:D227"/>
    <mergeCell ref="E226:E227"/>
    <mergeCell ref="F226:F227"/>
    <mergeCell ref="A186:A193"/>
    <mergeCell ref="B186:B193"/>
    <mergeCell ref="C186:C193"/>
    <mergeCell ref="D186:D193"/>
    <mergeCell ref="A223:H223"/>
    <mergeCell ref="B224:B225"/>
    <mergeCell ref="C224:C225"/>
    <mergeCell ref="E224:E225"/>
    <mergeCell ref="F224:F225"/>
    <mergeCell ref="A177:A184"/>
    <mergeCell ref="B177:B184"/>
    <mergeCell ref="C177:C184"/>
    <mergeCell ref="D177:D184"/>
    <mergeCell ref="A160:A167"/>
    <mergeCell ref="B160:B167"/>
    <mergeCell ref="C160:C167"/>
    <mergeCell ref="D160:D167"/>
    <mergeCell ref="A168:A175"/>
    <mergeCell ref="B168:B175"/>
    <mergeCell ref="C168:C175"/>
    <mergeCell ref="D168:D175"/>
    <mergeCell ref="A152:A159"/>
    <mergeCell ref="B152:B159"/>
    <mergeCell ref="C152:C159"/>
    <mergeCell ref="D152:D159"/>
    <mergeCell ref="C131:C149"/>
    <mergeCell ref="H120:H128"/>
    <mergeCell ref="A119:D119"/>
    <mergeCell ref="A120:A128"/>
    <mergeCell ref="D120:D128"/>
    <mergeCell ref="E120:E128"/>
    <mergeCell ref="F120:F128"/>
    <mergeCell ref="G120:G128"/>
    <mergeCell ref="G104:G106"/>
    <mergeCell ref="H104:H106"/>
    <mergeCell ref="A107:D107"/>
    <mergeCell ref="A108:A118"/>
    <mergeCell ref="C108:C118"/>
    <mergeCell ref="D108:D118"/>
    <mergeCell ref="E108:E118"/>
    <mergeCell ref="F108:F118"/>
    <mergeCell ref="G108:G118"/>
    <mergeCell ref="H108:H118"/>
    <mergeCell ref="A104:A106"/>
    <mergeCell ref="C104:C106"/>
    <mergeCell ref="D104:D106"/>
    <mergeCell ref="E104:E106"/>
    <mergeCell ref="F104:F106"/>
    <mergeCell ref="D90:D92"/>
    <mergeCell ref="C98:C102"/>
    <mergeCell ref="A77:A79"/>
    <mergeCell ref="C77:C87"/>
    <mergeCell ref="A80:A82"/>
    <mergeCell ref="C89:C96"/>
    <mergeCell ref="A90:A91"/>
    <mergeCell ref="B90:B91"/>
    <mergeCell ref="C70:C75"/>
    <mergeCell ref="C46:C50"/>
    <mergeCell ref="C52:C59"/>
    <mergeCell ref="C61:C66"/>
    <mergeCell ref="B64:B65"/>
    <mergeCell ref="H13:H15"/>
    <mergeCell ref="C33:C38"/>
    <mergeCell ref="B13:B15"/>
    <mergeCell ref="C13:C29"/>
    <mergeCell ref="E13:E15"/>
    <mergeCell ref="F13:F15"/>
    <mergeCell ref="G13:G15"/>
    <mergeCell ref="A1:H1"/>
    <mergeCell ref="B2:B3"/>
    <mergeCell ref="C2:C3"/>
    <mergeCell ref="E2:E3"/>
    <mergeCell ref="F2:F3"/>
    <mergeCell ref="C6:C10"/>
    <mergeCell ref="C40:C44"/>
    <mergeCell ref="A41:A43"/>
    <mergeCell ref="B41:B43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H55" sqref="H55"/>
    </sheetView>
  </sheetViews>
  <sheetFormatPr defaultRowHeight="12.75" x14ac:dyDescent="0.2"/>
  <cols>
    <col min="3" max="3" width="36.42578125" customWidth="1"/>
    <col min="8" max="8" width="12.140625" customWidth="1"/>
    <col min="9" max="9" width="16.42578125" bestFit="1" customWidth="1"/>
    <col min="11" max="11" width="10" bestFit="1" customWidth="1"/>
  </cols>
  <sheetData>
    <row r="1" spans="1:11" ht="34.5" customHeight="1" thickBot="1" x14ac:dyDescent="0.25">
      <c r="A1" s="590" t="s">
        <v>175</v>
      </c>
      <c r="B1" s="591"/>
      <c r="C1" s="591"/>
      <c r="D1" s="591"/>
      <c r="E1" s="591"/>
      <c r="F1" s="591"/>
      <c r="G1" s="591"/>
      <c r="H1" s="592"/>
    </row>
    <row r="2" spans="1:11" x14ac:dyDescent="0.2">
      <c r="A2" s="55" t="s">
        <v>176</v>
      </c>
      <c r="B2" s="593" t="s">
        <v>178</v>
      </c>
      <c r="C2" s="593" t="s">
        <v>179</v>
      </c>
      <c r="D2" s="57" t="s">
        <v>180</v>
      </c>
      <c r="E2" s="593" t="s">
        <v>182</v>
      </c>
      <c r="F2" s="593" t="s">
        <v>183</v>
      </c>
      <c r="G2" s="57" t="s">
        <v>184</v>
      </c>
      <c r="H2" s="57" t="s">
        <v>186</v>
      </c>
    </row>
    <row r="3" spans="1:11" ht="13.5" thickBot="1" x14ac:dyDescent="0.25">
      <c r="A3" s="56" t="s">
        <v>177</v>
      </c>
      <c r="B3" s="594"/>
      <c r="C3" s="594"/>
      <c r="D3" s="58" t="s">
        <v>181</v>
      </c>
      <c r="E3" s="594"/>
      <c r="F3" s="594"/>
      <c r="G3" s="58" t="s">
        <v>185</v>
      </c>
      <c r="H3" s="58" t="s">
        <v>185</v>
      </c>
    </row>
    <row r="4" spans="1:11" ht="13.5" thickBot="1" x14ac:dyDescent="0.25">
      <c r="A4" s="93"/>
      <c r="B4" s="64"/>
      <c r="C4" s="64"/>
      <c r="D4" s="64"/>
      <c r="E4" s="64"/>
      <c r="F4" s="64"/>
      <c r="G4" s="64"/>
      <c r="H4" s="64"/>
    </row>
    <row r="5" spans="1:11" ht="19.5" x14ac:dyDescent="0.2">
      <c r="A5" s="659">
        <v>4</v>
      </c>
      <c r="B5" s="94" t="s">
        <v>337</v>
      </c>
      <c r="C5" s="641"/>
      <c r="D5" s="632"/>
      <c r="E5" s="599">
        <v>1</v>
      </c>
      <c r="F5" s="599" t="s">
        <v>341</v>
      </c>
      <c r="G5" s="620">
        <v>114505000</v>
      </c>
      <c r="H5" s="613">
        <v>114505000</v>
      </c>
    </row>
    <row r="6" spans="1:11" ht="58.5" x14ac:dyDescent="0.2">
      <c r="A6" s="660"/>
      <c r="B6" s="74" t="s">
        <v>338</v>
      </c>
      <c r="C6" s="642"/>
      <c r="D6" s="633"/>
      <c r="E6" s="600"/>
      <c r="F6" s="600"/>
      <c r="G6" s="621"/>
      <c r="H6" s="614"/>
    </row>
    <row r="7" spans="1:11" ht="78" x14ac:dyDescent="0.2">
      <c r="A7" s="660"/>
      <c r="B7" s="74" t="s">
        <v>339</v>
      </c>
      <c r="C7" s="642"/>
      <c r="D7" s="633"/>
      <c r="E7" s="600"/>
      <c r="F7" s="600"/>
      <c r="G7" s="621"/>
      <c r="H7" s="614"/>
    </row>
    <row r="8" spans="1:11" ht="20.25" thickBot="1" x14ac:dyDescent="0.25">
      <c r="A8" s="661"/>
      <c r="B8" s="66" t="s">
        <v>340</v>
      </c>
      <c r="C8" s="643"/>
      <c r="D8" s="634"/>
      <c r="E8" s="601"/>
      <c r="F8" s="601"/>
      <c r="G8" s="622"/>
      <c r="H8" s="615"/>
    </row>
    <row r="9" spans="1:11" ht="13.5" thickBot="1" x14ac:dyDescent="0.25">
      <c r="A9" s="93"/>
      <c r="B9" s="64"/>
      <c r="C9" s="64"/>
      <c r="D9" s="64"/>
      <c r="E9" s="64"/>
      <c r="F9" s="64"/>
      <c r="G9" s="64"/>
      <c r="H9" s="64"/>
    </row>
    <row r="10" spans="1:11" ht="93.75" customHeight="1" x14ac:dyDescent="0.2">
      <c r="A10" s="659">
        <v>5</v>
      </c>
      <c r="B10" s="644" t="s">
        <v>342</v>
      </c>
      <c r="C10" s="691"/>
      <c r="D10" s="632"/>
      <c r="E10" s="599">
        <v>1</v>
      </c>
      <c r="F10" s="599" t="s">
        <v>341</v>
      </c>
      <c r="G10" s="620">
        <v>2850000</v>
      </c>
      <c r="H10" s="613">
        <v>2850000</v>
      </c>
    </row>
    <row r="11" spans="1:11" ht="13.5" thickBot="1" x14ac:dyDescent="0.25">
      <c r="A11" s="661"/>
      <c r="B11" s="646"/>
      <c r="C11" s="692"/>
      <c r="D11" s="634"/>
      <c r="E11" s="601"/>
      <c r="F11" s="601"/>
      <c r="G11" s="622"/>
      <c r="H11" s="615"/>
    </row>
    <row r="12" spans="1:11" ht="13.5" thickBot="1" x14ac:dyDescent="0.25">
      <c r="A12" s="635"/>
      <c r="B12" s="636"/>
      <c r="C12" s="636"/>
      <c r="D12" s="637"/>
      <c r="E12" s="64"/>
      <c r="F12" s="64"/>
      <c r="G12" s="64"/>
      <c r="H12" s="64">
        <f>SUM(H5:H11)</f>
        <v>117355000</v>
      </c>
      <c r="I12" s="149">
        <f>H12*5/100</f>
        <v>5867750</v>
      </c>
      <c r="J12">
        <f>H12*18/100</f>
        <v>21123900</v>
      </c>
      <c r="K12" s="150">
        <f>H12-I12+J12</f>
        <v>132611150</v>
      </c>
    </row>
    <row r="13" spans="1:11" ht="68.25" customHeight="1" x14ac:dyDescent="0.2">
      <c r="A13" s="659">
        <v>6</v>
      </c>
      <c r="B13" s="644" t="s">
        <v>343</v>
      </c>
      <c r="C13" s="87"/>
      <c r="D13" s="632"/>
      <c r="E13" s="599">
        <v>1</v>
      </c>
      <c r="F13" s="599" t="s">
        <v>341</v>
      </c>
      <c r="G13" s="620">
        <v>1550000</v>
      </c>
      <c r="H13" s="613">
        <v>1550000</v>
      </c>
    </row>
    <row r="14" spans="1:11" x14ac:dyDescent="0.2">
      <c r="A14" s="660"/>
      <c r="B14" s="645"/>
      <c r="C14" s="95"/>
      <c r="D14" s="633"/>
      <c r="E14" s="600"/>
      <c r="F14" s="600"/>
      <c r="G14" s="621"/>
      <c r="H14" s="614"/>
    </row>
    <row r="15" spans="1:11" x14ac:dyDescent="0.2">
      <c r="A15" s="660"/>
      <c r="B15" s="645"/>
      <c r="C15" s="96" t="s">
        <v>44</v>
      </c>
      <c r="D15" s="633"/>
      <c r="E15" s="600"/>
      <c r="F15" s="600"/>
      <c r="G15" s="621"/>
      <c r="H15" s="614"/>
    </row>
    <row r="16" spans="1:11" ht="37.5" customHeight="1" thickBot="1" x14ac:dyDescent="0.25">
      <c r="A16" s="661"/>
      <c r="B16" s="646"/>
      <c r="C16" s="85"/>
      <c r="D16" s="634"/>
      <c r="E16" s="601"/>
      <c r="F16" s="601"/>
      <c r="G16" s="622"/>
      <c r="H16" s="615"/>
    </row>
    <row r="17" spans="1:8" ht="13.5" thickBot="1" x14ac:dyDescent="0.25">
      <c r="A17" s="635"/>
      <c r="B17" s="636"/>
      <c r="C17" s="637"/>
      <c r="D17" s="64"/>
      <c r="E17" s="64"/>
      <c r="F17" s="64"/>
      <c r="G17" s="64"/>
      <c r="H17" s="64"/>
    </row>
    <row r="18" spans="1:8" ht="68.25" x14ac:dyDescent="0.2">
      <c r="A18" s="659">
        <v>7</v>
      </c>
      <c r="B18" s="94" t="s">
        <v>344</v>
      </c>
      <c r="C18" s="689"/>
      <c r="D18" s="632"/>
      <c r="E18" s="599">
        <v>1</v>
      </c>
      <c r="F18" s="599" t="s">
        <v>350</v>
      </c>
      <c r="G18" s="620">
        <v>46050000</v>
      </c>
      <c r="H18" s="613">
        <v>46050000</v>
      </c>
    </row>
    <row r="19" spans="1:8" ht="117" x14ac:dyDescent="0.2">
      <c r="A19" s="660"/>
      <c r="B19" s="74" t="s">
        <v>345</v>
      </c>
      <c r="C19" s="690"/>
      <c r="D19" s="633"/>
      <c r="E19" s="600"/>
      <c r="F19" s="600"/>
      <c r="G19" s="621"/>
      <c r="H19" s="614"/>
    </row>
    <row r="20" spans="1:8" ht="78" x14ac:dyDescent="0.2">
      <c r="A20" s="660"/>
      <c r="B20" s="74" t="s">
        <v>346</v>
      </c>
      <c r="C20" s="690"/>
      <c r="D20" s="633"/>
      <c r="E20" s="600"/>
      <c r="F20" s="600"/>
      <c r="G20" s="621"/>
      <c r="H20" s="614"/>
    </row>
    <row r="21" spans="1:8" ht="19.5" x14ac:dyDescent="0.2">
      <c r="A21" s="660"/>
      <c r="B21" s="74" t="s">
        <v>347</v>
      </c>
      <c r="C21" s="690"/>
      <c r="D21" s="633"/>
      <c r="E21" s="600"/>
      <c r="F21" s="600"/>
      <c r="G21" s="621"/>
      <c r="H21" s="614"/>
    </row>
    <row r="22" spans="1:8" ht="126.75" x14ac:dyDescent="0.2">
      <c r="A22" s="660"/>
      <c r="B22" s="74" t="s">
        <v>348</v>
      </c>
      <c r="C22" s="690"/>
      <c r="D22" s="633"/>
      <c r="E22" s="600"/>
      <c r="F22" s="600"/>
      <c r="G22" s="621"/>
      <c r="H22" s="614"/>
    </row>
    <row r="23" spans="1:8" ht="48.75" x14ac:dyDescent="0.2">
      <c r="A23" s="660"/>
      <c r="B23" s="74" t="s">
        <v>349</v>
      </c>
      <c r="C23" s="690"/>
      <c r="D23" s="633"/>
      <c r="E23" s="600"/>
      <c r="F23" s="600"/>
      <c r="G23" s="621"/>
      <c r="H23" s="614"/>
    </row>
    <row r="24" spans="1:8" x14ac:dyDescent="0.2">
      <c r="A24" s="131"/>
      <c r="B24" s="132"/>
      <c r="C24" s="133"/>
      <c r="D24" s="134"/>
      <c r="E24" s="135"/>
      <c r="F24" s="135"/>
      <c r="G24" s="136"/>
      <c r="H24" s="80">
        <f>SUM(H13:H23)</f>
        <v>47600000</v>
      </c>
    </row>
    <row r="25" spans="1:8" ht="73.5" customHeight="1" thickBot="1" x14ac:dyDescent="0.25">
      <c r="A25" s="100">
        <v>10</v>
      </c>
      <c r="B25" s="101" t="s">
        <v>372</v>
      </c>
      <c r="C25" s="73"/>
      <c r="D25" s="73"/>
      <c r="E25" s="70">
        <v>1</v>
      </c>
      <c r="F25" s="68" t="s">
        <v>341</v>
      </c>
      <c r="G25" s="68">
        <v>37500000</v>
      </c>
      <c r="H25" s="68">
        <v>37500000</v>
      </c>
    </row>
    <row r="26" spans="1:8" ht="117" x14ac:dyDescent="0.2">
      <c r="A26" s="632"/>
      <c r="B26" s="74" t="s">
        <v>373</v>
      </c>
      <c r="C26" s="102"/>
      <c r="D26" s="632"/>
      <c r="E26" s="632"/>
      <c r="F26" s="632"/>
      <c r="G26" s="632"/>
      <c r="H26" s="632"/>
    </row>
    <row r="27" spans="1:8" ht="78" x14ac:dyDescent="0.2">
      <c r="A27" s="633"/>
      <c r="B27" s="74" t="s">
        <v>374</v>
      </c>
      <c r="C27" s="99" t="s">
        <v>44</v>
      </c>
      <c r="D27" s="633"/>
      <c r="E27" s="633"/>
      <c r="F27" s="633"/>
      <c r="G27" s="633"/>
      <c r="H27" s="633"/>
    </row>
    <row r="28" spans="1:8" ht="107.25" x14ac:dyDescent="0.2">
      <c r="A28" s="633"/>
      <c r="B28" s="74" t="s">
        <v>375</v>
      </c>
      <c r="C28" s="84"/>
      <c r="D28" s="633"/>
      <c r="E28" s="633"/>
      <c r="F28" s="633"/>
      <c r="G28" s="633"/>
      <c r="H28" s="633"/>
    </row>
    <row r="29" spans="1:8" ht="58.5" x14ac:dyDescent="0.2">
      <c r="A29" s="633"/>
      <c r="B29" s="74" t="s">
        <v>376</v>
      </c>
      <c r="C29" s="84"/>
      <c r="D29" s="633"/>
      <c r="E29" s="633"/>
      <c r="F29" s="633"/>
      <c r="G29" s="633"/>
      <c r="H29" s="633"/>
    </row>
    <row r="30" spans="1:8" ht="185.25" x14ac:dyDescent="0.2">
      <c r="A30" s="633"/>
      <c r="B30" s="74" t="s">
        <v>377</v>
      </c>
      <c r="C30" s="84"/>
      <c r="D30" s="633"/>
      <c r="E30" s="633"/>
      <c r="F30" s="633"/>
      <c r="G30" s="633"/>
      <c r="H30" s="633"/>
    </row>
    <row r="31" spans="1:8" ht="58.5" x14ac:dyDescent="0.2">
      <c r="A31" s="633"/>
      <c r="B31" s="74" t="s">
        <v>378</v>
      </c>
      <c r="C31" s="84"/>
      <c r="D31" s="633"/>
      <c r="E31" s="633"/>
      <c r="F31" s="633"/>
      <c r="G31" s="633"/>
      <c r="H31" s="633"/>
    </row>
    <row r="32" spans="1:8" ht="20.25" thickBot="1" x14ac:dyDescent="0.25">
      <c r="A32" s="633"/>
      <c r="B32" s="66" t="s">
        <v>379</v>
      </c>
      <c r="C32" s="84"/>
      <c r="D32" s="633"/>
      <c r="E32" s="633"/>
      <c r="F32" s="633"/>
      <c r="G32" s="633"/>
      <c r="H32" s="633"/>
    </row>
    <row r="33" spans="1:8" ht="13.5" thickBot="1" x14ac:dyDescent="0.25">
      <c r="A33" s="634"/>
      <c r="B33" s="73"/>
      <c r="C33" s="85"/>
      <c r="D33" s="634"/>
      <c r="E33" s="634"/>
      <c r="F33" s="634"/>
      <c r="G33" s="634"/>
      <c r="H33" s="634"/>
    </row>
    <row r="34" spans="1:8" ht="13.5" thickBot="1" x14ac:dyDescent="0.25">
      <c r="A34" s="93"/>
      <c r="B34" s="64"/>
      <c r="C34" s="64"/>
      <c r="D34" s="64"/>
      <c r="E34" s="64"/>
      <c r="F34" s="64"/>
      <c r="G34" s="64"/>
      <c r="H34" s="64">
        <f>SUM(H25:H33)</f>
        <v>37500000</v>
      </c>
    </row>
    <row r="35" spans="1:8" x14ac:dyDescent="0.2">
      <c r="A35" s="638">
        <v>12</v>
      </c>
      <c r="B35" s="644" t="s">
        <v>404</v>
      </c>
      <c r="C35" s="629"/>
      <c r="D35" s="632"/>
      <c r="E35" s="86"/>
      <c r="F35" s="86"/>
      <c r="G35" s="86"/>
      <c r="H35" s="86"/>
    </row>
    <row r="36" spans="1:8" x14ac:dyDescent="0.2">
      <c r="A36" s="639"/>
      <c r="B36" s="645"/>
      <c r="C36" s="630"/>
      <c r="D36" s="633"/>
      <c r="E36" s="86"/>
      <c r="F36" s="86"/>
      <c r="G36" s="86"/>
      <c r="H36" s="86"/>
    </row>
    <row r="37" spans="1:8" x14ac:dyDescent="0.2">
      <c r="A37" s="639"/>
      <c r="B37" s="645"/>
      <c r="C37" s="630"/>
      <c r="D37" s="633"/>
      <c r="E37" s="86"/>
      <c r="F37" s="86"/>
      <c r="G37" s="86"/>
      <c r="H37" s="86"/>
    </row>
    <row r="38" spans="1:8" x14ac:dyDescent="0.2">
      <c r="A38" s="639"/>
      <c r="B38" s="645"/>
      <c r="C38" s="630"/>
      <c r="D38" s="633"/>
      <c r="E38" s="86"/>
      <c r="F38" s="86"/>
      <c r="G38" s="86"/>
      <c r="H38" s="86"/>
    </row>
    <row r="39" spans="1:8" x14ac:dyDescent="0.2">
      <c r="A39" s="639"/>
      <c r="B39" s="645"/>
      <c r="C39" s="630"/>
      <c r="D39" s="633"/>
      <c r="E39" s="86"/>
      <c r="F39" s="86"/>
      <c r="G39" s="86"/>
      <c r="H39" s="86"/>
    </row>
    <row r="40" spans="1:8" x14ac:dyDescent="0.2">
      <c r="A40" s="639"/>
      <c r="B40" s="645"/>
      <c r="C40" s="630"/>
      <c r="D40" s="633"/>
      <c r="E40" s="104"/>
      <c r="F40" s="104"/>
      <c r="G40" s="104"/>
      <c r="H40" s="105"/>
    </row>
    <row r="41" spans="1:8" ht="13.5" thickBot="1" x14ac:dyDescent="0.25">
      <c r="A41" s="640"/>
      <c r="B41" s="646"/>
      <c r="C41" s="631"/>
      <c r="D41" s="634"/>
      <c r="E41" s="68">
        <v>1</v>
      </c>
      <c r="F41" s="68" t="s">
        <v>341</v>
      </c>
      <c r="G41" s="68">
        <v>2450000</v>
      </c>
      <c r="H41" s="69">
        <v>2450000</v>
      </c>
    </row>
    <row r="42" spans="1:8" ht="13.5" thickBot="1" x14ac:dyDescent="0.25">
      <c r="A42" s="635"/>
      <c r="B42" s="636"/>
      <c r="C42" s="636"/>
      <c r="D42" s="637"/>
      <c r="E42" s="64"/>
      <c r="F42" s="64"/>
      <c r="G42" s="64"/>
      <c r="H42" s="64"/>
    </row>
    <row r="43" spans="1:8" x14ac:dyDescent="0.2">
      <c r="A43" s="638">
        <v>13</v>
      </c>
      <c r="B43" s="644" t="s">
        <v>405</v>
      </c>
      <c r="C43" s="610"/>
      <c r="D43" s="632"/>
      <c r="E43" s="86"/>
      <c r="F43" s="86"/>
      <c r="G43" s="86"/>
      <c r="H43" s="86"/>
    </row>
    <row r="44" spans="1:8" x14ac:dyDescent="0.2">
      <c r="A44" s="639"/>
      <c r="B44" s="645"/>
      <c r="C44" s="611"/>
      <c r="D44" s="633"/>
      <c r="E44" s="86"/>
      <c r="F44" s="86"/>
      <c r="G44" s="86"/>
      <c r="H44" s="86"/>
    </row>
    <row r="45" spans="1:8" x14ac:dyDescent="0.2">
      <c r="A45" s="639"/>
      <c r="B45" s="645"/>
      <c r="C45" s="611"/>
      <c r="D45" s="633"/>
      <c r="E45" s="86"/>
      <c r="F45" s="86"/>
      <c r="G45" s="86"/>
      <c r="H45" s="86"/>
    </row>
    <row r="46" spans="1:8" x14ac:dyDescent="0.2">
      <c r="A46" s="639"/>
      <c r="B46" s="645"/>
      <c r="C46" s="611"/>
      <c r="D46" s="633"/>
      <c r="E46" s="86"/>
      <c r="F46" s="86"/>
      <c r="G46" s="86"/>
      <c r="H46" s="86"/>
    </row>
    <row r="47" spans="1:8" x14ac:dyDescent="0.2">
      <c r="A47" s="639"/>
      <c r="B47" s="645"/>
      <c r="C47" s="611"/>
      <c r="D47" s="633"/>
      <c r="E47" s="86"/>
      <c r="F47" s="86"/>
      <c r="G47" s="86"/>
      <c r="H47" s="86"/>
    </row>
    <row r="48" spans="1:8" x14ac:dyDescent="0.2">
      <c r="A48" s="639"/>
      <c r="B48" s="645"/>
      <c r="C48" s="611"/>
      <c r="D48" s="633"/>
      <c r="E48" s="95"/>
      <c r="F48" s="95"/>
      <c r="G48" s="95"/>
    </row>
    <row r="49" spans="1:8" ht="13.5" thickBot="1" x14ac:dyDescent="0.25">
      <c r="A49" s="640"/>
      <c r="B49" s="646"/>
      <c r="C49" s="612"/>
      <c r="D49" s="634"/>
      <c r="E49" s="68">
        <v>1</v>
      </c>
      <c r="F49" s="68" t="s">
        <v>341</v>
      </c>
      <c r="G49" s="68">
        <v>2398910</v>
      </c>
      <c r="H49" s="79">
        <v>2398910</v>
      </c>
    </row>
    <row r="50" spans="1:8" x14ac:dyDescent="0.2">
      <c r="A50" s="146"/>
      <c r="B50" s="147"/>
      <c r="C50" s="148"/>
      <c r="D50" s="134"/>
      <c r="E50" s="135"/>
      <c r="F50" s="135"/>
      <c r="G50" s="135"/>
      <c r="H50" s="136">
        <f>SUM(H25:H49)</f>
        <v>79848910</v>
      </c>
    </row>
    <row r="51" spans="1:8" x14ac:dyDescent="0.2">
      <c r="H51">
        <f>H24+H50</f>
        <v>127448910</v>
      </c>
    </row>
    <row r="52" spans="1:8" ht="15" x14ac:dyDescent="0.2">
      <c r="D52" s="2"/>
      <c r="E52" s="142" t="s">
        <v>441</v>
      </c>
      <c r="H52" s="2">
        <f>H51*5/100</f>
        <v>6372445.5</v>
      </c>
    </row>
    <row r="53" spans="1:8" ht="15" x14ac:dyDescent="0.2">
      <c r="D53" s="2"/>
      <c r="E53" s="144" t="s">
        <v>442</v>
      </c>
      <c r="F53" s="143"/>
      <c r="H53" s="2">
        <f>H51*18/100</f>
        <v>22940803.800000001</v>
      </c>
    </row>
    <row r="54" spans="1:8" ht="15" x14ac:dyDescent="0.2">
      <c r="D54" s="151" t="s">
        <v>444</v>
      </c>
      <c r="E54" s="2"/>
      <c r="F54" s="145"/>
      <c r="H54" s="2">
        <f>H51*3/100</f>
        <v>3823467.3</v>
      </c>
    </row>
    <row r="55" spans="1:8" ht="15" x14ac:dyDescent="0.2">
      <c r="F55" s="145"/>
      <c r="H55" s="2">
        <f>H51-H52+H53+H54</f>
        <v>147840735.60000002</v>
      </c>
    </row>
  </sheetData>
  <mergeCells count="51">
    <mergeCell ref="A43:A49"/>
    <mergeCell ref="B43:B49"/>
    <mergeCell ref="C43:C49"/>
    <mergeCell ref="D43:D49"/>
    <mergeCell ref="A35:A41"/>
    <mergeCell ref="B35:B41"/>
    <mergeCell ref="C35:C41"/>
    <mergeCell ref="D35:D41"/>
    <mergeCell ref="A42:D42"/>
    <mergeCell ref="H26:H33"/>
    <mergeCell ref="A26:A33"/>
    <mergeCell ref="D26:D33"/>
    <mergeCell ref="E26:E33"/>
    <mergeCell ref="F26:F33"/>
    <mergeCell ref="G26:G33"/>
    <mergeCell ref="A1:H1"/>
    <mergeCell ref="B2:B3"/>
    <mergeCell ref="C2:C3"/>
    <mergeCell ref="E2:E3"/>
    <mergeCell ref="F2:F3"/>
    <mergeCell ref="H5:H8"/>
    <mergeCell ref="A10:A11"/>
    <mergeCell ref="B10:B11"/>
    <mergeCell ref="C10:C11"/>
    <mergeCell ref="D10:D11"/>
    <mergeCell ref="E10:E11"/>
    <mergeCell ref="F10:F11"/>
    <mergeCell ref="G10:G11"/>
    <mergeCell ref="H10:H11"/>
    <mergeCell ref="A5:A8"/>
    <mergeCell ref="C5:C8"/>
    <mergeCell ref="D5:D8"/>
    <mergeCell ref="E5:E8"/>
    <mergeCell ref="F5:F8"/>
    <mergeCell ref="G5:G8"/>
    <mergeCell ref="A12:D12"/>
    <mergeCell ref="A13:A16"/>
    <mergeCell ref="B13:B16"/>
    <mergeCell ref="D13:D16"/>
    <mergeCell ref="E13:E16"/>
    <mergeCell ref="F13:F16"/>
    <mergeCell ref="G13:G16"/>
    <mergeCell ref="H13:H16"/>
    <mergeCell ref="A17:C17"/>
    <mergeCell ref="A18:A23"/>
    <mergeCell ref="C18:C23"/>
    <mergeCell ref="D18:D23"/>
    <mergeCell ref="E18:E23"/>
    <mergeCell ref="F18:F23"/>
    <mergeCell ref="G18:G23"/>
    <mergeCell ref="H18:H2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7"/>
  <sheetViews>
    <sheetView zoomScaleNormal="100" workbookViewId="0">
      <selection activeCell="E52" sqref="E52"/>
    </sheetView>
  </sheetViews>
  <sheetFormatPr defaultRowHeight="12.75" x14ac:dyDescent="0.2"/>
  <cols>
    <col min="1" max="1" width="7.85546875" customWidth="1"/>
    <col min="2" max="2" width="7.5703125" bestFit="1" customWidth="1"/>
    <col min="3" max="3" width="15.5703125" bestFit="1" customWidth="1"/>
    <col min="4" max="4" width="12.5703125" bestFit="1" customWidth="1"/>
    <col min="5" max="5" width="7.42578125" bestFit="1" customWidth="1"/>
    <col min="6" max="6" width="7.5703125" bestFit="1" customWidth="1"/>
    <col min="7" max="7" width="8.42578125" bestFit="1" customWidth="1"/>
    <col min="8" max="8" width="10.5703125" bestFit="1" customWidth="1"/>
    <col min="9" max="9" width="15.7109375" customWidth="1"/>
    <col min="11" max="14" width="0" hidden="1" customWidth="1"/>
  </cols>
  <sheetData>
    <row r="2" spans="1:15" ht="18.75" x14ac:dyDescent="0.3">
      <c r="A2" s="697" t="s">
        <v>58</v>
      </c>
      <c r="B2" s="697"/>
      <c r="C2" s="697"/>
      <c r="D2" s="697"/>
      <c r="E2" s="697"/>
      <c r="F2" s="697"/>
      <c r="G2" s="697"/>
      <c r="H2" s="697"/>
      <c r="I2" s="697"/>
    </row>
    <row r="3" spans="1:15" x14ac:dyDescent="0.2">
      <c r="A3" s="704" t="s">
        <v>87</v>
      </c>
      <c r="B3" s="704"/>
      <c r="C3" s="704"/>
      <c r="D3" s="704"/>
      <c r="E3" s="704"/>
      <c r="F3" s="704"/>
      <c r="G3" s="704"/>
      <c r="H3" s="704"/>
      <c r="I3" s="704"/>
      <c r="J3" s="3"/>
      <c r="K3" s="3"/>
      <c r="L3" s="3"/>
      <c r="M3" s="3"/>
      <c r="N3" s="3"/>
      <c r="O3" s="3"/>
    </row>
    <row r="4" spans="1:15" x14ac:dyDescent="0.2">
      <c r="A4" s="23"/>
      <c r="B4" s="23"/>
      <c r="C4" s="23"/>
      <c r="D4" s="23"/>
      <c r="E4" s="23"/>
      <c r="F4" s="23"/>
      <c r="G4" s="23"/>
      <c r="H4" s="23"/>
      <c r="I4" s="23"/>
      <c r="J4" s="3"/>
      <c r="K4" s="3"/>
      <c r="L4" s="3"/>
      <c r="M4" s="3"/>
      <c r="N4" s="3"/>
      <c r="O4" s="3"/>
    </row>
    <row r="5" spans="1:15" ht="15.75" x14ac:dyDescent="0.25">
      <c r="A5" s="698" t="s">
        <v>59</v>
      </c>
      <c r="B5" s="699"/>
      <c r="C5" s="699"/>
      <c r="D5" s="699"/>
      <c r="E5" s="699"/>
      <c r="F5" s="699"/>
      <c r="G5" s="699"/>
      <c r="H5" s="699"/>
      <c r="I5" s="699"/>
    </row>
    <row r="6" spans="1:15" ht="15" x14ac:dyDescent="0.25">
      <c r="A6" s="5"/>
      <c r="B6" s="6"/>
      <c r="C6" s="5"/>
      <c r="D6" s="5"/>
      <c r="E6" s="5"/>
      <c r="F6" s="5"/>
      <c r="G6" s="5"/>
      <c r="H6" s="5"/>
      <c r="I6" s="5"/>
    </row>
    <row r="7" spans="1:15" ht="15" x14ac:dyDescent="0.25">
      <c r="A7" s="700" t="s">
        <v>626</v>
      </c>
      <c r="B7" s="700"/>
      <c r="C7" s="700"/>
      <c r="D7" s="700"/>
      <c r="E7" s="5"/>
      <c r="F7" s="5"/>
      <c r="G7" s="5"/>
      <c r="H7" s="5"/>
      <c r="I7" s="5"/>
    </row>
    <row r="8" spans="1:15" ht="15" x14ac:dyDescent="0.25">
      <c r="A8" s="700" t="s">
        <v>60</v>
      </c>
      <c r="B8" s="701"/>
      <c r="C8" s="701"/>
      <c r="D8" s="701"/>
      <c r="E8" s="5"/>
      <c r="F8" s="5"/>
      <c r="G8" s="5"/>
      <c r="H8" s="5"/>
      <c r="I8" s="5"/>
    </row>
    <row r="9" spans="1:15" ht="15" x14ac:dyDescent="0.25">
      <c r="A9" s="7" t="s">
        <v>848</v>
      </c>
      <c r="B9" s="8"/>
      <c r="C9" s="8"/>
      <c r="D9" s="8"/>
      <c r="E9" s="5"/>
      <c r="F9" s="5"/>
      <c r="G9" s="5"/>
      <c r="H9" s="5"/>
      <c r="I9" s="5"/>
    </row>
    <row r="10" spans="1:15" ht="34.5" customHeight="1" x14ac:dyDescent="0.25">
      <c r="A10" s="702" t="s">
        <v>849</v>
      </c>
      <c r="B10" s="703"/>
      <c r="C10" s="703"/>
      <c r="D10" s="703"/>
      <c r="E10" s="5"/>
      <c r="F10" s="5"/>
      <c r="G10" s="5"/>
      <c r="H10" s="5"/>
      <c r="I10" s="5"/>
    </row>
    <row r="11" spans="1:15" ht="15" x14ac:dyDescent="0.25">
      <c r="A11" s="404" t="s">
        <v>851</v>
      </c>
      <c r="B11" s="405"/>
      <c r="C11" s="405"/>
      <c r="D11" s="405"/>
      <c r="E11" s="5"/>
      <c r="F11" s="5"/>
      <c r="G11" s="5"/>
      <c r="H11" s="5"/>
      <c r="I11" s="5"/>
    </row>
    <row r="12" spans="1:15" ht="15" x14ac:dyDescent="0.25">
      <c r="A12" s="700" t="s">
        <v>850</v>
      </c>
      <c r="B12" s="701"/>
      <c r="C12" s="701"/>
      <c r="D12" s="701"/>
      <c r="E12" s="5"/>
      <c r="F12" s="5"/>
      <c r="G12" s="5"/>
      <c r="H12" s="5"/>
      <c r="I12" s="5">
        <v>1190</v>
      </c>
    </row>
    <row r="13" spans="1:15" ht="15" x14ac:dyDescent="0.25">
      <c r="A13" s="5"/>
      <c r="B13" s="6"/>
      <c r="C13" s="5"/>
      <c r="D13" s="5"/>
      <c r="E13" s="5"/>
      <c r="F13" s="5"/>
      <c r="G13" s="5"/>
      <c r="H13" s="5"/>
      <c r="I13" s="5"/>
    </row>
    <row r="14" spans="1:15" ht="15.75" thickBot="1" x14ac:dyDescent="0.3">
      <c r="A14" s="9" t="s">
        <v>4</v>
      </c>
      <c r="B14" s="10" t="s">
        <v>47</v>
      </c>
      <c r="C14" s="11" t="s">
        <v>27</v>
      </c>
      <c r="D14" s="11" t="s">
        <v>48</v>
      </c>
      <c r="E14" s="11" t="s">
        <v>41</v>
      </c>
      <c r="F14" s="11" t="s">
        <v>5</v>
      </c>
      <c r="G14" s="11" t="s">
        <v>43</v>
      </c>
      <c r="H14" s="11" t="s">
        <v>42</v>
      </c>
      <c r="I14" s="11" t="s">
        <v>28</v>
      </c>
    </row>
    <row r="15" spans="1:15" ht="15.75" thickTop="1" x14ac:dyDescent="0.25">
      <c r="A15" s="694" t="s">
        <v>49</v>
      </c>
      <c r="B15" s="12">
        <v>45017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>E15+G15</f>
        <v>0</v>
      </c>
      <c r="I15" s="13">
        <v>0</v>
      </c>
    </row>
    <row r="16" spans="1:15" ht="15" x14ac:dyDescent="0.25">
      <c r="A16" s="695"/>
      <c r="B16" s="12">
        <v>45047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14" ht="15" x14ac:dyDescent="0.25">
      <c r="A17" s="695"/>
      <c r="B17" s="12">
        <v>45078</v>
      </c>
      <c r="C17" s="13">
        <v>0</v>
      </c>
      <c r="D17" s="13">
        <v>0</v>
      </c>
      <c r="E17" s="13">
        <f>(C17+D17)*10%/12</f>
        <v>0</v>
      </c>
      <c r="F17" s="13">
        <f>C17+D17+E17</f>
        <v>0</v>
      </c>
      <c r="G17" s="13">
        <v>0</v>
      </c>
      <c r="H17" s="13">
        <f>E17</f>
        <v>0</v>
      </c>
      <c r="I17" s="13">
        <f>F17-H17</f>
        <v>0</v>
      </c>
    </row>
    <row r="18" spans="1:14" ht="15" x14ac:dyDescent="0.25">
      <c r="A18" s="695"/>
      <c r="B18" s="12">
        <v>45108</v>
      </c>
      <c r="C18" s="13">
        <f>I17</f>
        <v>0</v>
      </c>
      <c r="D18" s="13">
        <v>0</v>
      </c>
      <c r="E18" s="13">
        <f t="shared" ref="E18:E19" si="0">(C18+D18)*10%/12</f>
        <v>0</v>
      </c>
      <c r="F18" s="13">
        <f t="shared" ref="F18:F86" si="1">C18+D18+E18</f>
        <v>0</v>
      </c>
      <c r="G18" s="13">
        <v>0</v>
      </c>
      <c r="H18" s="13">
        <f t="shared" ref="H18:H30" si="2">E18</f>
        <v>0</v>
      </c>
      <c r="I18" s="13">
        <f t="shared" ref="I18:I86" si="3">F18-H18</f>
        <v>0</v>
      </c>
    </row>
    <row r="19" spans="1:14" ht="15" x14ac:dyDescent="0.25">
      <c r="A19" s="695"/>
      <c r="B19" s="12">
        <v>45139</v>
      </c>
      <c r="C19" s="13">
        <f t="shared" ref="C19:C87" si="4">I18</f>
        <v>0</v>
      </c>
      <c r="D19" s="13">
        <v>0</v>
      </c>
      <c r="E19" s="13">
        <f t="shared" si="0"/>
        <v>0</v>
      </c>
      <c r="F19" s="13">
        <f t="shared" si="1"/>
        <v>0</v>
      </c>
      <c r="G19" s="13">
        <v>0</v>
      </c>
      <c r="H19" s="13">
        <f t="shared" si="2"/>
        <v>0</v>
      </c>
      <c r="I19" s="13">
        <f t="shared" si="3"/>
        <v>0</v>
      </c>
    </row>
    <row r="20" spans="1:14" ht="15" x14ac:dyDescent="0.25">
      <c r="A20" s="695"/>
      <c r="B20" s="12">
        <v>45170</v>
      </c>
      <c r="C20" s="13">
        <f t="shared" si="4"/>
        <v>0</v>
      </c>
      <c r="D20" s="13">
        <v>0</v>
      </c>
      <c r="E20" s="13">
        <f>(C20+D20)*9.6%/12</f>
        <v>0</v>
      </c>
      <c r="F20" s="13">
        <f t="shared" si="1"/>
        <v>0</v>
      </c>
      <c r="G20" s="13">
        <v>0</v>
      </c>
      <c r="H20" s="13">
        <f t="shared" si="2"/>
        <v>0</v>
      </c>
      <c r="I20" s="13">
        <f t="shared" si="3"/>
        <v>0</v>
      </c>
      <c r="L20" s="1" t="s">
        <v>68</v>
      </c>
      <c r="M20" s="1" t="s">
        <v>43</v>
      </c>
      <c r="N20" s="1" t="s">
        <v>42</v>
      </c>
    </row>
    <row r="21" spans="1:14" ht="15" x14ac:dyDescent="0.25">
      <c r="A21" s="695"/>
      <c r="B21" s="12">
        <v>45200</v>
      </c>
      <c r="C21" s="13">
        <f t="shared" si="4"/>
        <v>0</v>
      </c>
      <c r="D21" s="13">
        <v>0</v>
      </c>
      <c r="E21" s="13">
        <f t="shared" ref="E21:E84" si="5">(C21+D21)*9.6%/12</f>
        <v>0</v>
      </c>
      <c r="F21" s="13">
        <f t="shared" si="1"/>
        <v>0</v>
      </c>
      <c r="G21" s="13">
        <v>0</v>
      </c>
      <c r="H21" s="13">
        <f t="shared" si="2"/>
        <v>0</v>
      </c>
      <c r="I21" s="13">
        <f t="shared" si="3"/>
        <v>0</v>
      </c>
      <c r="L21">
        <v>16</v>
      </c>
      <c r="M21">
        <v>2.75</v>
      </c>
      <c r="N21">
        <f>L21*M21</f>
        <v>44</v>
      </c>
    </row>
    <row r="22" spans="1:14" ht="15" x14ac:dyDescent="0.25">
      <c r="A22" s="695"/>
      <c r="B22" s="12">
        <v>45231</v>
      </c>
      <c r="C22" s="13">
        <f t="shared" si="4"/>
        <v>0</v>
      </c>
      <c r="D22" s="13">
        <v>100</v>
      </c>
      <c r="E22" s="13">
        <f t="shared" si="5"/>
        <v>0.79999999999999993</v>
      </c>
      <c r="F22" s="13">
        <f t="shared" si="1"/>
        <v>100.8</v>
      </c>
      <c r="G22" s="13">
        <v>0</v>
      </c>
      <c r="H22" s="13">
        <f t="shared" si="2"/>
        <v>0.79999999999999993</v>
      </c>
      <c r="I22" s="13">
        <f t="shared" si="3"/>
        <v>100</v>
      </c>
      <c r="L22">
        <v>18</v>
      </c>
      <c r="M22">
        <v>5</v>
      </c>
      <c r="N22">
        <f t="shared" ref="N22:N25" si="6">L22*M22</f>
        <v>90</v>
      </c>
    </row>
    <row r="23" spans="1:14" ht="15" x14ac:dyDescent="0.25">
      <c r="A23" s="695"/>
      <c r="B23" s="12">
        <v>45261</v>
      </c>
      <c r="C23" s="13">
        <f t="shared" si="4"/>
        <v>100</v>
      </c>
      <c r="D23" s="13">
        <v>100</v>
      </c>
      <c r="E23" s="13">
        <f t="shared" si="5"/>
        <v>1.5999999999999999</v>
      </c>
      <c r="F23" s="13">
        <f t="shared" si="1"/>
        <v>201.6</v>
      </c>
      <c r="G23" s="13">
        <v>0</v>
      </c>
      <c r="H23" s="13">
        <f t="shared" si="2"/>
        <v>1.5999999999999999</v>
      </c>
      <c r="I23" s="13">
        <f t="shared" si="3"/>
        <v>200</v>
      </c>
      <c r="L23">
        <v>18</v>
      </c>
      <c r="M23">
        <v>5</v>
      </c>
      <c r="N23">
        <f t="shared" si="6"/>
        <v>90</v>
      </c>
    </row>
    <row r="24" spans="1:14" ht="15" x14ac:dyDescent="0.25">
      <c r="A24" s="695"/>
      <c r="B24" s="12">
        <v>45292</v>
      </c>
      <c r="C24" s="13">
        <f t="shared" si="4"/>
        <v>200</v>
      </c>
      <c r="D24" s="13">
        <v>100</v>
      </c>
      <c r="E24" s="13">
        <f t="shared" si="5"/>
        <v>2.4</v>
      </c>
      <c r="F24" s="13">
        <f t="shared" si="1"/>
        <v>302.39999999999998</v>
      </c>
      <c r="G24" s="13">
        <v>0</v>
      </c>
      <c r="H24" s="13">
        <f t="shared" si="2"/>
        <v>2.4</v>
      </c>
      <c r="I24" s="13">
        <f t="shared" si="3"/>
        <v>300</v>
      </c>
      <c r="L24">
        <v>18</v>
      </c>
      <c r="M24">
        <v>6</v>
      </c>
      <c r="N24">
        <f t="shared" si="6"/>
        <v>108</v>
      </c>
    </row>
    <row r="25" spans="1:14" ht="15" x14ac:dyDescent="0.25">
      <c r="A25" s="695"/>
      <c r="B25" s="12">
        <v>45323</v>
      </c>
      <c r="C25" s="13">
        <f t="shared" si="4"/>
        <v>300</v>
      </c>
      <c r="D25" s="13">
        <v>100</v>
      </c>
      <c r="E25" s="13">
        <f t="shared" si="5"/>
        <v>3.1999999999999997</v>
      </c>
      <c r="F25" s="13">
        <f t="shared" si="1"/>
        <v>403.2</v>
      </c>
      <c r="G25" s="13">
        <v>0</v>
      </c>
      <c r="H25" s="13">
        <f t="shared" si="2"/>
        <v>3.1999999999999997</v>
      </c>
      <c r="I25" s="13">
        <f t="shared" si="3"/>
        <v>400</v>
      </c>
      <c r="L25">
        <v>36</v>
      </c>
      <c r="M25">
        <v>6</v>
      </c>
      <c r="N25">
        <f t="shared" si="6"/>
        <v>216</v>
      </c>
    </row>
    <row r="26" spans="1:14" ht="15" x14ac:dyDescent="0.25">
      <c r="A26" s="696"/>
      <c r="B26" s="12">
        <v>45352</v>
      </c>
      <c r="C26" s="13">
        <f t="shared" si="4"/>
        <v>400</v>
      </c>
      <c r="D26" s="13">
        <v>100</v>
      </c>
      <c r="E26" s="13">
        <f t="shared" si="5"/>
        <v>4</v>
      </c>
      <c r="F26" s="13">
        <f t="shared" si="1"/>
        <v>504</v>
      </c>
      <c r="G26" s="13">
        <v>0</v>
      </c>
      <c r="H26" s="13">
        <f t="shared" si="2"/>
        <v>4</v>
      </c>
      <c r="I26" s="13">
        <f t="shared" si="3"/>
        <v>500</v>
      </c>
      <c r="L26">
        <v>14</v>
      </c>
      <c r="M26">
        <v>8</v>
      </c>
      <c r="N26">
        <f>L26*M26</f>
        <v>112</v>
      </c>
    </row>
    <row r="27" spans="1:14" ht="15.75" thickBot="1" x14ac:dyDescent="0.3">
      <c r="A27" s="9"/>
      <c r="B27" s="14"/>
      <c r="C27" s="15"/>
      <c r="D27" s="15">
        <f>SUM(D17:D26)</f>
        <v>500</v>
      </c>
      <c r="E27" s="15">
        <f>SUM(E17:E26)</f>
        <v>12</v>
      </c>
      <c r="F27" s="15"/>
      <c r="G27" s="15">
        <f>SUM(G15:G26)</f>
        <v>0</v>
      </c>
      <c r="H27" s="15">
        <f>SUM(H17:H26)</f>
        <v>12</v>
      </c>
      <c r="I27" s="15"/>
    </row>
    <row r="28" spans="1:14" ht="15.75" thickTop="1" x14ac:dyDescent="0.25">
      <c r="A28" s="694" t="s">
        <v>50</v>
      </c>
      <c r="B28" s="12">
        <v>45383</v>
      </c>
      <c r="C28" s="13">
        <f>I26</f>
        <v>500</v>
      </c>
      <c r="D28" s="13">
        <v>100</v>
      </c>
      <c r="E28" s="13">
        <f t="shared" si="5"/>
        <v>4.8</v>
      </c>
      <c r="F28" s="13">
        <f t="shared" si="1"/>
        <v>604.79999999999995</v>
      </c>
      <c r="G28" s="13">
        <v>0</v>
      </c>
      <c r="H28" s="13">
        <f t="shared" si="2"/>
        <v>4.8</v>
      </c>
      <c r="I28" s="13">
        <f t="shared" si="3"/>
        <v>600</v>
      </c>
      <c r="L28">
        <f>SUM(L21:L27)</f>
        <v>120</v>
      </c>
      <c r="N28">
        <f>SUM(N21:N27)</f>
        <v>660</v>
      </c>
    </row>
    <row r="29" spans="1:14" ht="15" x14ac:dyDescent="0.25">
      <c r="A29" s="695"/>
      <c r="B29" s="12">
        <v>45413</v>
      </c>
      <c r="C29" s="13">
        <f t="shared" si="4"/>
        <v>600</v>
      </c>
      <c r="D29" s="13">
        <v>100</v>
      </c>
      <c r="E29" s="13">
        <f t="shared" si="5"/>
        <v>5.6000000000000005</v>
      </c>
      <c r="F29" s="13">
        <f t="shared" si="1"/>
        <v>705.6</v>
      </c>
      <c r="G29" s="13">
        <v>0</v>
      </c>
      <c r="H29" s="13">
        <f t="shared" si="2"/>
        <v>5.6000000000000005</v>
      </c>
      <c r="I29" s="13">
        <f t="shared" si="3"/>
        <v>700</v>
      </c>
    </row>
    <row r="30" spans="1:14" ht="15" x14ac:dyDescent="0.25">
      <c r="A30" s="695"/>
      <c r="B30" s="12">
        <v>45444</v>
      </c>
      <c r="C30" s="13">
        <f t="shared" si="4"/>
        <v>700</v>
      </c>
      <c r="D30" s="13">
        <v>100</v>
      </c>
      <c r="E30" s="13">
        <f t="shared" si="5"/>
        <v>6.3999999999999995</v>
      </c>
      <c r="F30" s="13">
        <f t="shared" si="1"/>
        <v>806.4</v>
      </c>
      <c r="G30" s="13">
        <v>0</v>
      </c>
      <c r="H30" s="13">
        <f t="shared" si="2"/>
        <v>6.3999999999999995</v>
      </c>
      <c r="I30" s="13">
        <f t="shared" si="3"/>
        <v>800</v>
      </c>
    </row>
    <row r="31" spans="1:14" ht="15" x14ac:dyDescent="0.25">
      <c r="A31" s="695"/>
      <c r="B31" s="12">
        <v>45474</v>
      </c>
      <c r="C31" s="13">
        <f t="shared" si="4"/>
        <v>800</v>
      </c>
      <c r="D31" s="13">
        <v>100</v>
      </c>
      <c r="E31" s="13">
        <f t="shared" si="5"/>
        <v>7.2</v>
      </c>
      <c r="F31" s="13">
        <f t="shared" si="1"/>
        <v>907.2</v>
      </c>
      <c r="G31" s="13">
        <v>0</v>
      </c>
      <c r="H31" s="13">
        <f>E31</f>
        <v>7.2</v>
      </c>
      <c r="I31" s="13">
        <f t="shared" si="3"/>
        <v>900</v>
      </c>
    </row>
    <row r="32" spans="1:14" ht="15" x14ac:dyDescent="0.25">
      <c r="A32" s="695"/>
      <c r="B32" s="12">
        <v>45505</v>
      </c>
      <c r="C32" s="13">
        <f t="shared" si="4"/>
        <v>900</v>
      </c>
      <c r="D32" s="13">
        <v>0</v>
      </c>
      <c r="E32" s="13">
        <f t="shared" si="5"/>
        <v>7.2</v>
      </c>
      <c r="F32" s="13">
        <f t="shared" si="1"/>
        <v>907.2</v>
      </c>
      <c r="G32" s="13">
        <v>0</v>
      </c>
      <c r="H32" s="13">
        <f t="shared" ref="H32:H48" si="7">E32</f>
        <v>7.2</v>
      </c>
      <c r="I32" s="13">
        <f t="shared" si="3"/>
        <v>900</v>
      </c>
      <c r="K32">
        <f>D27/75*100</f>
        <v>666.66666666666674</v>
      </c>
    </row>
    <row r="33" spans="1:13" ht="15" x14ac:dyDescent="0.25">
      <c r="A33" s="695"/>
      <c r="B33" s="12">
        <v>45536</v>
      </c>
      <c r="C33" s="13">
        <f t="shared" si="4"/>
        <v>900</v>
      </c>
      <c r="D33" s="13">
        <v>100</v>
      </c>
      <c r="E33" s="13">
        <f t="shared" si="5"/>
        <v>8</v>
      </c>
      <c r="F33" s="13">
        <f t="shared" si="1"/>
        <v>1008</v>
      </c>
      <c r="G33" s="13">
        <v>0</v>
      </c>
      <c r="H33" s="13">
        <f t="shared" si="7"/>
        <v>8</v>
      </c>
      <c r="I33" s="13">
        <f t="shared" si="3"/>
        <v>1000</v>
      </c>
    </row>
    <row r="34" spans="1:13" ht="15" x14ac:dyDescent="0.25">
      <c r="A34" s="695"/>
      <c r="B34" s="12">
        <v>45566</v>
      </c>
      <c r="C34" s="13">
        <f t="shared" si="4"/>
        <v>1000</v>
      </c>
      <c r="D34" s="13">
        <v>0</v>
      </c>
      <c r="E34" s="13">
        <f t="shared" si="5"/>
        <v>8</v>
      </c>
      <c r="F34" s="13">
        <f t="shared" si="1"/>
        <v>1008</v>
      </c>
      <c r="G34" s="13">
        <v>0</v>
      </c>
      <c r="H34" s="13">
        <f t="shared" si="7"/>
        <v>8</v>
      </c>
      <c r="I34" s="13">
        <f t="shared" si="3"/>
        <v>1000</v>
      </c>
    </row>
    <row r="35" spans="1:13" ht="15" x14ac:dyDescent="0.25">
      <c r="A35" s="695"/>
      <c r="B35" s="12">
        <v>45597</v>
      </c>
      <c r="C35" s="13">
        <f t="shared" si="4"/>
        <v>1000</v>
      </c>
      <c r="D35" s="13">
        <v>100</v>
      </c>
      <c r="E35" s="13">
        <f t="shared" si="5"/>
        <v>8.8000000000000007</v>
      </c>
      <c r="F35" s="13">
        <f t="shared" si="1"/>
        <v>1108.8</v>
      </c>
      <c r="G35" s="13">
        <v>0</v>
      </c>
      <c r="H35" s="13">
        <f t="shared" si="7"/>
        <v>8.8000000000000007</v>
      </c>
      <c r="I35" s="13">
        <f t="shared" si="3"/>
        <v>1100</v>
      </c>
    </row>
    <row r="36" spans="1:13" ht="15" x14ac:dyDescent="0.25">
      <c r="A36" s="695"/>
      <c r="B36" s="12">
        <v>45627</v>
      </c>
      <c r="C36" s="13">
        <f t="shared" si="4"/>
        <v>1100</v>
      </c>
      <c r="D36" s="13">
        <v>50</v>
      </c>
      <c r="E36" s="13">
        <f t="shared" si="5"/>
        <v>9.2000000000000011</v>
      </c>
      <c r="F36" s="13">
        <f t="shared" si="1"/>
        <v>1159.2</v>
      </c>
      <c r="G36" s="13">
        <v>0</v>
      </c>
      <c r="H36" s="13">
        <f t="shared" si="7"/>
        <v>9.2000000000000011</v>
      </c>
      <c r="I36" s="13">
        <f t="shared" si="3"/>
        <v>1150</v>
      </c>
    </row>
    <row r="37" spans="1:13" ht="15" x14ac:dyDescent="0.25">
      <c r="A37" s="695"/>
      <c r="B37" s="12">
        <v>45658</v>
      </c>
      <c r="C37" s="13">
        <f t="shared" si="4"/>
        <v>1150</v>
      </c>
      <c r="D37" s="13">
        <v>40</v>
      </c>
      <c r="E37" s="13">
        <f t="shared" si="5"/>
        <v>9.5200000000000014</v>
      </c>
      <c r="F37" s="13">
        <f t="shared" si="1"/>
        <v>1199.52</v>
      </c>
      <c r="G37" s="13">
        <v>0</v>
      </c>
      <c r="H37" s="13">
        <f t="shared" si="7"/>
        <v>9.5200000000000014</v>
      </c>
      <c r="I37" s="13">
        <f t="shared" si="3"/>
        <v>1190</v>
      </c>
    </row>
    <row r="38" spans="1:13" ht="15" x14ac:dyDescent="0.25">
      <c r="A38" s="695"/>
      <c r="B38" s="12">
        <v>45689</v>
      </c>
      <c r="C38" s="13">
        <f t="shared" si="4"/>
        <v>1190</v>
      </c>
      <c r="D38" s="13">
        <v>0</v>
      </c>
      <c r="E38" s="13">
        <f t="shared" si="5"/>
        <v>9.5200000000000014</v>
      </c>
      <c r="F38" s="13">
        <f t="shared" si="1"/>
        <v>1199.52</v>
      </c>
      <c r="G38" s="13">
        <v>0</v>
      </c>
      <c r="H38" s="13">
        <f t="shared" si="7"/>
        <v>9.5200000000000014</v>
      </c>
      <c r="I38" s="13">
        <f t="shared" si="3"/>
        <v>1190</v>
      </c>
    </row>
    <row r="39" spans="1:13" ht="15" x14ac:dyDescent="0.25">
      <c r="A39" s="696"/>
      <c r="B39" s="12">
        <v>45717</v>
      </c>
      <c r="C39" s="13">
        <f t="shared" si="4"/>
        <v>1190</v>
      </c>
      <c r="D39" s="13">
        <v>0</v>
      </c>
      <c r="E39" s="13">
        <f t="shared" si="5"/>
        <v>9.5200000000000014</v>
      </c>
      <c r="F39" s="13">
        <f t="shared" si="1"/>
        <v>1199.52</v>
      </c>
      <c r="G39" s="13">
        <v>0</v>
      </c>
      <c r="H39" s="13">
        <f t="shared" si="7"/>
        <v>9.5200000000000014</v>
      </c>
      <c r="I39" s="13">
        <f t="shared" si="3"/>
        <v>1190</v>
      </c>
    </row>
    <row r="40" spans="1:13" ht="15.75" thickBot="1" x14ac:dyDescent="0.3">
      <c r="A40" s="9"/>
      <c r="B40" s="14"/>
      <c r="C40" s="15"/>
      <c r="D40" s="15">
        <f>SUM(D28:D39)</f>
        <v>690</v>
      </c>
      <c r="E40" s="15">
        <f>SUM(E28:E39)</f>
        <v>93.759999999999991</v>
      </c>
      <c r="F40" s="15"/>
      <c r="G40" s="15">
        <v>0</v>
      </c>
      <c r="H40" s="15">
        <f>SUM(H28:H39)</f>
        <v>93.759999999999991</v>
      </c>
      <c r="I40" s="15"/>
    </row>
    <row r="41" spans="1:13" ht="15.75" thickTop="1" x14ac:dyDescent="0.25">
      <c r="A41" s="694" t="s">
        <v>51</v>
      </c>
      <c r="B41" s="12">
        <v>45748</v>
      </c>
      <c r="C41" s="13">
        <f>I39</f>
        <v>1190</v>
      </c>
      <c r="D41" s="13">
        <v>0</v>
      </c>
      <c r="E41" s="13">
        <f t="shared" si="5"/>
        <v>9.5200000000000014</v>
      </c>
      <c r="F41" s="13">
        <f t="shared" si="1"/>
        <v>1199.52</v>
      </c>
      <c r="G41" s="13">
        <v>0</v>
      </c>
      <c r="H41" s="13">
        <f t="shared" si="7"/>
        <v>9.5200000000000014</v>
      </c>
      <c r="I41" s="13">
        <f t="shared" si="3"/>
        <v>1190</v>
      </c>
    </row>
    <row r="42" spans="1:13" ht="15" x14ac:dyDescent="0.25">
      <c r="A42" s="695"/>
      <c r="B42" s="12">
        <v>45778</v>
      </c>
      <c r="C42" s="13">
        <f t="shared" si="4"/>
        <v>1190</v>
      </c>
      <c r="D42" s="13">
        <v>0</v>
      </c>
      <c r="E42" s="13">
        <f t="shared" si="5"/>
        <v>9.5200000000000014</v>
      </c>
      <c r="F42" s="13">
        <f t="shared" si="1"/>
        <v>1199.52</v>
      </c>
      <c r="G42" s="13">
        <v>0</v>
      </c>
      <c r="H42" s="13">
        <f t="shared" si="7"/>
        <v>9.5200000000000014</v>
      </c>
      <c r="I42" s="13">
        <f t="shared" si="3"/>
        <v>1190</v>
      </c>
      <c r="M42">
        <f>660/120</f>
        <v>5.5</v>
      </c>
    </row>
    <row r="43" spans="1:13" ht="15" x14ac:dyDescent="0.25">
      <c r="A43" s="695"/>
      <c r="B43" s="12">
        <v>45809</v>
      </c>
      <c r="C43" s="13">
        <f t="shared" si="4"/>
        <v>1190</v>
      </c>
      <c r="D43" s="13">
        <v>0</v>
      </c>
      <c r="E43" s="13">
        <f t="shared" si="5"/>
        <v>9.5200000000000014</v>
      </c>
      <c r="F43" s="13">
        <f t="shared" si="1"/>
        <v>1199.52</v>
      </c>
      <c r="G43" s="13">
        <v>0</v>
      </c>
      <c r="H43" s="13">
        <f t="shared" si="7"/>
        <v>9.5200000000000014</v>
      </c>
      <c r="I43" s="13">
        <f t="shared" si="3"/>
        <v>1190</v>
      </c>
    </row>
    <row r="44" spans="1:13" ht="15" x14ac:dyDescent="0.25">
      <c r="A44" s="695"/>
      <c r="B44" s="12">
        <v>45839</v>
      </c>
      <c r="C44" s="13">
        <f t="shared" si="4"/>
        <v>1190</v>
      </c>
      <c r="D44" s="13">
        <v>0</v>
      </c>
      <c r="E44" s="13">
        <f t="shared" si="5"/>
        <v>9.5200000000000014</v>
      </c>
      <c r="F44" s="13">
        <f t="shared" si="1"/>
        <v>1199.52</v>
      </c>
      <c r="G44" s="13">
        <v>0</v>
      </c>
      <c r="H44" s="13">
        <f t="shared" si="7"/>
        <v>9.5200000000000014</v>
      </c>
      <c r="I44" s="13">
        <f t="shared" si="3"/>
        <v>1190</v>
      </c>
    </row>
    <row r="45" spans="1:13" ht="15" x14ac:dyDescent="0.25">
      <c r="A45" s="695"/>
      <c r="B45" s="12">
        <v>45870</v>
      </c>
      <c r="C45" s="13">
        <f t="shared" si="4"/>
        <v>1190</v>
      </c>
      <c r="D45" s="13">
        <v>0</v>
      </c>
      <c r="E45" s="13">
        <f t="shared" si="5"/>
        <v>9.5200000000000014</v>
      </c>
      <c r="F45" s="13">
        <f t="shared" si="1"/>
        <v>1199.52</v>
      </c>
      <c r="G45" s="13">
        <v>0</v>
      </c>
      <c r="H45" s="13">
        <f t="shared" si="7"/>
        <v>9.5200000000000014</v>
      </c>
      <c r="I45" s="13">
        <f t="shared" si="3"/>
        <v>1190</v>
      </c>
      <c r="K45" s="27">
        <f>SUM(E41:E45)+E40+E27</f>
        <v>153.36000000000001</v>
      </c>
    </row>
    <row r="46" spans="1:13" ht="15" x14ac:dyDescent="0.25">
      <c r="A46" s="695"/>
      <c r="B46" s="12">
        <v>45901</v>
      </c>
      <c r="C46" s="13">
        <f t="shared" si="4"/>
        <v>1190</v>
      </c>
      <c r="D46" s="13">
        <v>0</v>
      </c>
      <c r="E46" s="13">
        <f t="shared" si="5"/>
        <v>9.5200000000000014</v>
      </c>
      <c r="F46" s="13">
        <f t="shared" si="1"/>
        <v>1199.52</v>
      </c>
      <c r="G46" s="13">
        <v>0</v>
      </c>
      <c r="H46" s="13">
        <f t="shared" si="7"/>
        <v>9.5200000000000014</v>
      </c>
      <c r="I46" s="13">
        <f t="shared" si="3"/>
        <v>1190</v>
      </c>
    </row>
    <row r="47" spans="1:13" ht="15" x14ac:dyDescent="0.25">
      <c r="A47" s="695"/>
      <c r="B47" s="12">
        <v>45931</v>
      </c>
      <c r="C47" s="13">
        <f t="shared" si="4"/>
        <v>1190</v>
      </c>
      <c r="D47" s="13">
        <v>0</v>
      </c>
      <c r="E47" s="13">
        <f t="shared" si="5"/>
        <v>9.5200000000000014</v>
      </c>
      <c r="F47" s="13">
        <f t="shared" si="1"/>
        <v>1199.52</v>
      </c>
      <c r="G47" s="13">
        <v>0</v>
      </c>
      <c r="H47" s="13">
        <f t="shared" si="7"/>
        <v>9.5200000000000014</v>
      </c>
      <c r="I47" s="13">
        <f t="shared" si="3"/>
        <v>1190</v>
      </c>
    </row>
    <row r="48" spans="1:13" ht="15" x14ac:dyDescent="0.25">
      <c r="A48" s="695"/>
      <c r="B48" s="12">
        <v>45962</v>
      </c>
      <c r="C48" s="13">
        <f t="shared" si="4"/>
        <v>1190</v>
      </c>
      <c r="D48" s="13">
        <v>0</v>
      </c>
      <c r="E48" s="13">
        <f t="shared" si="5"/>
        <v>9.5200000000000014</v>
      </c>
      <c r="F48" s="13">
        <f t="shared" si="1"/>
        <v>1199.52</v>
      </c>
      <c r="G48" s="13">
        <v>0</v>
      </c>
      <c r="H48" s="13">
        <f t="shared" si="7"/>
        <v>9.5200000000000014</v>
      </c>
      <c r="I48" s="13">
        <f t="shared" si="3"/>
        <v>1190</v>
      </c>
    </row>
    <row r="49" spans="1:9" ht="15" x14ac:dyDescent="0.25">
      <c r="A49" s="695"/>
      <c r="B49" s="12">
        <v>45992</v>
      </c>
      <c r="C49" s="13">
        <f t="shared" si="4"/>
        <v>1190</v>
      </c>
      <c r="D49" s="13">
        <v>0</v>
      </c>
      <c r="E49" s="13">
        <f t="shared" si="5"/>
        <v>9.5200000000000014</v>
      </c>
      <c r="F49" s="13">
        <f t="shared" si="1"/>
        <v>1199.52</v>
      </c>
      <c r="G49" s="13">
        <v>0</v>
      </c>
      <c r="H49" s="13">
        <f>E49+G49</f>
        <v>9.5200000000000014</v>
      </c>
      <c r="I49" s="13">
        <f t="shared" si="3"/>
        <v>1190</v>
      </c>
    </row>
    <row r="50" spans="1:9" ht="15" x14ac:dyDescent="0.25">
      <c r="A50" s="695"/>
      <c r="B50" s="12">
        <v>46023</v>
      </c>
      <c r="C50" s="13">
        <f t="shared" si="4"/>
        <v>1190</v>
      </c>
      <c r="D50" s="13">
        <v>0</v>
      </c>
      <c r="E50" s="13">
        <f t="shared" si="5"/>
        <v>9.5200000000000014</v>
      </c>
      <c r="F50" s="13">
        <f t="shared" si="1"/>
        <v>1199.52</v>
      </c>
      <c r="G50" s="13">
        <v>0</v>
      </c>
      <c r="H50" s="13">
        <f t="shared" ref="H50:H52" si="8">E50+G50</f>
        <v>9.5200000000000014</v>
      </c>
      <c r="I50" s="13">
        <f t="shared" si="3"/>
        <v>1190</v>
      </c>
    </row>
    <row r="51" spans="1:9" ht="15" x14ac:dyDescent="0.25">
      <c r="A51" s="695"/>
      <c r="B51" s="12">
        <v>46054</v>
      </c>
      <c r="C51" s="13">
        <f t="shared" si="4"/>
        <v>1190</v>
      </c>
      <c r="D51" s="13">
        <v>0</v>
      </c>
      <c r="E51" s="13">
        <f t="shared" si="5"/>
        <v>9.5200000000000014</v>
      </c>
      <c r="F51" s="13">
        <f t="shared" si="1"/>
        <v>1199.52</v>
      </c>
      <c r="G51" s="13">
        <v>0</v>
      </c>
      <c r="H51" s="13">
        <f t="shared" si="8"/>
        <v>9.5200000000000014</v>
      </c>
      <c r="I51" s="13">
        <f t="shared" si="3"/>
        <v>1190</v>
      </c>
    </row>
    <row r="52" spans="1:9" ht="15" x14ac:dyDescent="0.25">
      <c r="A52" s="696"/>
      <c r="B52" s="12">
        <v>46082</v>
      </c>
      <c r="C52" s="13">
        <f t="shared" si="4"/>
        <v>1190</v>
      </c>
      <c r="D52" s="13">
        <v>0</v>
      </c>
      <c r="E52" s="13">
        <f t="shared" si="5"/>
        <v>9.5200000000000014</v>
      </c>
      <c r="F52" s="13">
        <f t="shared" si="1"/>
        <v>1199.52</v>
      </c>
      <c r="G52" s="13">
        <v>0</v>
      </c>
      <c r="H52" s="13">
        <f t="shared" si="8"/>
        <v>9.5200000000000014</v>
      </c>
      <c r="I52" s="13">
        <f t="shared" si="3"/>
        <v>1190</v>
      </c>
    </row>
    <row r="53" spans="1:9" ht="15.75" thickBot="1" x14ac:dyDescent="0.3">
      <c r="A53" s="9"/>
      <c r="B53" s="14"/>
      <c r="C53" s="15"/>
      <c r="D53" s="15">
        <f>SUM(D41:D52)</f>
        <v>0</v>
      </c>
      <c r="E53" s="15">
        <f>SUM(E41:E52)</f>
        <v>114.24</v>
      </c>
      <c r="F53" s="15"/>
      <c r="G53" s="17">
        <f>SUM(G41:G52)</f>
        <v>0</v>
      </c>
      <c r="H53" s="15">
        <f>SUM(H41:H52)</f>
        <v>114.24</v>
      </c>
      <c r="I53" s="15"/>
    </row>
    <row r="54" spans="1:9" ht="15.75" thickTop="1" x14ac:dyDescent="0.25">
      <c r="A54" s="694" t="s">
        <v>52</v>
      </c>
      <c r="B54" s="12">
        <v>46113</v>
      </c>
      <c r="C54" s="13">
        <f>I52</f>
        <v>1190</v>
      </c>
      <c r="D54" s="13">
        <v>0</v>
      </c>
      <c r="E54" s="13">
        <f t="shared" si="5"/>
        <v>9.5200000000000014</v>
      </c>
      <c r="F54" s="13">
        <f t="shared" si="1"/>
        <v>1199.52</v>
      </c>
      <c r="G54" s="13">
        <v>0</v>
      </c>
      <c r="H54" s="13">
        <f t="shared" ref="H54:H65" si="9">E54+G54</f>
        <v>9.5200000000000014</v>
      </c>
      <c r="I54" s="13">
        <f t="shared" si="3"/>
        <v>1190</v>
      </c>
    </row>
    <row r="55" spans="1:9" ht="15" x14ac:dyDescent="0.25">
      <c r="A55" s="695"/>
      <c r="B55" s="12">
        <v>46143</v>
      </c>
      <c r="C55" s="13">
        <f t="shared" si="4"/>
        <v>1190</v>
      </c>
      <c r="D55" s="13">
        <v>0</v>
      </c>
      <c r="E55" s="13">
        <f t="shared" si="5"/>
        <v>9.5200000000000014</v>
      </c>
      <c r="F55" s="13">
        <f t="shared" si="1"/>
        <v>1199.52</v>
      </c>
      <c r="G55" s="13">
        <v>0</v>
      </c>
      <c r="H55" s="13">
        <f t="shared" si="9"/>
        <v>9.5200000000000014</v>
      </c>
      <c r="I55" s="13">
        <f t="shared" si="3"/>
        <v>1190</v>
      </c>
    </row>
    <row r="56" spans="1:9" ht="15" x14ac:dyDescent="0.25">
      <c r="A56" s="695"/>
      <c r="B56" s="12">
        <v>46174</v>
      </c>
      <c r="C56" s="13">
        <f t="shared" si="4"/>
        <v>1190</v>
      </c>
      <c r="D56" s="13">
        <v>0</v>
      </c>
      <c r="E56" s="13">
        <f t="shared" si="5"/>
        <v>9.5200000000000014</v>
      </c>
      <c r="F56" s="13">
        <f t="shared" si="1"/>
        <v>1199.52</v>
      </c>
      <c r="G56" s="13">
        <v>0</v>
      </c>
      <c r="H56" s="13">
        <f t="shared" si="9"/>
        <v>9.5200000000000014</v>
      </c>
      <c r="I56" s="13">
        <f t="shared" si="3"/>
        <v>1190</v>
      </c>
    </row>
    <row r="57" spans="1:9" ht="15" x14ac:dyDescent="0.25">
      <c r="A57" s="695"/>
      <c r="B57" s="12">
        <v>46204</v>
      </c>
      <c r="C57" s="13">
        <f t="shared" si="4"/>
        <v>1190</v>
      </c>
      <c r="D57" s="13">
        <v>0</v>
      </c>
      <c r="E57" s="13">
        <f t="shared" si="5"/>
        <v>9.5200000000000014</v>
      </c>
      <c r="F57" s="13">
        <f t="shared" si="1"/>
        <v>1199.52</v>
      </c>
      <c r="G57" s="13">
        <v>0</v>
      </c>
      <c r="H57" s="13">
        <f t="shared" si="9"/>
        <v>9.5200000000000014</v>
      </c>
      <c r="I57" s="13">
        <f t="shared" si="3"/>
        <v>1190</v>
      </c>
    </row>
    <row r="58" spans="1:9" ht="15" x14ac:dyDescent="0.25">
      <c r="A58" s="695"/>
      <c r="B58" s="12">
        <v>46235</v>
      </c>
      <c r="C58" s="13">
        <f t="shared" si="4"/>
        <v>1190</v>
      </c>
      <c r="D58" s="13">
        <v>0</v>
      </c>
      <c r="E58" s="13">
        <f t="shared" si="5"/>
        <v>9.5200000000000014</v>
      </c>
      <c r="F58" s="13">
        <f t="shared" si="1"/>
        <v>1199.52</v>
      </c>
      <c r="G58" s="13">
        <v>0</v>
      </c>
      <c r="H58" s="13">
        <f t="shared" si="9"/>
        <v>9.5200000000000014</v>
      </c>
      <c r="I58" s="13">
        <f t="shared" si="3"/>
        <v>1190</v>
      </c>
    </row>
    <row r="59" spans="1:9" ht="15" x14ac:dyDescent="0.25">
      <c r="A59" s="695"/>
      <c r="B59" s="12">
        <v>46266</v>
      </c>
      <c r="C59" s="13">
        <f t="shared" si="4"/>
        <v>1190</v>
      </c>
      <c r="D59" s="13">
        <v>0</v>
      </c>
      <c r="E59" s="13">
        <f t="shared" si="5"/>
        <v>9.5200000000000014</v>
      </c>
      <c r="F59" s="13">
        <f t="shared" si="1"/>
        <v>1199.52</v>
      </c>
      <c r="G59" s="13">
        <v>6</v>
      </c>
      <c r="H59" s="13">
        <f t="shared" si="9"/>
        <v>15.520000000000001</v>
      </c>
      <c r="I59" s="13">
        <f t="shared" si="3"/>
        <v>1184</v>
      </c>
    </row>
    <row r="60" spans="1:9" ht="15" x14ac:dyDescent="0.25">
      <c r="A60" s="695"/>
      <c r="B60" s="12">
        <v>46296</v>
      </c>
      <c r="C60" s="13">
        <f t="shared" si="4"/>
        <v>1184</v>
      </c>
      <c r="D60" s="13">
        <v>0</v>
      </c>
      <c r="E60" s="13">
        <f t="shared" si="5"/>
        <v>9.4719999999999995</v>
      </c>
      <c r="F60" s="13">
        <f t="shared" si="1"/>
        <v>1193.472</v>
      </c>
      <c r="G60" s="13">
        <f>G59</f>
        <v>6</v>
      </c>
      <c r="H60" s="13">
        <f t="shared" si="9"/>
        <v>15.472</v>
      </c>
      <c r="I60" s="13">
        <f t="shared" si="3"/>
        <v>1178</v>
      </c>
    </row>
    <row r="61" spans="1:9" ht="15" x14ac:dyDescent="0.25">
      <c r="A61" s="695"/>
      <c r="B61" s="12">
        <v>46327</v>
      </c>
      <c r="C61" s="13">
        <f t="shared" si="4"/>
        <v>1178</v>
      </c>
      <c r="D61" s="13">
        <v>0</v>
      </c>
      <c r="E61" s="13">
        <f t="shared" si="5"/>
        <v>9.4240000000000013</v>
      </c>
      <c r="F61" s="13">
        <f t="shared" si="1"/>
        <v>1187.424</v>
      </c>
      <c r="G61" s="13">
        <f t="shared" ref="G61:G65" si="10">G60</f>
        <v>6</v>
      </c>
      <c r="H61" s="13">
        <f t="shared" si="9"/>
        <v>15.424000000000001</v>
      </c>
      <c r="I61" s="13">
        <f t="shared" si="3"/>
        <v>1172</v>
      </c>
    </row>
    <row r="62" spans="1:9" ht="15" x14ac:dyDescent="0.25">
      <c r="A62" s="695"/>
      <c r="B62" s="12">
        <v>46357</v>
      </c>
      <c r="C62" s="13">
        <f t="shared" si="4"/>
        <v>1172</v>
      </c>
      <c r="D62" s="13">
        <v>0</v>
      </c>
      <c r="E62" s="13">
        <f t="shared" si="5"/>
        <v>9.3759999999999994</v>
      </c>
      <c r="F62" s="13">
        <f t="shared" si="1"/>
        <v>1181.376</v>
      </c>
      <c r="G62" s="13">
        <f t="shared" si="10"/>
        <v>6</v>
      </c>
      <c r="H62" s="13">
        <f t="shared" si="9"/>
        <v>15.375999999999999</v>
      </c>
      <c r="I62" s="13">
        <f t="shared" si="3"/>
        <v>1166</v>
      </c>
    </row>
    <row r="63" spans="1:9" ht="15" x14ac:dyDescent="0.25">
      <c r="A63" s="695"/>
      <c r="B63" s="12">
        <v>46388</v>
      </c>
      <c r="C63" s="13">
        <f t="shared" si="4"/>
        <v>1166</v>
      </c>
      <c r="D63" s="13">
        <v>0</v>
      </c>
      <c r="E63" s="13">
        <f t="shared" si="5"/>
        <v>9.3280000000000012</v>
      </c>
      <c r="F63" s="13">
        <f t="shared" si="1"/>
        <v>1175.328</v>
      </c>
      <c r="G63" s="13">
        <f t="shared" si="10"/>
        <v>6</v>
      </c>
      <c r="H63" s="13">
        <f t="shared" si="9"/>
        <v>15.328000000000001</v>
      </c>
      <c r="I63" s="13">
        <f t="shared" si="3"/>
        <v>1160</v>
      </c>
    </row>
    <row r="64" spans="1:9" ht="15" x14ac:dyDescent="0.25">
      <c r="A64" s="695"/>
      <c r="B64" s="12">
        <v>46419</v>
      </c>
      <c r="C64" s="13">
        <f t="shared" si="4"/>
        <v>1160</v>
      </c>
      <c r="D64" s="13">
        <v>0</v>
      </c>
      <c r="E64" s="13">
        <f t="shared" si="5"/>
        <v>9.2799999999999994</v>
      </c>
      <c r="F64" s="13">
        <f t="shared" si="1"/>
        <v>1169.28</v>
      </c>
      <c r="G64" s="13">
        <f t="shared" si="10"/>
        <v>6</v>
      </c>
      <c r="H64" s="13">
        <f t="shared" si="9"/>
        <v>15.28</v>
      </c>
      <c r="I64" s="13">
        <f t="shared" si="3"/>
        <v>1154</v>
      </c>
    </row>
    <row r="65" spans="1:9" ht="15" x14ac:dyDescent="0.25">
      <c r="A65" s="696"/>
      <c r="B65" s="12">
        <v>46447</v>
      </c>
      <c r="C65" s="13">
        <f t="shared" si="4"/>
        <v>1154</v>
      </c>
      <c r="D65" s="13">
        <v>0</v>
      </c>
      <c r="E65" s="13">
        <f t="shared" si="5"/>
        <v>9.2320000000000011</v>
      </c>
      <c r="F65" s="13">
        <f t="shared" si="1"/>
        <v>1163.232</v>
      </c>
      <c r="G65" s="13">
        <f t="shared" si="10"/>
        <v>6</v>
      </c>
      <c r="H65" s="13">
        <f t="shared" si="9"/>
        <v>15.232000000000001</v>
      </c>
      <c r="I65" s="13">
        <f t="shared" si="3"/>
        <v>1148</v>
      </c>
    </row>
    <row r="66" spans="1:9" ht="15.75" thickBot="1" x14ac:dyDescent="0.3">
      <c r="A66" s="9"/>
      <c r="B66" s="14"/>
      <c r="C66" s="15"/>
      <c r="D66" s="15">
        <f t="shared" ref="D66:E66" si="11">SUM(D54:D65)</f>
        <v>0</v>
      </c>
      <c r="E66" s="15">
        <f t="shared" si="11"/>
        <v>113.23200000000003</v>
      </c>
      <c r="F66" s="15"/>
      <c r="G66" s="17">
        <f>SUM(G54:G65)</f>
        <v>42</v>
      </c>
      <c r="H66" s="15">
        <f>SUM(H54:H65)</f>
        <v>155.23200000000003</v>
      </c>
      <c r="I66" s="15"/>
    </row>
    <row r="67" spans="1:9" ht="15.75" thickTop="1" x14ac:dyDescent="0.25">
      <c r="A67" s="694" t="s">
        <v>53</v>
      </c>
      <c r="B67" s="12">
        <v>46478</v>
      </c>
      <c r="C67" s="13">
        <f>I65</f>
        <v>1148</v>
      </c>
      <c r="D67" s="13">
        <v>0</v>
      </c>
      <c r="E67" s="13">
        <f t="shared" si="5"/>
        <v>9.1839999999999993</v>
      </c>
      <c r="F67" s="13">
        <f t="shared" si="1"/>
        <v>1157.184</v>
      </c>
      <c r="G67" s="13">
        <v>7</v>
      </c>
      <c r="H67" s="13">
        <f t="shared" ref="H67:H78" si="12">E67+G67</f>
        <v>16.183999999999997</v>
      </c>
      <c r="I67" s="13">
        <f t="shared" si="3"/>
        <v>1141</v>
      </c>
    </row>
    <row r="68" spans="1:9" ht="15" x14ac:dyDescent="0.25">
      <c r="A68" s="695"/>
      <c r="B68" s="12">
        <v>46508</v>
      </c>
      <c r="C68" s="13">
        <f t="shared" si="4"/>
        <v>1141</v>
      </c>
      <c r="D68" s="13">
        <v>0</v>
      </c>
      <c r="E68" s="13">
        <f t="shared" si="5"/>
        <v>9.1280000000000001</v>
      </c>
      <c r="F68" s="13">
        <f t="shared" si="1"/>
        <v>1150.1279999999999</v>
      </c>
      <c r="G68" s="13">
        <f>G67</f>
        <v>7</v>
      </c>
      <c r="H68" s="13">
        <f t="shared" si="12"/>
        <v>16.128</v>
      </c>
      <c r="I68" s="13">
        <f t="shared" si="3"/>
        <v>1134</v>
      </c>
    </row>
    <row r="69" spans="1:9" ht="15" x14ac:dyDescent="0.25">
      <c r="A69" s="695"/>
      <c r="B69" s="12">
        <v>46539</v>
      </c>
      <c r="C69" s="13">
        <f t="shared" si="4"/>
        <v>1134</v>
      </c>
      <c r="D69" s="13">
        <v>0</v>
      </c>
      <c r="E69" s="13">
        <f t="shared" si="5"/>
        <v>9.072000000000001</v>
      </c>
      <c r="F69" s="13">
        <f t="shared" si="1"/>
        <v>1143.0719999999999</v>
      </c>
      <c r="G69" s="13">
        <f t="shared" ref="G69:G78" si="13">G68</f>
        <v>7</v>
      </c>
      <c r="H69" s="13">
        <f t="shared" si="12"/>
        <v>16.072000000000003</v>
      </c>
      <c r="I69" s="13">
        <f t="shared" si="3"/>
        <v>1127</v>
      </c>
    </row>
    <row r="70" spans="1:9" ht="15" x14ac:dyDescent="0.25">
      <c r="A70" s="695"/>
      <c r="B70" s="12">
        <v>46569</v>
      </c>
      <c r="C70" s="13">
        <f t="shared" si="4"/>
        <v>1127</v>
      </c>
      <c r="D70" s="13">
        <v>0</v>
      </c>
      <c r="E70" s="13">
        <f t="shared" si="5"/>
        <v>9.016</v>
      </c>
      <c r="F70" s="13">
        <f t="shared" si="1"/>
        <v>1136.0160000000001</v>
      </c>
      <c r="G70" s="13">
        <f t="shared" si="13"/>
        <v>7</v>
      </c>
      <c r="H70" s="13">
        <f t="shared" si="12"/>
        <v>16.015999999999998</v>
      </c>
      <c r="I70" s="13">
        <f t="shared" si="3"/>
        <v>1120</v>
      </c>
    </row>
    <row r="71" spans="1:9" ht="15" x14ac:dyDescent="0.25">
      <c r="A71" s="695"/>
      <c r="B71" s="12">
        <v>46600</v>
      </c>
      <c r="C71" s="13">
        <f t="shared" si="4"/>
        <v>1120</v>
      </c>
      <c r="D71" s="13">
        <v>0</v>
      </c>
      <c r="E71" s="13">
        <f t="shared" si="5"/>
        <v>8.9599999999999991</v>
      </c>
      <c r="F71" s="13">
        <f t="shared" si="1"/>
        <v>1128.96</v>
      </c>
      <c r="G71" s="13">
        <f t="shared" si="13"/>
        <v>7</v>
      </c>
      <c r="H71" s="13">
        <f t="shared" si="12"/>
        <v>15.959999999999999</v>
      </c>
      <c r="I71" s="13">
        <f t="shared" si="3"/>
        <v>1113</v>
      </c>
    </row>
    <row r="72" spans="1:9" ht="15" x14ac:dyDescent="0.25">
      <c r="A72" s="695"/>
      <c r="B72" s="12">
        <v>46631</v>
      </c>
      <c r="C72" s="13">
        <f t="shared" si="4"/>
        <v>1113</v>
      </c>
      <c r="D72" s="13">
        <v>0</v>
      </c>
      <c r="E72" s="13">
        <f t="shared" si="5"/>
        <v>8.9039999999999999</v>
      </c>
      <c r="F72" s="13">
        <f t="shared" si="1"/>
        <v>1121.904</v>
      </c>
      <c r="G72" s="13">
        <f t="shared" si="13"/>
        <v>7</v>
      </c>
      <c r="H72" s="13">
        <f t="shared" si="12"/>
        <v>15.904</v>
      </c>
      <c r="I72" s="13">
        <f t="shared" si="3"/>
        <v>1106</v>
      </c>
    </row>
    <row r="73" spans="1:9" ht="15" x14ac:dyDescent="0.25">
      <c r="A73" s="695"/>
      <c r="B73" s="12">
        <v>46661</v>
      </c>
      <c r="C73" s="13">
        <f t="shared" si="4"/>
        <v>1106</v>
      </c>
      <c r="D73" s="13">
        <v>0</v>
      </c>
      <c r="E73" s="13">
        <f t="shared" si="5"/>
        <v>8.8480000000000008</v>
      </c>
      <c r="F73" s="13">
        <f t="shared" si="1"/>
        <v>1114.848</v>
      </c>
      <c r="G73" s="13">
        <f t="shared" si="13"/>
        <v>7</v>
      </c>
      <c r="H73" s="13">
        <f t="shared" si="12"/>
        <v>15.848000000000001</v>
      </c>
      <c r="I73" s="13">
        <f t="shared" si="3"/>
        <v>1099</v>
      </c>
    </row>
    <row r="74" spans="1:9" ht="15" x14ac:dyDescent="0.25">
      <c r="A74" s="695"/>
      <c r="B74" s="12">
        <v>46692</v>
      </c>
      <c r="C74" s="13">
        <f t="shared" si="4"/>
        <v>1099</v>
      </c>
      <c r="D74" s="13">
        <v>0</v>
      </c>
      <c r="E74" s="13">
        <f t="shared" si="5"/>
        <v>8.7919999999999998</v>
      </c>
      <c r="F74" s="13">
        <f t="shared" si="1"/>
        <v>1107.7919999999999</v>
      </c>
      <c r="G74" s="13">
        <f t="shared" si="13"/>
        <v>7</v>
      </c>
      <c r="H74" s="13">
        <f t="shared" si="12"/>
        <v>15.792</v>
      </c>
      <c r="I74" s="13">
        <f t="shared" si="3"/>
        <v>1092</v>
      </c>
    </row>
    <row r="75" spans="1:9" ht="15" x14ac:dyDescent="0.25">
      <c r="A75" s="695"/>
      <c r="B75" s="12">
        <v>46722</v>
      </c>
      <c r="C75" s="13">
        <f t="shared" si="4"/>
        <v>1092</v>
      </c>
      <c r="D75" s="13">
        <v>0</v>
      </c>
      <c r="E75" s="13">
        <f t="shared" si="5"/>
        <v>8.7360000000000007</v>
      </c>
      <c r="F75" s="13">
        <f t="shared" si="1"/>
        <v>1100.7360000000001</v>
      </c>
      <c r="G75" s="13">
        <f t="shared" si="13"/>
        <v>7</v>
      </c>
      <c r="H75" s="13">
        <f t="shared" si="12"/>
        <v>15.736000000000001</v>
      </c>
      <c r="I75" s="13">
        <f t="shared" si="3"/>
        <v>1085</v>
      </c>
    </row>
    <row r="76" spans="1:9" ht="15" x14ac:dyDescent="0.25">
      <c r="A76" s="695"/>
      <c r="B76" s="12">
        <v>46753</v>
      </c>
      <c r="C76" s="13">
        <f t="shared" si="4"/>
        <v>1085</v>
      </c>
      <c r="D76" s="13">
        <v>0</v>
      </c>
      <c r="E76" s="13">
        <f t="shared" si="5"/>
        <v>8.68</v>
      </c>
      <c r="F76" s="13">
        <f t="shared" si="1"/>
        <v>1093.68</v>
      </c>
      <c r="G76" s="13">
        <f t="shared" si="13"/>
        <v>7</v>
      </c>
      <c r="H76" s="13">
        <f t="shared" si="12"/>
        <v>15.68</v>
      </c>
      <c r="I76" s="13">
        <f t="shared" si="3"/>
        <v>1078</v>
      </c>
    </row>
    <row r="77" spans="1:9" ht="15" x14ac:dyDescent="0.25">
      <c r="A77" s="695"/>
      <c r="B77" s="12">
        <v>46784</v>
      </c>
      <c r="C77" s="13">
        <f t="shared" si="4"/>
        <v>1078</v>
      </c>
      <c r="D77" s="13">
        <v>0</v>
      </c>
      <c r="E77" s="13">
        <f t="shared" si="5"/>
        <v>8.6240000000000006</v>
      </c>
      <c r="F77" s="13">
        <f t="shared" si="1"/>
        <v>1086.624</v>
      </c>
      <c r="G77" s="13">
        <f t="shared" si="13"/>
        <v>7</v>
      </c>
      <c r="H77" s="13">
        <f t="shared" si="12"/>
        <v>15.624000000000001</v>
      </c>
      <c r="I77" s="13">
        <f t="shared" si="3"/>
        <v>1071</v>
      </c>
    </row>
    <row r="78" spans="1:9" ht="15" x14ac:dyDescent="0.25">
      <c r="A78" s="696"/>
      <c r="B78" s="12">
        <v>46813</v>
      </c>
      <c r="C78" s="13">
        <f t="shared" si="4"/>
        <v>1071</v>
      </c>
      <c r="D78" s="13">
        <v>0</v>
      </c>
      <c r="E78" s="13">
        <f t="shared" si="5"/>
        <v>8.5679999999999996</v>
      </c>
      <c r="F78" s="13">
        <f t="shared" si="1"/>
        <v>1079.568</v>
      </c>
      <c r="G78" s="13">
        <f t="shared" si="13"/>
        <v>7</v>
      </c>
      <c r="H78" s="13">
        <f t="shared" si="12"/>
        <v>15.568</v>
      </c>
      <c r="I78" s="13">
        <f t="shared" si="3"/>
        <v>1064</v>
      </c>
    </row>
    <row r="79" spans="1:9" ht="15.75" thickBot="1" x14ac:dyDescent="0.3">
      <c r="A79" s="9"/>
      <c r="B79" s="16"/>
      <c r="C79" s="17"/>
      <c r="D79" s="15">
        <f t="shared" ref="D79" si="14">SUM(D67:D78)</f>
        <v>0</v>
      </c>
      <c r="E79" s="15">
        <f t="shared" ref="E79" si="15">SUM(E67:E78)</f>
        <v>106.51199999999999</v>
      </c>
      <c r="F79" s="17"/>
      <c r="G79" s="17">
        <f>SUM(G67:G78)</f>
        <v>84</v>
      </c>
      <c r="H79" s="15">
        <f t="shared" ref="H79" si="16">SUM(H67:H78)</f>
        <v>190.512</v>
      </c>
      <c r="I79" s="17"/>
    </row>
    <row r="80" spans="1:9" ht="15.75" thickTop="1" x14ac:dyDescent="0.25">
      <c r="A80" s="694" t="s">
        <v>54</v>
      </c>
      <c r="B80" s="12">
        <v>46844</v>
      </c>
      <c r="C80" s="13">
        <f>I78</f>
        <v>1064</v>
      </c>
      <c r="D80" s="13">
        <v>0</v>
      </c>
      <c r="E80" s="13">
        <f t="shared" si="5"/>
        <v>8.5120000000000005</v>
      </c>
      <c r="F80" s="13">
        <f t="shared" si="1"/>
        <v>1072.5119999999999</v>
      </c>
      <c r="G80" s="13">
        <v>8</v>
      </c>
      <c r="H80" s="13">
        <f t="shared" ref="H80:H91" si="17">E80+G80</f>
        <v>16.512</v>
      </c>
      <c r="I80" s="13">
        <f t="shared" si="3"/>
        <v>1056</v>
      </c>
    </row>
    <row r="81" spans="1:9" ht="15" x14ac:dyDescent="0.25">
      <c r="A81" s="695"/>
      <c r="B81" s="12">
        <v>46874</v>
      </c>
      <c r="C81" s="13">
        <f t="shared" si="4"/>
        <v>1056</v>
      </c>
      <c r="D81" s="13">
        <v>0</v>
      </c>
      <c r="E81" s="13">
        <f t="shared" si="5"/>
        <v>8.4480000000000004</v>
      </c>
      <c r="F81" s="13">
        <f t="shared" si="1"/>
        <v>1064.4480000000001</v>
      </c>
      <c r="G81" s="13">
        <f>G80</f>
        <v>8</v>
      </c>
      <c r="H81" s="13">
        <f t="shared" si="17"/>
        <v>16.448</v>
      </c>
      <c r="I81" s="13">
        <f t="shared" si="3"/>
        <v>1048</v>
      </c>
    </row>
    <row r="82" spans="1:9" ht="15" x14ac:dyDescent="0.25">
      <c r="A82" s="695"/>
      <c r="B82" s="12">
        <v>46905</v>
      </c>
      <c r="C82" s="13">
        <f t="shared" si="4"/>
        <v>1048</v>
      </c>
      <c r="D82" s="13">
        <v>0</v>
      </c>
      <c r="E82" s="13">
        <f t="shared" si="5"/>
        <v>8.3840000000000003</v>
      </c>
      <c r="F82" s="13">
        <f t="shared" si="1"/>
        <v>1056.384</v>
      </c>
      <c r="G82" s="13">
        <f t="shared" ref="G82:G91" si="18">G81</f>
        <v>8</v>
      </c>
      <c r="H82" s="13">
        <f t="shared" si="17"/>
        <v>16.384</v>
      </c>
      <c r="I82" s="13">
        <f t="shared" si="3"/>
        <v>1040</v>
      </c>
    </row>
    <row r="83" spans="1:9" ht="15" x14ac:dyDescent="0.25">
      <c r="A83" s="695"/>
      <c r="B83" s="12">
        <v>46935</v>
      </c>
      <c r="C83" s="13">
        <f t="shared" si="4"/>
        <v>1040</v>
      </c>
      <c r="D83" s="13">
        <v>0</v>
      </c>
      <c r="E83" s="13">
        <f t="shared" si="5"/>
        <v>8.32</v>
      </c>
      <c r="F83" s="13">
        <f t="shared" si="1"/>
        <v>1048.32</v>
      </c>
      <c r="G83" s="13">
        <f t="shared" si="18"/>
        <v>8</v>
      </c>
      <c r="H83" s="13">
        <f t="shared" si="17"/>
        <v>16.32</v>
      </c>
      <c r="I83" s="13">
        <f t="shared" si="3"/>
        <v>1032</v>
      </c>
    </row>
    <row r="84" spans="1:9" ht="15" x14ac:dyDescent="0.25">
      <c r="A84" s="695"/>
      <c r="B84" s="12">
        <v>46966</v>
      </c>
      <c r="C84" s="13">
        <f t="shared" si="4"/>
        <v>1032</v>
      </c>
      <c r="D84" s="13">
        <v>0</v>
      </c>
      <c r="E84" s="13">
        <f t="shared" si="5"/>
        <v>8.2560000000000002</v>
      </c>
      <c r="F84" s="13">
        <f t="shared" si="1"/>
        <v>1040.2560000000001</v>
      </c>
      <c r="G84" s="13">
        <f t="shared" si="18"/>
        <v>8</v>
      </c>
      <c r="H84" s="13">
        <f t="shared" si="17"/>
        <v>16.256</v>
      </c>
      <c r="I84" s="13">
        <f t="shared" si="3"/>
        <v>1024</v>
      </c>
    </row>
    <row r="85" spans="1:9" ht="15" x14ac:dyDescent="0.25">
      <c r="A85" s="695"/>
      <c r="B85" s="12">
        <v>46997</v>
      </c>
      <c r="C85" s="13">
        <f t="shared" si="4"/>
        <v>1024</v>
      </c>
      <c r="D85" s="13">
        <v>0</v>
      </c>
      <c r="E85" s="13">
        <f t="shared" ref="E85:E91" si="19">(C85+D85)*9.6%/12</f>
        <v>8.1920000000000002</v>
      </c>
      <c r="F85" s="13">
        <f t="shared" si="1"/>
        <v>1032.192</v>
      </c>
      <c r="G85" s="13">
        <f t="shared" si="18"/>
        <v>8</v>
      </c>
      <c r="H85" s="13">
        <f t="shared" si="17"/>
        <v>16.192</v>
      </c>
      <c r="I85" s="13">
        <f t="shared" si="3"/>
        <v>1016</v>
      </c>
    </row>
    <row r="86" spans="1:9" ht="15" x14ac:dyDescent="0.25">
      <c r="A86" s="695"/>
      <c r="B86" s="12">
        <v>47027</v>
      </c>
      <c r="C86" s="13">
        <f t="shared" si="4"/>
        <v>1016</v>
      </c>
      <c r="D86" s="13">
        <v>0</v>
      </c>
      <c r="E86" s="13">
        <f t="shared" si="19"/>
        <v>8.1280000000000001</v>
      </c>
      <c r="F86" s="13">
        <f t="shared" si="1"/>
        <v>1024.1279999999999</v>
      </c>
      <c r="G86" s="13">
        <f t="shared" si="18"/>
        <v>8</v>
      </c>
      <c r="H86" s="13">
        <f t="shared" si="17"/>
        <v>16.128</v>
      </c>
      <c r="I86" s="13">
        <f t="shared" si="3"/>
        <v>1007.9999999999999</v>
      </c>
    </row>
    <row r="87" spans="1:9" ht="15" x14ac:dyDescent="0.25">
      <c r="A87" s="695"/>
      <c r="B87" s="12">
        <v>47058</v>
      </c>
      <c r="C87" s="13">
        <f t="shared" si="4"/>
        <v>1007.9999999999999</v>
      </c>
      <c r="D87" s="13">
        <v>0</v>
      </c>
      <c r="E87" s="13">
        <f t="shared" si="19"/>
        <v>8.0639999999999983</v>
      </c>
      <c r="F87" s="13">
        <f t="shared" ref="F87:F130" si="20">C87+D87+E87</f>
        <v>1016.0639999999999</v>
      </c>
      <c r="G87" s="13">
        <f t="shared" si="18"/>
        <v>8</v>
      </c>
      <c r="H87" s="13">
        <f t="shared" si="17"/>
        <v>16.064</v>
      </c>
      <c r="I87" s="13">
        <f t="shared" ref="I87:I130" si="21">F87-H87</f>
        <v>999.99999999999989</v>
      </c>
    </row>
    <row r="88" spans="1:9" ht="15" x14ac:dyDescent="0.25">
      <c r="A88" s="695"/>
      <c r="B88" s="12">
        <v>47088</v>
      </c>
      <c r="C88" s="13">
        <f t="shared" ref="C88:C130" si="22">I87</f>
        <v>999.99999999999989</v>
      </c>
      <c r="D88" s="13">
        <v>0</v>
      </c>
      <c r="E88" s="13">
        <f t="shared" si="19"/>
        <v>7.9999999999999991</v>
      </c>
      <c r="F88" s="13">
        <f t="shared" si="20"/>
        <v>1007.9999999999999</v>
      </c>
      <c r="G88" s="13">
        <f t="shared" si="18"/>
        <v>8</v>
      </c>
      <c r="H88" s="13">
        <f t="shared" si="17"/>
        <v>16</v>
      </c>
      <c r="I88" s="13">
        <f t="shared" si="21"/>
        <v>991.99999999999989</v>
      </c>
    </row>
    <row r="89" spans="1:9" ht="15" x14ac:dyDescent="0.25">
      <c r="A89" s="695"/>
      <c r="B89" s="12">
        <v>47119</v>
      </c>
      <c r="C89" s="13">
        <f t="shared" si="22"/>
        <v>991.99999999999989</v>
      </c>
      <c r="D89" s="13">
        <v>0</v>
      </c>
      <c r="E89" s="13">
        <f t="shared" si="19"/>
        <v>7.9359999999999991</v>
      </c>
      <c r="F89" s="13">
        <f t="shared" si="20"/>
        <v>999.93599999999992</v>
      </c>
      <c r="G89" s="13">
        <f t="shared" si="18"/>
        <v>8</v>
      </c>
      <c r="H89" s="13">
        <f t="shared" si="17"/>
        <v>15.936</v>
      </c>
      <c r="I89" s="13">
        <f t="shared" si="21"/>
        <v>983.99999999999989</v>
      </c>
    </row>
    <row r="90" spans="1:9" ht="15" x14ac:dyDescent="0.25">
      <c r="A90" s="695"/>
      <c r="B90" s="12">
        <v>47150</v>
      </c>
      <c r="C90" s="13">
        <f t="shared" si="22"/>
        <v>983.99999999999989</v>
      </c>
      <c r="D90" s="13">
        <v>0</v>
      </c>
      <c r="E90" s="13">
        <f t="shared" si="19"/>
        <v>7.871999999999999</v>
      </c>
      <c r="F90" s="13">
        <f t="shared" si="20"/>
        <v>991.87199999999984</v>
      </c>
      <c r="G90" s="13">
        <f t="shared" si="18"/>
        <v>8</v>
      </c>
      <c r="H90" s="13">
        <f t="shared" si="17"/>
        <v>15.872</v>
      </c>
      <c r="I90" s="13">
        <f t="shared" si="21"/>
        <v>975.99999999999989</v>
      </c>
    </row>
    <row r="91" spans="1:9" ht="15" x14ac:dyDescent="0.25">
      <c r="A91" s="696"/>
      <c r="B91" s="12">
        <v>47178</v>
      </c>
      <c r="C91" s="13">
        <f t="shared" si="22"/>
        <v>975.99999999999989</v>
      </c>
      <c r="D91" s="13">
        <v>0</v>
      </c>
      <c r="E91" s="13">
        <f t="shared" si="19"/>
        <v>7.8079999999999998</v>
      </c>
      <c r="F91" s="13">
        <f t="shared" si="20"/>
        <v>983.80799999999988</v>
      </c>
      <c r="G91" s="13">
        <f t="shared" si="18"/>
        <v>8</v>
      </c>
      <c r="H91" s="13">
        <f t="shared" si="17"/>
        <v>15.808</v>
      </c>
      <c r="I91" s="13">
        <f t="shared" si="21"/>
        <v>967.99999999999989</v>
      </c>
    </row>
    <row r="92" spans="1:9" ht="15.75" thickBot="1" x14ac:dyDescent="0.3">
      <c r="A92" s="9"/>
      <c r="B92" s="16"/>
      <c r="C92" s="17"/>
      <c r="D92" s="15">
        <f t="shared" ref="D92:E92" si="23">SUM(D80:D91)</f>
        <v>0</v>
      </c>
      <c r="E92" s="15">
        <f t="shared" si="23"/>
        <v>97.919999999999987</v>
      </c>
      <c r="F92" s="17"/>
      <c r="G92" s="17">
        <f>SUM(G80:G91)</f>
        <v>96</v>
      </c>
      <c r="H92" s="15">
        <f t="shared" ref="H92" si="24">SUM(H80:H91)</f>
        <v>193.92000000000002</v>
      </c>
      <c r="I92" s="17"/>
    </row>
    <row r="93" spans="1:9" ht="15.75" thickTop="1" x14ac:dyDescent="0.25">
      <c r="A93" s="694" t="s">
        <v>55</v>
      </c>
      <c r="B93" s="12">
        <v>47209</v>
      </c>
      <c r="C93" s="13">
        <f>I91</f>
        <v>967.99999999999989</v>
      </c>
      <c r="D93" s="13">
        <v>0</v>
      </c>
      <c r="E93" s="13">
        <f t="shared" ref="E93:E104" si="25">(C93+D93)*9.6%/12</f>
        <v>7.7439999999999998</v>
      </c>
      <c r="F93" s="13">
        <f t="shared" si="20"/>
        <v>975.74399999999991</v>
      </c>
      <c r="G93" s="13">
        <v>9</v>
      </c>
      <c r="H93" s="13">
        <f t="shared" ref="H93:H104" si="26">E93+G93</f>
        <v>16.744</v>
      </c>
      <c r="I93" s="13">
        <f t="shared" si="21"/>
        <v>958.99999999999989</v>
      </c>
    </row>
    <row r="94" spans="1:9" ht="15" x14ac:dyDescent="0.25">
      <c r="A94" s="695"/>
      <c r="B94" s="12">
        <v>47239</v>
      </c>
      <c r="C94" s="13">
        <f t="shared" si="22"/>
        <v>958.99999999999989</v>
      </c>
      <c r="D94" s="13">
        <v>0</v>
      </c>
      <c r="E94" s="13">
        <f t="shared" si="25"/>
        <v>7.6719999999999997</v>
      </c>
      <c r="F94" s="13">
        <f t="shared" si="20"/>
        <v>966.67199999999991</v>
      </c>
      <c r="G94" s="13">
        <f>G93</f>
        <v>9</v>
      </c>
      <c r="H94" s="13">
        <f t="shared" si="26"/>
        <v>16.672000000000001</v>
      </c>
      <c r="I94" s="13">
        <f t="shared" si="21"/>
        <v>949.99999999999989</v>
      </c>
    </row>
    <row r="95" spans="1:9" ht="15" x14ac:dyDescent="0.25">
      <c r="A95" s="695"/>
      <c r="B95" s="12">
        <v>47270</v>
      </c>
      <c r="C95" s="13">
        <f t="shared" si="22"/>
        <v>949.99999999999989</v>
      </c>
      <c r="D95" s="13">
        <v>0</v>
      </c>
      <c r="E95" s="13">
        <f t="shared" si="25"/>
        <v>7.5999999999999988</v>
      </c>
      <c r="F95" s="13">
        <f t="shared" si="20"/>
        <v>957.59999999999991</v>
      </c>
      <c r="G95" s="13">
        <f t="shared" ref="G95:G104" si="27">G94</f>
        <v>9</v>
      </c>
      <c r="H95" s="13">
        <f t="shared" si="26"/>
        <v>16.599999999999998</v>
      </c>
      <c r="I95" s="13">
        <f t="shared" si="21"/>
        <v>940.99999999999989</v>
      </c>
    </row>
    <row r="96" spans="1:9" ht="15" x14ac:dyDescent="0.25">
      <c r="A96" s="695"/>
      <c r="B96" s="12">
        <v>47300</v>
      </c>
      <c r="C96" s="13">
        <f t="shared" si="22"/>
        <v>940.99999999999989</v>
      </c>
      <c r="D96" s="13">
        <v>0</v>
      </c>
      <c r="E96" s="13">
        <f t="shared" si="25"/>
        <v>7.5279999999999987</v>
      </c>
      <c r="F96" s="13">
        <f t="shared" si="20"/>
        <v>948.52799999999991</v>
      </c>
      <c r="G96" s="13">
        <f t="shared" si="27"/>
        <v>9</v>
      </c>
      <c r="H96" s="13">
        <f t="shared" si="26"/>
        <v>16.527999999999999</v>
      </c>
      <c r="I96" s="13">
        <f t="shared" si="21"/>
        <v>931.99999999999989</v>
      </c>
    </row>
    <row r="97" spans="1:9" ht="15" x14ac:dyDescent="0.25">
      <c r="A97" s="695"/>
      <c r="B97" s="12">
        <v>47331</v>
      </c>
      <c r="C97" s="13">
        <f t="shared" si="22"/>
        <v>931.99999999999989</v>
      </c>
      <c r="D97" s="13">
        <v>0</v>
      </c>
      <c r="E97" s="13">
        <f t="shared" si="25"/>
        <v>7.4559999999999995</v>
      </c>
      <c r="F97" s="13">
        <f t="shared" si="20"/>
        <v>939.4559999999999</v>
      </c>
      <c r="G97" s="13">
        <f t="shared" si="27"/>
        <v>9</v>
      </c>
      <c r="H97" s="13">
        <f t="shared" si="26"/>
        <v>16.456</v>
      </c>
      <c r="I97" s="13">
        <f t="shared" si="21"/>
        <v>922.99999999999989</v>
      </c>
    </row>
    <row r="98" spans="1:9" ht="15" x14ac:dyDescent="0.25">
      <c r="A98" s="695"/>
      <c r="B98" s="12">
        <v>47362</v>
      </c>
      <c r="C98" s="13">
        <f t="shared" si="22"/>
        <v>922.99999999999989</v>
      </c>
      <c r="D98" s="13">
        <v>0</v>
      </c>
      <c r="E98" s="13">
        <f t="shared" si="25"/>
        <v>7.3839999999999995</v>
      </c>
      <c r="F98" s="13">
        <f t="shared" si="20"/>
        <v>930.3839999999999</v>
      </c>
      <c r="G98" s="13">
        <f t="shared" si="27"/>
        <v>9</v>
      </c>
      <c r="H98" s="13">
        <f t="shared" si="26"/>
        <v>16.384</v>
      </c>
      <c r="I98" s="13">
        <f t="shared" si="21"/>
        <v>913.99999999999989</v>
      </c>
    </row>
    <row r="99" spans="1:9" ht="15" x14ac:dyDescent="0.25">
      <c r="A99" s="695"/>
      <c r="B99" s="12">
        <v>47392</v>
      </c>
      <c r="C99" s="13">
        <f t="shared" si="22"/>
        <v>913.99999999999989</v>
      </c>
      <c r="D99" s="13">
        <v>0</v>
      </c>
      <c r="E99" s="13">
        <f t="shared" si="25"/>
        <v>7.3119999999999985</v>
      </c>
      <c r="F99" s="13">
        <f t="shared" si="20"/>
        <v>921.3119999999999</v>
      </c>
      <c r="G99" s="13">
        <f t="shared" si="27"/>
        <v>9</v>
      </c>
      <c r="H99" s="13">
        <f t="shared" si="26"/>
        <v>16.311999999999998</v>
      </c>
      <c r="I99" s="13">
        <f t="shared" si="21"/>
        <v>904.99999999999989</v>
      </c>
    </row>
    <row r="100" spans="1:9" ht="15" x14ac:dyDescent="0.25">
      <c r="A100" s="695"/>
      <c r="B100" s="12">
        <v>47423</v>
      </c>
      <c r="C100" s="13">
        <f t="shared" si="22"/>
        <v>904.99999999999989</v>
      </c>
      <c r="D100" s="13">
        <v>0</v>
      </c>
      <c r="E100" s="13">
        <f t="shared" si="25"/>
        <v>7.2399999999999993</v>
      </c>
      <c r="F100" s="13">
        <f t="shared" si="20"/>
        <v>912.2399999999999</v>
      </c>
      <c r="G100" s="13">
        <f t="shared" si="27"/>
        <v>9</v>
      </c>
      <c r="H100" s="13">
        <f t="shared" si="26"/>
        <v>16.239999999999998</v>
      </c>
      <c r="I100" s="13">
        <f t="shared" si="21"/>
        <v>895.99999999999989</v>
      </c>
    </row>
    <row r="101" spans="1:9" ht="15" x14ac:dyDescent="0.25">
      <c r="A101" s="695"/>
      <c r="B101" s="12">
        <v>47453</v>
      </c>
      <c r="C101" s="13">
        <f t="shared" si="22"/>
        <v>895.99999999999989</v>
      </c>
      <c r="D101" s="13">
        <v>0</v>
      </c>
      <c r="E101" s="13">
        <f t="shared" si="25"/>
        <v>7.1679999999999993</v>
      </c>
      <c r="F101" s="13">
        <f t="shared" si="20"/>
        <v>903.16799999999989</v>
      </c>
      <c r="G101" s="13">
        <f t="shared" si="27"/>
        <v>9</v>
      </c>
      <c r="H101" s="13">
        <f t="shared" si="26"/>
        <v>16.167999999999999</v>
      </c>
      <c r="I101" s="13">
        <f t="shared" si="21"/>
        <v>886.99999999999989</v>
      </c>
    </row>
    <row r="102" spans="1:9" ht="15" x14ac:dyDescent="0.25">
      <c r="A102" s="695"/>
      <c r="B102" s="12">
        <v>47484</v>
      </c>
      <c r="C102" s="13">
        <f t="shared" si="22"/>
        <v>886.99999999999989</v>
      </c>
      <c r="D102" s="13">
        <v>0</v>
      </c>
      <c r="E102" s="13">
        <f t="shared" si="25"/>
        <v>7.0959999999999992</v>
      </c>
      <c r="F102" s="13">
        <f t="shared" si="20"/>
        <v>894.09599999999989</v>
      </c>
      <c r="G102" s="13">
        <f t="shared" si="27"/>
        <v>9</v>
      </c>
      <c r="H102" s="13">
        <f t="shared" si="26"/>
        <v>16.096</v>
      </c>
      <c r="I102" s="13">
        <f t="shared" si="21"/>
        <v>877.99999999999989</v>
      </c>
    </row>
    <row r="103" spans="1:9" ht="15" x14ac:dyDescent="0.25">
      <c r="A103" s="695"/>
      <c r="B103" s="12">
        <v>47515</v>
      </c>
      <c r="C103" s="13">
        <f t="shared" si="22"/>
        <v>877.99999999999989</v>
      </c>
      <c r="D103" s="13">
        <v>0</v>
      </c>
      <c r="E103" s="13">
        <f t="shared" si="25"/>
        <v>7.024</v>
      </c>
      <c r="F103" s="13">
        <f t="shared" si="20"/>
        <v>885.02399999999989</v>
      </c>
      <c r="G103" s="13">
        <f t="shared" si="27"/>
        <v>9</v>
      </c>
      <c r="H103" s="13">
        <f t="shared" si="26"/>
        <v>16.024000000000001</v>
      </c>
      <c r="I103" s="13">
        <f t="shared" si="21"/>
        <v>868.99999999999989</v>
      </c>
    </row>
    <row r="104" spans="1:9" ht="15" x14ac:dyDescent="0.25">
      <c r="A104" s="696"/>
      <c r="B104" s="12">
        <v>47543</v>
      </c>
      <c r="C104" s="13">
        <f t="shared" si="22"/>
        <v>868.99999999999989</v>
      </c>
      <c r="D104" s="13">
        <v>0</v>
      </c>
      <c r="E104" s="13">
        <f t="shared" si="25"/>
        <v>6.9519999999999991</v>
      </c>
      <c r="F104" s="13">
        <f t="shared" si="20"/>
        <v>875.95199999999988</v>
      </c>
      <c r="G104" s="13">
        <f t="shared" si="27"/>
        <v>9</v>
      </c>
      <c r="H104" s="13">
        <f t="shared" si="26"/>
        <v>15.951999999999998</v>
      </c>
      <c r="I104" s="13">
        <f t="shared" si="21"/>
        <v>859.99999999999989</v>
      </c>
    </row>
    <row r="105" spans="1:9" ht="15.75" thickBot="1" x14ac:dyDescent="0.3">
      <c r="A105" s="9"/>
      <c r="B105" s="16"/>
      <c r="C105" s="17"/>
      <c r="D105" s="15">
        <f t="shared" ref="D105" si="28">SUM(D93:D104)</f>
        <v>0</v>
      </c>
      <c r="E105" s="15">
        <f t="shared" ref="E105" si="29">SUM(E93:E104)</f>
        <v>88.176000000000002</v>
      </c>
      <c r="F105" s="17"/>
      <c r="G105" s="17">
        <f>SUM(G93:G104)</f>
        <v>108</v>
      </c>
      <c r="H105" s="15">
        <f t="shared" ref="H105" si="30">SUM(H93:H104)</f>
        <v>196.17599999999999</v>
      </c>
      <c r="I105" s="17"/>
    </row>
    <row r="106" spans="1:9" ht="15.75" thickTop="1" x14ac:dyDescent="0.25">
      <c r="A106" s="694" t="s">
        <v>56</v>
      </c>
      <c r="B106" s="12">
        <v>47574</v>
      </c>
      <c r="C106" s="13">
        <f>I104</f>
        <v>859.99999999999989</v>
      </c>
      <c r="D106" s="13">
        <v>0</v>
      </c>
      <c r="E106" s="13">
        <f t="shared" ref="E106:E117" si="31">(C106+D106)*9.6%/12</f>
        <v>6.879999999999999</v>
      </c>
      <c r="F106" s="13">
        <f t="shared" si="20"/>
        <v>866.87999999999988</v>
      </c>
      <c r="G106" s="13">
        <v>10</v>
      </c>
      <c r="H106" s="13">
        <f t="shared" ref="H106:H117" si="32">E106+G106</f>
        <v>16.88</v>
      </c>
      <c r="I106" s="13">
        <f t="shared" si="21"/>
        <v>849.99999999999989</v>
      </c>
    </row>
    <row r="107" spans="1:9" ht="15" x14ac:dyDescent="0.25">
      <c r="A107" s="695"/>
      <c r="B107" s="12">
        <v>47604</v>
      </c>
      <c r="C107" s="13">
        <f t="shared" si="22"/>
        <v>849.99999999999989</v>
      </c>
      <c r="D107" s="13">
        <v>0</v>
      </c>
      <c r="E107" s="13">
        <f t="shared" si="31"/>
        <v>6.8</v>
      </c>
      <c r="F107" s="13">
        <f t="shared" si="20"/>
        <v>856.79999999999984</v>
      </c>
      <c r="G107" s="13">
        <f>G106</f>
        <v>10</v>
      </c>
      <c r="H107" s="13">
        <f t="shared" si="32"/>
        <v>16.8</v>
      </c>
      <c r="I107" s="13">
        <f t="shared" si="21"/>
        <v>839.99999999999989</v>
      </c>
    </row>
    <row r="108" spans="1:9" ht="15" x14ac:dyDescent="0.25">
      <c r="A108" s="695"/>
      <c r="B108" s="12">
        <v>47635</v>
      </c>
      <c r="C108" s="13">
        <f t="shared" si="22"/>
        <v>839.99999999999989</v>
      </c>
      <c r="D108" s="13">
        <v>0</v>
      </c>
      <c r="E108" s="13">
        <f t="shared" si="31"/>
        <v>6.7199999999999989</v>
      </c>
      <c r="F108" s="13">
        <f t="shared" si="20"/>
        <v>846.71999999999991</v>
      </c>
      <c r="G108" s="13">
        <f t="shared" ref="G108:G117" si="33">G107</f>
        <v>10</v>
      </c>
      <c r="H108" s="13">
        <f t="shared" si="32"/>
        <v>16.72</v>
      </c>
      <c r="I108" s="13">
        <f t="shared" si="21"/>
        <v>829.99999999999989</v>
      </c>
    </row>
    <row r="109" spans="1:9" ht="15" x14ac:dyDescent="0.25">
      <c r="A109" s="695"/>
      <c r="B109" s="12">
        <v>47665</v>
      </c>
      <c r="C109" s="13">
        <f t="shared" si="22"/>
        <v>829.99999999999989</v>
      </c>
      <c r="D109" s="13">
        <v>0</v>
      </c>
      <c r="E109" s="13">
        <f t="shared" si="31"/>
        <v>6.64</v>
      </c>
      <c r="F109" s="13">
        <f t="shared" si="20"/>
        <v>836.63999999999987</v>
      </c>
      <c r="G109" s="13">
        <f t="shared" si="33"/>
        <v>10</v>
      </c>
      <c r="H109" s="13">
        <f t="shared" si="32"/>
        <v>16.64</v>
      </c>
      <c r="I109" s="13">
        <f t="shared" si="21"/>
        <v>819.99999999999989</v>
      </c>
    </row>
    <row r="110" spans="1:9" ht="15" x14ac:dyDescent="0.25">
      <c r="A110" s="695"/>
      <c r="B110" s="12">
        <v>47696</v>
      </c>
      <c r="C110" s="13">
        <f t="shared" si="22"/>
        <v>819.99999999999989</v>
      </c>
      <c r="D110" s="13">
        <v>0</v>
      </c>
      <c r="E110" s="13">
        <f t="shared" si="31"/>
        <v>6.5599999999999987</v>
      </c>
      <c r="F110" s="13">
        <f t="shared" si="20"/>
        <v>826.55999999999983</v>
      </c>
      <c r="G110" s="13">
        <f t="shared" si="33"/>
        <v>10</v>
      </c>
      <c r="H110" s="13">
        <f t="shared" si="32"/>
        <v>16.559999999999999</v>
      </c>
      <c r="I110" s="13">
        <f t="shared" si="21"/>
        <v>809.99999999999989</v>
      </c>
    </row>
    <row r="111" spans="1:9" ht="15" x14ac:dyDescent="0.25">
      <c r="A111" s="695"/>
      <c r="B111" s="12">
        <v>47727</v>
      </c>
      <c r="C111" s="13">
        <f t="shared" si="22"/>
        <v>809.99999999999989</v>
      </c>
      <c r="D111" s="13">
        <v>0</v>
      </c>
      <c r="E111" s="13">
        <f t="shared" si="31"/>
        <v>6.4799999999999995</v>
      </c>
      <c r="F111" s="13">
        <f t="shared" si="20"/>
        <v>816.4799999999999</v>
      </c>
      <c r="G111" s="13">
        <f t="shared" si="33"/>
        <v>10</v>
      </c>
      <c r="H111" s="13">
        <f t="shared" si="32"/>
        <v>16.48</v>
      </c>
      <c r="I111" s="13">
        <f t="shared" si="21"/>
        <v>799.99999999999989</v>
      </c>
    </row>
    <row r="112" spans="1:9" ht="15" x14ac:dyDescent="0.25">
      <c r="A112" s="695"/>
      <c r="B112" s="12">
        <v>47757</v>
      </c>
      <c r="C112" s="13">
        <f t="shared" si="22"/>
        <v>799.99999999999989</v>
      </c>
      <c r="D112" s="13">
        <v>0</v>
      </c>
      <c r="E112" s="13">
        <f t="shared" si="31"/>
        <v>6.3999999999999995</v>
      </c>
      <c r="F112" s="13">
        <f t="shared" si="20"/>
        <v>806.39999999999986</v>
      </c>
      <c r="G112" s="13">
        <f t="shared" si="33"/>
        <v>10</v>
      </c>
      <c r="H112" s="13">
        <f t="shared" si="32"/>
        <v>16.399999999999999</v>
      </c>
      <c r="I112" s="13">
        <f t="shared" si="21"/>
        <v>789.99999999999989</v>
      </c>
    </row>
    <row r="113" spans="1:9" ht="15" x14ac:dyDescent="0.25">
      <c r="A113" s="695"/>
      <c r="B113" s="12">
        <v>47788</v>
      </c>
      <c r="C113" s="13">
        <f t="shared" si="22"/>
        <v>789.99999999999989</v>
      </c>
      <c r="D113" s="13">
        <v>0</v>
      </c>
      <c r="E113" s="13">
        <f t="shared" si="31"/>
        <v>6.3199999999999994</v>
      </c>
      <c r="F113" s="13">
        <f t="shared" si="20"/>
        <v>796.31999999999994</v>
      </c>
      <c r="G113" s="13">
        <f t="shared" si="33"/>
        <v>10</v>
      </c>
      <c r="H113" s="13">
        <f t="shared" si="32"/>
        <v>16.32</v>
      </c>
      <c r="I113" s="13">
        <f t="shared" si="21"/>
        <v>779.99999999999989</v>
      </c>
    </row>
    <row r="114" spans="1:9" ht="15" x14ac:dyDescent="0.25">
      <c r="A114" s="695"/>
      <c r="B114" s="12">
        <v>47818</v>
      </c>
      <c r="C114" s="13">
        <f t="shared" si="22"/>
        <v>779.99999999999989</v>
      </c>
      <c r="D114" s="13">
        <v>0</v>
      </c>
      <c r="E114" s="13">
        <f t="shared" si="31"/>
        <v>6.2399999999999993</v>
      </c>
      <c r="F114" s="13">
        <f t="shared" si="20"/>
        <v>786.2399999999999</v>
      </c>
      <c r="G114" s="13">
        <f t="shared" si="33"/>
        <v>10</v>
      </c>
      <c r="H114" s="13">
        <f t="shared" si="32"/>
        <v>16.239999999999998</v>
      </c>
      <c r="I114" s="13">
        <f t="shared" si="21"/>
        <v>769.99999999999989</v>
      </c>
    </row>
    <row r="115" spans="1:9" ht="15" x14ac:dyDescent="0.25">
      <c r="A115" s="695"/>
      <c r="B115" s="12">
        <v>47849</v>
      </c>
      <c r="C115" s="13">
        <f t="shared" si="22"/>
        <v>769.99999999999989</v>
      </c>
      <c r="D115" s="13">
        <v>0</v>
      </c>
      <c r="E115" s="13">
        <f t="shared" si="31"/>
        <v>6.1599999999999993</v>
      </c>
      <c r="F115" s="13">
        <f t="shared" si="20"/>
        <v>776.15999999999985</v>
      </c>
      <c r="G115" s="13">
        <f t="shared" si="33"/>
        <v>10</v>
      </c>
      <c r="H115" s="13">
        <f t="shared" si="32"/>
        <v>16.16</v>
      </c>
      <c r="I115" s="13">
        <f t="shared" si="21"/>
        <v>759.99999999999989</v>
      </c>
    </row>
    <row r="116" spans="1:9" ht="15" x14ac:dyDescent="0.25">
      <c r="A116" s="695"/>
      <c r="B116" s="12">
        <v>47880</v>
      </c>
      <c r="C116" s="13">
        <f t="shared" si="22"/>
        <v>759.99999999999989</v>
      </c>
      <c r="D116" s="13">
        <v>0</v>
      </c>
      <c r="E116" s="13">
        <f t="shared" si="31"/>
        <v>6.0799999999999992</v>
      </c>
      <c r="F116" s="13">
        <f t="shared" si="20"/>
        <v>766.07999999999993</v>
      </c>
      <c r="G116" s="13">
        <f t="shared" si="33"/>
        <v>10</v>
      </c>
      <c r="H116" s="13">
        <f t="shared" si="32"/>
        <v>16.079999999999998</v>
      </c>
      <c r="I116" s="13">
        <f t="shared" si="21"/>
        <v>749.99999999999989</v>
      </c>
    </row>
    <row r="117" spans="1:9" ht="15" x14ac:dyDescent="0.25">
      <c r="A117" s="696"/>
      <c r="B117" s="12">
        <v>47908</v>
      </c>
      <c r="C117" s="13">
        <f t="shared" si="22"/>
        <v>749.99999999999989</v>
      </c>
      <c r="D117" s="13">
        <v>0</v>
      </c>
      <c r="E117" s="13">
        <f t="shared" si="31"/>
        <v>5.9999999999999991</v>
      </c>
      <c r="F117" s="13">
        <f t="shared" si="20"/>
        <v>755.99999999999989</v>
      </c>
      <c r="G117" s="13">
        <f t="shared" si="33"/>
        <v>10</v>
      </c>
      <c r="H117" s="13">
        <f t="shared" si="32"/>
        <v>16</v>
      </c>
      <c r="I117" s="13">
        <f t="shared" si="21"/>
        <v>739.99999999999989</v>
      </c>
    </row>
    <row r="118" spans="1:9" ht="15.75" thickBot="1" x14ac:dyDescent="0.3">
      <c r="A118" s="9"/>
      <c r="B118" s="16"/>
      <c r="C118" s="17"/>
      <c r="D118" s="15">
        <f t="shared" ref="D118" si="34">SUM(D106:D117)</f>
        <v>0</v>
      </c>
      <c r="E118" s="15">
        <f t="shared" ref="E118" si="35">SUM(E106:E117)</f>
        <v>77.279999999999987</v>
      </c>
      <c r="F118" s="17"/>
      <c r="G118" s="17">
        <f>SUM(G106:G117)</f>
        <v>120</v>
      </c>
      <c r="H118" s="15">
        <f t="shared" ref="H118" si="36">SUM(H106:H117)</f>
        <v>197.27999999999997</v>
      </c>
      <c r="I118" s="17"/>
    </row>
    <row r="119" spans="1:9" ht="15.75" thickTop="1" x14ac:dyDescent="0.25">
      <c r="A119" s="694" t="s">
        <v>57</v>
      </c>
      <c r="B119" s="12">
        <v>47939</v>
      </c>
      <c r="C119" s="13">
        <f>I117</f>
        <v>739.99999999999989</v>
      </c>
      <c r="D119" s="13">
        <v>0</v>
      </c>
      <c r="E119" s="13">
        <f t="shared" ref="E119:E130" si="37">(C119+D119)*9.6%/12</f>
        <v>5.919999999999999</v>
      </c>
      <c r="F119" s="13">
        <f t="shared" si="20"/>
        <v>745.91999999999985</v>
      </c>
      <c r="G119" s="13">
        <v>11</v>
      </c>
      <c r="H119" s="13">
        <f t="shared" ref="H119:H130" si="38">E119+G119</f>
        <v>16.919999999999998</v>
      </c>
      <c r="I119" s="13">
        <f t="shared" si="21"/>
        <v>728.99999999999989</v>
      </c>
    </row>
    <row r="120" spans="1:9" ht="15" x14ac:dyDescent="0.25">
      <c r="A120" s="695"/>
      <c r="B120" s="12">
        <v>47969</v>
      </c>
      <c r="C120" s="13">
        <f t="shared" si="22"/>
        <v>728.99999999999989</v>
      </c>
      <c r="D120" s="13">
        <v>0</v>
      </c>
      <c r="E120" s="13">
        <f t="shared" si="37"/>
        <v>5.8319999999999999</v>
      </c>
      <c r="F120" s="13">
        <f t="shared" si="20"/>
        <v>734.83199999999988</v>
      </c>
      <c r="G120" s="13">
        <f>G119</f>
        <v>11</v>
      </c>
      <c r="H120" s="13">
        <f t="shared" si="38"/>
        <v>16.832000000000001</v>
      </c>
      <c r="I120" s="13">
        <f t="shared" si="21"/>
        <v>717.99999999999989</v>
      </c>
    </row>
    <row r="121" spans="1:9" ht="15" x14ac:dyDescent="0.25">
      <c r="A121" s="695"/>
      <c r="B121" s="12">
        <v>48000</v>
      </c>
      <c r="C121" s="13">
        <f t="shared" si="22"/>
        <v>717.99999999999989</v>
      </c>
      <c r="D121" s="13">
        <v>0</v>
      </c>
      <c r="E121" s="13">
        <f t="shared" si="37"/>
        <v>5.7439999999999998</v>
      </c>
      <c r="F121" s="13">
        <f t="shared" si="20"/>
        <v>723.74399999999991</v>
      </c>
      <c r="G121" s="13">
        <f t="shared" ref="G121:G130" si="39">G120</f>
        <v>11</v>
      </c>
      <c r="H121" s="13">
        <f t="shared" si="38"/>
        <v>16.744</v>
      </c>
      <c r="I121" s="13">
        <f t="shared" si="21"/>
        <v>706.99999999999989</v>
      </c>
    </row>
    <row r="122" spans="1:9" ht="15" x14ac:dyDescent="0.25">
      <c r="A122" s="695"/>
      <c r="B122" s="12">
        <v>48030</v>
      </c>
      <c r="C122" s="13">
        <f t="shared" si="22"/>
        <v>706.99999999999989</v>
      </c>
      <c r="D122" s="13">
        <v>0</v>
      </c>
      <c r="E122" s="13">
        <f t="shared" si="37"/>
        <v>5.6559999999999988</v>
      </c>
      <c r="F122" s="13">
        <f t="shared" si="20"/>
        <v>712.65599999999984</v>
      </c>
      <c r="G122" s="13">
        <f t="shared" si="39"/>
        <v>11</v>
      </c>
      <c r="H122" s="13">
        <f t="shared" si="38"/>
        <v>16.655999999999999</v>
      </c>
      <c r="I122" s="13">
        <f t="shared" si="21"/>
        <v>695.99999999999989</v>
      </c>
    </row>
    <row r="123" spans="1:9" ht="15" x14ac:dyDescent="0.25">
      <c r="A123" s="695"/>
      <c r="B123" s="12">
        <v>48061</v>
      </c>
      <c r="C123" s="13">
        <f t="shared" si="22"/>
        <v>695.99999999999989</v>
      </c>
      <c r="D123" s="13">
        <v>0</v>
      </c>
      <c r="E123" s="13">
        <f t="shared" si="37"/>
        <v>5.5679999999999987</v>
      </c>
      <c r="F123" s="13">
        <f t="shared" si="20"/>
        <v>701.56799999999987</v>
      </c>
      <c r="G123" s="13">
        <f t="shared" si="39"/>
        <v>11</v>
      </c>
      <c r="H123" s="13">
        <f t="shared" si="38"/>
        <v>16.567999999999998</v>
      </c>
      <c r="I123" s="13">
        <f t="shared" si="21"/>
        <v>684.99999999999989</v>
      </c>
    </row>
    <row r="124" spans="1:9" ht="15" x14ac:dyDescent="0.25">
      <c r="A124" s="695"/>
      <c r="B124" s="12">
        <v>48092</v>
      </c>
      <c r="C124" s="13">
        <f t="shared" si="22"/>
        <v>684.99999999999989</v>
      </c>
      <c r="D124" s="13">
        <v>0</v>
      </c>
      <c r="E124" s="13">
        <f t="shared" si="37"/>
        <v>5.4799999999999995</v>
      </c>
      <c r="F124" s="13">
        <f t="shared" si="20"/>
        <v>690.4799999999999</v>
      </c>
      <c r="G124" s="13">
        <f t="shared" si="39"/>
        <v>11</v>
      </c>
      <c r="H124" s="13">
        <f t="shared" si="38"/>
        <v>16.48</v>
      </c>
      <c r="I124" s="13">
        <f t="shared" si="21"/>
        <v>673.99999999999989</v>
      </c>
    </row>
    <row r="125" spans="1:9" ht="15" x14ac:dyDescent="0.25">
      <c r="A125" s="695"/>
      <c r="B125" s="12">
        <v>48122</v>
      </c>
      <c r="C125" s="13">
        <f t="shared" si="22"/>
        <v>673.99999999999989</v>
      </c>
      <c r="D125" s="13">
        <v>0</v>
      </c>
      <c r="E125" s="13">
        <f t="shared" si="37"/>
        <v>5.3919999999999995</v>
      </c>
      <c r="F125" s="13">
        <f t="shared" si="20"/>
        <v>679.39199999999994</v>
      </c>
      <c r="G125" s="13">
        <f t="shared" si="39"/>
        <v>11</v>
      </c>
      <c r="H125" s="13">
        <f t="shared" si="38"/>
        <v>16.391999999999999</v>
      </c>
      <c r="I125" s="13">
        <f t="shared" si="21"/>
        <v>662.99999999999989</v>
      </c>
    </row>
    <row r="126" spans="1:9" ht="15" x14ac:dyDescent="0.25">
      <c r="A126" s="695"/>
      <c r="B126" s="12">
        <v>48153</v>
      </c>
      <c r="C126" s="13">
        <f t="shared" si="22"/>
        <v>662.99999999999989</v>
      </c>
      <c r="D126" s="13">
        <v>0</v>
      </c>
      <c r="E126" s="13">
        <f t="shared" si="37"/>
        <v>5.3039999999999994</v>
      </c>
      <c r="F126" s="13">
        <f t="shared" si="20"/>
        <v>668.30399999999986</v>
      </c>
      <c r="G126" s="13">
        <f t="shared" si="39"/>
        <v>11</v>
      </c>
      <c r="H126" s="13">
        <f t="shared" si="38"/>
        <v>16.303999999999998</v>
      </c>
      <c r="I126" s="13">
        <f t="shared" si="21"/>
        <v>651.99999999999989</v>
      </c>
    </row>
    <row r="127" spans="1:9" ht="15" x14ac:dyDescent="0.25">
      <c r="A127" s="695"/>
      <c r="B127" s="12">
        <v>48183</v>
      </c>
      <c r="C127" s="13">
        <f t="shared" si="22"/>
        <v>651.99999999999989</v>
      </c>
      <c r="D127" s="13">
        <v>0</v>
      </c>
      <c r="E127" s="13">
        <f t="shared" si="37"/>
        <v>5.2159999999999993</v>
      </c>
      <c r="F127" s="13">
        <f t="shared" si="20"/>
        <v>657.21599999999989</v>
      </c>
      <c r="G127" s="13">
        <f t="shared" si="39"/>
        <v>11</v>
      </c>
      <c r="H127" s="13">
        <f t="shared" si="38"/>
        <v>16.216000000000001</v>
      </c>
      <c r="I127" s="13">
        <f t="shared" si="21"/>
        <v>640.99999999999989</v>
      </c>
    </row>
    <row r="128" spans="1:9" ht="15" x14ac:dyDescent="0.25">
      <c r="A128" s="695"/>
      <c r="B128" s="12">
        <v>48214</v>
      </c>
      <c r="C128" s="13">
        <f t="shared" si="22"/>
        <v>640.99999999999989</v>
      </c>
      <c r="D128" s="13">
        <v>0</v>
      </c>
      <c r="E128" s="13">
        <f t="shared" si="37"/>
        <v>5.1279999999999992</v>
      </c>
      <c r="F128" s="13">
        <f t="shared" si="20"/>
        <v>646.12799999999993</v>
      </c>
      <c r="G128" s="13">
        <f t="shared" si="39"/>
        <v>11</v>
      </c>
      <c r="H128" s="13">
        <f t="shared" si="38"/>
        <v>16.128</v>
      </c>
      <c r="I128" s="13">
        <f t="shared" si="21"/>
        <v>629.99999999999989</v>
      </c>
    </row>
    <row r="129" spans="1:9" ht="15" x14ac:dyDescent="0.25">
      <c r="A129" s="695"/>
      <c r="B129" s="12">
        <v>48245</v>
      </c>
      <c r="C129" s="13">
        <f t="shared" si="22"/>
        <v>629.99999999999989</v>
      </c>
      <c r="D129" s="13">
        <v>0</v>
      </c>
      <c r="E129" s="13">
        <f t="shared" si="37"/>
        <v>5.0399999999999991</v>
      </c>
      <c r="F129" s="13">
        <f t="shared" si="20"/>
        <v>635.03999999999985</v>
      </c>
      <c r="G129" s="13">
        <f t="shared" si="39"/>
        <v>11</v>
      </c>
      <c r="H129" s="13">
        <f t="shared" si="38"/>
        <v>16.04</v>
      </c>
      <c r="I129" s="13">
        <f t="shared" si="21"/>
        <v>618.99999999999989</v>
      </c>
    </row>
    <row r="130" spans="1:9" ht="15" x14ac:dyDescent="0.25">
      <c r="A130" s="696"/>
      <c r="B130" s="12">
        <v>48274</v>
      </c>
      <c r="C130" s="13">
        <f t="shared" si="22"/>
        <v>618.99999999999989</v>
      </c>
      <c r="D130" s="13">
        <v>0</v>
      </c>
      <c r="E130" s="13">
        <f t="shared" si="37"/>
        <v>4.9519999999999991</v>
      </c>
      <c r="F130" s="13">
        <f t="shared" si="20"/>
        <v>623.95199999999988</v>
      </c>
      <c r="G130" s="13">
        <f t="shared" si="39"/>
        <v>11</v>
      </c>
      <c r="H130" s="13">
        <f t="shared" si="38"/>
        <v>15.951999999999998</v>
      </c>
      <c r="I130" s="13">
        <f t="shared" si="21"/>
        <v>607.99999999999989</v>
      </c>
    </row>
    <row r="131" spans="1:9" ht="15.75" thickBot="1" x14ac:dyDescent="0.3">
      <c r="A131" s="9"/>
      <c r="B131" s="16"/>
      <c r="C131" s="17"/>
      <c r="D131" s="15">
        <f t="shared" ref="D131" si="40">SUM(D119:D130)</f>
        <v>0</v>
      </c>
      <c r="E131" s="15">
        <f t="shared" ref="E131" si="41">SUM(E119:E130)</f>
        <v>65.231999999999999</v>
      </c>
      <c r="F131" s="17"/>
      <c r="G131" s="17">
        <f>SUM(G119:G130)</f>
        <v>132</v>
      </c>
      <c r="H131" s="15">
        <f t="shared" ref="H131" si="42">SUM(H119:H130)</f>
        <v>197.232</v>
      </c>
      <c r="I131" s="17"/>
    </row>
    <row r="132" spans="1:9" ht="15.75" thickTop="1" x14ac:dyDescent="0.25">
      <c r="A132" s="694" t="s">
        <v>62</v>
      </c>
      <c r="B132" s="12">
        <v>48305</v>
      </c>
      <c r="C132" s="13">
        <f>I130</f>
        <v>607.99999999999989</v>
      </c>
      <c r="D132" s="13">
        <v>0</v>
      </c>
      <c r="E132" s="13">
        <f t="shared" ref="E132:E143" si="43">(C132+D132)*9.6%/12</f>
        <v>4.863999999999999</v>
      </c>
      <c r="F132" s="13">
        <f t="shared" ref="F132:F143" si="44">C132+D132+E132</f>
        <v>612.86399999999992</v>
      </c>
      <c r="G132" s="13">
        <v>12</v>
      </c>
      <c r="H132" s="13">
        <f t="shared" ref="H132:H143" si="45">E132+G132</f>
        <v>16.863999999999997</v>
      </c>
      <c r="I132" s="13">
        <f t="shared" ref="I132:I143" si="46">F132-H132</f>
        <v>595.99999999999989</v>
      </c>
    </row>
    <row r="133" spans="1:9" ht="15" x14ac:dyDescent="0.25">
      <c r="A133" s="695"/>
      <c r="B133" s="12">
        <v>48335</v>
      </c>
      <c r="C133" s="13">
        <f t="shared" ref="C133:C143" si="47">I132</f>
        <v>595.99999999999989</v>
      </c>
      <c r="D133" s="13">
        <v>0</v>
      </c>
      <c r="E133" s="13">
        <f t="shared" si="43"/>
        <v>4.7679999999999989</v>
      </c>
      <c r="F133" s="13">
        <f t="shared" si="44"/>
        <v>600.76799999999992</v>
      </c>
      <c r="G133" s="13">
        <f>G132</f>
        <v>12</v>
      </c>
      <c r="H133" s="13">
        <f t="shared" si="45"/>
        <v>16.768000000000001</v>
      </c>
      <c r="I133" s="13">
        <f t="shared" si="46"/>
        <v>583.99999999999989</v>
      </c>
    </row>
    <row r="134" spans="1:9" ht="15" x14ac:dyDescent="0.25">
      <c r="A134" s="695"/>
      <c r="B134" s="12">
        <v>48366</v>
      </c>
      <c r="C134" s="13">
        <f t="shared" si="47"/>
        <v>583.99999999999989</v>
      </c>
      <c r="D134" s="13">
        <v>0</v>
      </c>
      <c r="E134" s="13">
        <f t="shared" si="43"/>
        <v>4.6719999999999997</v>
      </c>
      <c r="F134" s="13">
        <f t="shared" si="44"/>
        <v>588.67199999999991</v>
      </c>
      <c r="G134" s="13">
        <f t="shared" ref="G134:G143" si="48">G133</f>
        <v>12</v>
      </c>
      <c r="H134" s="13">
        <f t="shared" si="45"/>
        <v>16.672000000000001</v>
      </c>
      <c r="I134" s="13">
        <f t="shared" si="46"/>
        <v>571.99999999999989</v>
      </c>
    </row>
    <row r="135" spans="1:9" ht="15" x14ac:dyDescent="0.25">
      <c r="A135" s="695"/>
      <c r="B135" s="12">
        <v>48396</v>
      </c>
      <c r="C135" s="13">
        <f t="shared" si="47"/>
        <v>571.99999999999989</v>
      </c>
      <c r="D135" s="13">
        <v>0</v>
      </c>
      <c r="E135" s="13">
        <f t="shared" si="43"/>
        <v>4.5759999999999996</v>
      </c>
      <c r="F135" s="13">
        <f t="shared" si="44"/>
        <v>576.57599999999991</v>
      </c>
      <c r="G135" s="13">
        <f t="shared" si="48"/>
        <v>12</v>
      </c>
      <c r="H135" s="13">
        <f t="shared" si="45"/>
        <v>16.576000000000001</v>
      </c>
      <c r="I135" s="13">
        <f t="shared" si="46"/>
        <v>559.99999999999989</v>
      </c>
    </row>
    <row r="136" spans="1:9" ht="15" x14ac:dyDescent="0.25">
      <c r="A136" s="695"/>
      <c r="B136" s="12">
        <v>48427</v>
      </c>
      <c r="C136" s="13">
        <f t="shared" si="47"/>
        <v>559.99999999999989</v>
      </c>
      <c r="D136" s="13">
        <v>0</v>
      </c>
      <c r="E136" s="13">
        <f t="shared" si="43"/>
        <v>4.4799999999999995</v>
      </c>
      <c r="F136" s="13">
        <f t="shared" si="44"/>
        <v>564.4799999999999</v>
      </c>
      <c r="G136" s="13">
        <f t="shared" si="48"/>
        <v>12</v>
      </c>
      <c r="H136" s="13">
        <f t="shared" si="45"/>
        <v>16.48</v>
      </c>
      <c r="I136" s="13">
        <f t="shared" si="46"/>
        <v>547.99999999999989</v>
      </c>
    </row>
    <row r="137" spans="1:9" ht="15" x14ac:dyDescent="0.25">
      <c r="A137" s="695"/>
      <c r="B137" s="12">
        <v>48458</v>
      </c>
      <c r="C137" s="13">
        <f t="shared" si="47"/>
        <v>547.99999999999989</v>
      </c>
      <c r="D137" s="13">
        <v>0</v>
      </c>
      <c r="E137" s="13">
        <f t="shared" si="43"/>
        <v>4.3839999999999995</v>
      </c>
      <c r="F137" s="13">
        <f t="shared" si="44"/>
        <v>552.3839999999999</v>
      </c>
      <c r="G137" s="13">
        <f t="shared" si="48"/>
        <v>12</v>
      </c>
      <c r="H137" s="13">
        <f t="shared" si="45"/>
        <v>16.384</v>
      </c>
      <c r="I137" s="13">
        <f t="shared" si="46"/>
        <v>535.99999999999989</v>
      </c>
    </row>
    <row r="138" spans="1:9" ht="15" x14ac:dyDescent="0.25">
      <c r="A138" s="695"/>
      <c r="B138" s="12">
        <v>48488</v>
      </c>
      <c r="C138" s="13">
        <f t="shared" si="47"/>
        <v>535.99999999999989</v>
      </c>
      <c r="D138" s="13">
        <v>0</v>
      </c>
      <c r="E138" s="13">
        <f t="shared" si="43"/>
        <v>4.2879999999999994</v>
      </c>
      <c r="F138" s="13">
        <f t="shared" si="44"/>
        <v>540.2879999999999</v>
      </c>
      <c r="G138" s="13">
        <f t="shared" si="48"/>
        <v>12</v>
      </c>
      <c r="H138" s="13">
        <f t="shared" si="45"/>
        <v>16.288</v>
      </c>
      <c r="I138" s="13">
        <f t="shared" si="46"/>
        <v>523.99999999999989</v>
      </c>
    </row>
    <row r="139" spans="1:9" ht="15" x14ac:dyDescent="0.25">
      <c r="A139" s="695"/>
      <c r="B139" s="12">
        <v>48519</v>
      </c>
      <c r="C139" s="13">
        <f t="shared" si="47"/>
        <v>523.99999999999989</v>
      </c>
      <c r="D139" s="13">
        <v>0</v>
      </c>
      <c r="E139" s="13">
        <f t="shared" si="43"/>
        <v>4.1919999999999993</v>
      </c>
      <c r="F139" s="13">
        <f t="shared" si="44"/>
        <v>528.19199999999989</v>
      </c>
      <c r="G139" s="13">
        <f t="shared" si="48"/>
        <v>12</v>
      </c>
      <c r="H139" s="13">
        <f t="shared" si="45"/>
        <v>16.192</v>
      </c>
      <c r="I139" s="13">
        <f t="shared" si="46"/>
        <v>511.99999999999989</v>
      </c>
    </row>
    <row r="140" spans="1:9" ht="15" x14ac:dyDescent="0.25">
      <c r="A140" s="695"/>
      <c r="B140" s="12">
        <v>48549</v>
      </c>
      <c r="C140" s="13">
        <f t="shared" si="47"/>
        <v>511.99999999999989</v>
      </c>
      <c r="D140" s="13">
        <v>0</v>
      </c>
      <c r="E140" s="13">
        <f t="shared" si="43"/>
        <v>4.0959999999999992</v>
      </c>
      <c r="F140" s="13">
        <f t="shared" si="44"/>
        <v>516.09599999999989</v>
      </c>
      <c r="G140" s="13">
        <f t="shared" si="48"/>
        <v>12</v>
      </c>
      <c r="H140" s="13">
        <f t="shared" si="45"/>
        <v>16.096</v>
      </c>
      <c r="I140" s="13">
        <f t="shared" si="46"/>
        <v>499.99999999999989</v>
      </c>
    </row>
    <row r="141" spans="1:9" ht="15" x14ac:dyDescent="0.25">
      <c r="A141" s="695"/>
      <c r="B141" s="12">
        <v>48580</v>
      </c>
      <c r="C141" s="13">
        <f t="shared" si="47"/>
        <v>499.99999999999989</v>
      </c>
      <c r="D141" s="13">
        <v>0</v>
      </c>
      <c r="E141" s="13">
        <f t="shared" si="43"/>
        <v>3.9999999999999996</v>
      </c>
      <c r="F141" s="13">
        <f t="shared" si="44"/>
        <v>503.99999999999989</v>
      </c>
      <c r="G141" s="13">
        <f t="shared" si="48"/>
        <v>12</v>
      </c>
      <c r="H141" s="13">
        <f t="shared" si="45"/>
        <v>16</v>
      </c>
      <c r="I141" s="13">
        <f t="shared" si="46"/>
        <v>487.99999999999989</v>
      </c>
    </row>
    <row r="142" spans="1:9" ht="15" x14ac:dyDescent="0.25">
      <c r="A142" s="695"/>
      <c r="B142" s="12">
        <v>48611</v>
      </c>
      <c r="C142" s="13">
        <f t="shared" si="47"/>
        <v>487.99999999999989</v>
      </c>
      <c r="D142" s="13">
        <v>0</v>
      </c>
      <c r="E142" s="13">
        <f t="shared" si="43"/>
        <v>3.9039999999999995</v>
      </c>
      <c r="F142" s="13">
        <f t="shared" si="44"/>
        <v>491.90399999999988</v>
      </c>
      <c r="G142" s="13">
        <f t="shared" si="48"/>
        <v>12</v>
      </c>
      <c r="H142" s="13">
        <f t="shared" si="45"/>
        <v>15.904</v>
      </c>
      <c r="I142" s="13">
        <f t="shared" si="46"/>
        <v>475.99999999999989</v>
      </c>
    </row>
    <row r="143" spans="1:9" ht="15" x14ac:dyDescent="0.25">
      <c r="A143" s="696"/>
      <c r="B143" s="12">
        <v>48639</v>
      </c>
      <c r="C143" s="13">
        <f t="shared" si="47"/>
        <v>475.99999999999989</v>
      </c>
      <c r="D143" s="13">
        <v>0</v>
      </c>
      <c r="E143" s="13">
        <f t="shared" si="43"/>
        <v>3.8079999999999994</v>
      </c>
      <c r="F143" s="13">
        <f t="shared" si="44"/>
        <v>479.80799999999988</v>
      </c>
      <c r="G143" s="13">
        <f t="shared" si="48"/>
        <v>12</v>
      </c>
      <c r="H143" s="13">
        <f t="shared" si="45"/>
        <v>15.808</v>
      </c>
      <c r="I143" s="13">
        <f t="shared" si="46"/>
        <v>463.99999999999989</v>
      </c>
    </row>
    <row r="144" spans="1:9" ht="15.75" thickBot="1" x14ac:dyDescent="0.3">
      <c r="A144" s="9"/>
      <c r="B144" s="16"/>
      <c r="C144" s="17"/>
      <c r="D144" s="15">
        <f t="shared" ref="D144" si="49">SUM(D132:D143)</f>
        <v>0</v>
      </c>
      <c r="E144" s="15">
        <f t="shared" ref="E144" si="50">SUM(E132:E143)</f>
        <v>52.031999999999989</v>
      </c>
      <c r="F144" s="17"/>
      <c r="G144" s="17">
        <f>SUM(G132:G143)</f>
        <v>144</v>
      </c>
      <c r="H144" s="15">
        <f t="shared" ref="H144" si="51">SUM(H132:H143)</f>
        <v>196.03199999999998</v>
      </c>
      <c r="I144" s="17"/>
    </row>
    <row r="145" spans="1:9" ht="15.75" thickTop="1" x14ac:dyDescent="0.25">
      <c r="A145" s="694" t="s">
        <v>63</v>
      </c>
      <c r="B145" s="12">
        <v>48670</v>
      </c>
      <c r="C145" s="13">
        <f>I143</f>
        <v>463.99999999999989</v>
      </c>
      <c r="D145" s="13">
        <v>0</v>
      </c>
      <c r="E145" s="13">
        <f t="shared" ref="E145:E156" si="52">(C145+D145)*9.6%/12</f>
        <v>3.7119999999999993</v>
      </c>
      <c r="F145" s="13">
        <f t="shared" ref="F145:F156" si="53">C145+D145+E145</f>
        <v>467.71199999999988</v>
      </c>
      <c r="G145" s="13">
        <v>13</v>
      </c>
      <c r="H145" s="13">
        <f t="shared" ref="H145:H156" si="54">E145+G145</f>
        <v>16.712</v>
      </c>
      <c r="I145" s="13">
        <f t="shared" ref="I145:I156" si="55">F145-H145</f>
        <v>450.99999999999989</v>
      </c>
    </row>
    <row r="146" spans="1:9" ht="15" x14ac:dyDescent="0.25">
      <c r="A146" s="695"/>
      <c r="B146" s="12">
        <v>48700</v>
      </c>
      <c r="C146" s="13">
        <f t="shared" ref="C146:C156" si="56">I145</f>
        <v>450.99999999999989</v>
      </c>
      <c r="D146" s="13">
        <v>0</v>
      </c>
      <c r="E146" s="13">
        <f t="shared" si="52"/>
        <v>3.6079999999999992</v>
      </c>
      <c r="F146" s="13">
        <f t="shared" si="53"/>
        <v>454.60799999999989</v>
      </c>
      <c r="G146" s="13">
        <f>G145</f>
        <v>13</v>
      </c>
      <c r="H146" s="13">
        <f t="shared" si="54"/>
        <v>16.608000000000001</v>
      </c>
      <c r="I146" s="13">
        <f t="shared" si="55"/>
        <v>437.99999999999989</v>
      </c>
    </row>
    <row r="147" spans="1:9" ht="15" x14ac:dyDescent="0.25">
      <c r="A147" s="695"/>
      <c r="B147" s="12">
        <v>48731</v>
      </c>
      <c r="C147" s="13">
        <f t="shared" si="56"/>
        <v>437.99999999999989</v>
      </c>
      <c r="D147" s="13">
        <v>0</v>
      </c>
      <c r="E147" s="13">
        <f t="shared" si="52"/>
        <v>3.5039999999999991</v>
      </c>
      <c r="F147" s="13">
        <f t="shared" si="53"/>
        <v>441.50399999999991</v>
      </c>
      <c r="G147" s="13">
        <f t="shared" ref="G147:G156" si="57">G146</f>
        <v>13</v>
      </c>
      <c r="H147" s="13">
        <f t="shared" si="54"/>
        <v>16.503999999999998</v>
      </c>
      <c r="I147" s="13">
        <f t="shared" si="55"/>
        <v>424.99999999999989</v>
      </c>
    </row>
    <row r="148" spans="1:9" ht="15" x14ac:dyDescent="0.25">
      <c r="A148" s="695"/>
      <c r="B148" s="12">
        <v>48761</v>
      </c>
      <c r="C148" s="13">
        <f t="shared" si="56"/>
        <v>424.99999999999989</v>
      </c>
      <c r="D148" s="13">
        <v>0</v>
      </c>
      <c r="E148" s="13">
        <f t="shared" si="52"/>
        <v>3.399999999999999</v>
      </c>
      <c r="F148" s="13">
        <f t="shared" si="53"/>
        <v>428.39999999999986</v>
      </c>
      <c r="G148" s="13">
        <f t="shared" si="57"/>
        <v>13</v>
      </c>
      <c r="H148" s="13">
        <f t="shared" si="54"/>
        <v>16.399999999999999</v>
      </c>
      <c r="I148" s="13">
        <f t="shared" si="55"/>
        <v>411.99999999999989</v>
      </c>
    </row>
    <row r="149" spans="1:9" ht="15" x14ac:dyDescent="0.25">
      <c r="A149" s="695"/>
      <c r="B149" s="12">
        <v>48792</v>
      </c>
      <c r="C149" s="13">
        <f t="shared" si="56"/>
        <v>411.99999999999989</v>
      </c>
      <c r="D149" s="13">
        <v>0</v>
      </c>
      <c r="E149" s="13">
        <f t="shared" si="52"/>
        <v>3.2959999999999994</v>
      </c>
      <c r="F149" s="13">
        <f t="shared" si="53"/>
        <v>415.29599999999988</v>
      </c>
      <c r="G149" s="13">
        <f t="shared" si="57"/>
        <v>13</v>
      </c>
      <c r="H149" s="13">
        <f t="shared" si="54"/>
        <v>16.295999999999999</v>
      </c>
      <c r="I149" s="13">
        <f t="shared" si="55"/>
        <v>398.99999999999989</v>
      </c>
    </row>
    <row r="150" spans="1:9" ht="15" x14ac:dyDescent="0.25">
      <c r="A150" s="695"/>
      <c r="B150" s="12">
        <v>48823</v>
      </c>
      <c r="C150" s="13">
        <f t="shared" si="56"/>
        <v>398.99999999999989</v>
      </c>
      <c r="D150" s="13">
        <v>0</v>
      </c>
      <c r="E150" s="13">
        <f t="shared" si="52"/>
        <v>3.1919999999999988</v>
      </c>
      <c r="F150" s="13">
        <f t="shared" si="53"/>
        <v>402.19199999999989</v>
      </c>
      <c r="G150" s="13">
        <f t="shared" si="57"/>
        <v>13</v>
      </c>
      <c r="H150" s="13">
        <f t="shared" si="54"/>
        <v>16.192</v>
      </c>
      <c r="I150" s="13">
        <f t="shared" si="55"/>
        <v>385.99999999999989</v>
      </c>
    </row>
    <row r="151" spans="1:9" ht="15" x14ac:dyDescent="0.25">
      <c r="A151" s="695"/>
      <c r="B151" s="12">
        <v>48853</v>
      </c>
      <c r="C151" s="13">
        <f t="shared" si="56"/>
        <v>385.99999999999989</v>
      </c>
      <c r="D151" s="13">
        <v>0</v>
      </c>
      <c r="E151" s="13">
        <f t="shared" si="52"/>
        <v>3.0879999999999992</v>
      </c>
      <c r="F151" s="13">
        <f t="shared" si="53"/>
        <v>389.08799999999991</v>
      </c>
      <c r="G151" s="13">
        <f t="shared" si="57"/>
        <v>13</v>
      </c>
      <c r="H151" s="13">
        <f t="shared" si="54"/>
        <v>16.088000000000001</v>
      </c>
      <c r="I151" s="13">
        <f t="shared" si="55"/>
        <v>372.99999999999989</v>
      </c>
    </row>
    <row r="152" spans="1:9" ht="15" x14ac:dyDescent="0.25">
      <c r="A152" s="695"/>
      <c r="B152" s="12">
        <v>48884</v>
      </c>
      <c r="C152" s="13">
        <f t="shared" si="56"/>
        <v>372.99999999999989</v>
      </c>
      <c r="D152" s="13">
        <v>0</v>
      </c>
      <c r="E152" s="13">
        <f t="shared" si="52"/>
        <v>2.9839999999999995</v>
      </c>
      <c r="F152" s="13">
        <f t="shared" si="53"/>
        <v>375.98399999999987</v>
      </c>
      <c r="G152" s="13">
        <f t="shared" si="57"/>
        <v>13</v>
      </c>
      <c r="H152" s="13">
        <f t="shared" si="54"/>
        <v>15.984</v>
      </c>
      <c r="I152" s="13">
        <f t="shared" si="55"/>
        <v>359.99999999999989</v>
      </c>
    </row>
    <row r="153" spans="1:9" ht="15" x14ac:dyDescent="0.25">
      <c r="A153" s="695"/>
      <c r="B153" s="12">
        <v>48914</v>
      </c>
      <c r="C153" s="13">
        <f t="shared" si="56"/>
        <v>359.99999999999989</v>
      </c>
      <c r="D153" s="13">
        <v>0</v>
      </c>
      <c r="E153" s="13">
        <f t="shared" si="52"/>
        <v>2.879999999999999</v>
      </c>
      <c r="F153" s="13">
        <f t="shared" si="53"/>
        <v>362.87999999999988</v>
      </c>
      <c r="G153" s="13">
        <f t="shared" si="57"/>
        <v>13</v>
      </c>
      <c r="H153" s="13">
        <f t="shared" si="54"/>
        <v>15.879999999999999</v>
      </c>
      <c r="I153" s="13">
        <f t="shared" si="55"/>
        <v>346.99999999999989</v>
      </c>
    </row>
    <row r="154" spans="1:9" ht="15" x14ac:dyDescent="0.25">
      <c r="A154" s="695"/>
      <c r="B154" s="12">
        <v>48945</v>
      </c>
      <c r="C154" s="13">
        <f t="shared" si="56"/>
        <v>346.99999999999989</v>
      </c>
      <c r="D154" s="13">
        <v>0</v>
      </c>
      <c r="E154" s="13">
        <f t="shared" si="52"/>
        <v>2.7759999999999994</v>
      </c>
      <c r="F154" s="13">
        <f t="shared" si="53"/>
        <v>349.7759999999999</v>
      </c>
      <c r="G154" s="13">
        <f t="shared" si="57"/>
        <v>13</v>
      </c>
      <c r="H154" s="13">
        <f t="shared" si="54"/>
        <v>15.776</v>
      </c>
      <c r="I154" s="13">
        <f t="shared" si="55"/>
        <v>333.99999999999989</v>
      </c>
    </row>
    <row r="155" spans="1:9" ht="15" x14ac:dyDescent="0.25">
      <c r="A155" s="695"/>
      <c r="B155" s="12">
        <v>48976</v>
      </c>
      <c r="C155" s="13">
        <f t="shared" si="56"/>
        <v>333.99999999999989</v>
      </c>
      <c r="D155" s="13">
        <v>0</v>
      </c>
      <c r="E155" s="13">
        <f t="shared" si="52"/>
        <v>2.6719999999999993</v>
      </c>
      <c r="F155" s="13">
        <f t="shared" si="53"/>
        <v>336.67199999999991</v>
      </c>
      <c r="G155" s="13">
        <f t="shared" si="57"/>
        <v>13</v>
      </c>
      <c r="H155" s="13">
        <f t="shared" si="54"/>
        <v>15.671999999999999</v>
      </c>
      <c r="I155" s="13">
        <f t="shared" si="55"/>
        <v>320.99999999999989</v>
      </c>
    </row>
    <row r="156" spans="1:9" ht="15" x14ac:dyDescent="0.25">
      <c r="A156" s="696"/>
      <c r="B156" s="12">
        <v>49004</v>
      </c>
      <c r="C156" s="13">
        <f t="shared" si="56"/>
        <v>320.99999999999989</v>
      </c>
      <c r="D156" s="13">
        <v>0</v>
      </c>
      <c r="E156" s="13">
        <f t="shared" si="52"/>
        <v>2.5679999999999992</v>
      </c>
      <c r="F156" s="13">
        <f t="shared" si="53"/>
        <v>323.56799999999987</v>
      </c>
      <c r="G156" s="13">
        <f t="shared" si="57"/>
        <v>13</v>
      </c>
      <c r="H156" s="13">
        <f t="shared" si="54"/>
        <v>15.568</v>
      </c>
      <c r="I156" s="13">
        <f t="shared" si="55"/>
        <v>307.99999999999989</v>
      </c>
    </row>
    <row r="157" spans="1:9" ht="15.75" thickBot="1" x14ac:dyDescent="0.3">
      <c r="A157" s="9"/>
      <c r="B157" s="16"/>
      <c r="C157" s="17"/>
      <c r="D157" s="15">
        <f t="shared" ref="D157" si="58">SUM(D145:D156)</f>
        <v>0</v>
      </c>
      <c r="E157" s="15">
        <f t="shared" ref="E157" si="59">SUM(E145:E156)</f>
        <v>37.679999999999986</v>
      </c>
      <c r="F157" s="17"/>
      <c r="G157" s="17">
        <f>SUM(G145:G156)</f>
        <v>156</v>
      </c>
      <c r="H157" s="15">
        <f t="shared" ref="H157" si="60">SUM(H145:H156)</f>
        <v>193.68</v>
      </c>
      <c r="I157" s="17"/>
    </row>
    <row r="158" spans="1:9" ht="15.75" thickTop="1" x14ac:dyDescent="0.25">
      <c r="A158" s="694" t="s">
        <v>64</v>
      </c>
      <c r="B158" s="12">
        <v>49035</v>
      </c>
      <c r="C158" s="13">
        <f>I156</f>
        <v>307.99999999999989</v>
      </c>
      <c r="D158" s="13">
        <v>0</v>
      </c>
      <c r="E158" s="13">
        <f t="shared" ref="E158:E169" si="61">(C158+D158)*9.6%/12</f>
        <v>2.4639999999999991</v>
      </c>
      <c r="F158" s="13">
        <f t="shared" ref="F158:F169" si="62">C158+D158+E158</f>
        <v>310.46399999999988</v>
      </c>
      <c r="G158" s="13">
        <v>13</v>
      </c>
      <c r="H158" s="13">
        <f t="shared" ref="H158:H169" si="63">E158+G158</f>
        <v>15.463999999999999</v>
      </c>
      <c r="I158" s="13">
        <f t="shared" ref="I158:I169" si="64">F158-H158</f>
        <v>294.99999999999989</v>
      </c>
    </row>
    <row r="159" spans="1:9" ht="15" x14ac:dyDescent="0.25">
      <c r="A159" s="695"/>
      <c r="B159" s="12">
        <v>49065</v>
      </c>
      <c r="C159" s="13">
        <f t="shared" ref="C159:C169" si="65">I158</f>
        <v>294.99999999999989</v>
      </c>
      <c r="D159" s="13">
        <v>0</v>
      </c>
      <c r="E159" s="13">
        <f t="shared" si="61"/>
        <v>2.359999999999999</v>
      </c>
      <c r="F159" s="13">
        <f t="shared" si="62"/>
        <v>297.3599999999999</v>
      </c>
      <c r="G159" s="13">
        <f>G158</f>
        <v>13</v>
      </c>
      <c r="H159" s="13">
        <f t="shared" si="63"/>
        <v>15.36</v>
      </c>
      <c r="I159" s="13">
        <f t="shared" si="64"/>
        <v>281.99999999999989</v>
      </c>
    </row>
    <row r="160" spans="1:9" ht="15" x14ac:dyDescent="0.25">
      <c r="A160" s="695"/>
      <c r="B160" s="12">
        <v>49096</v>
      </c>
      <c r="C160" s="13">
        <f t="shared" si="65"/>
        <v>281.99999999999989</v>
      </c>
      <c r="D160" s="13">
        <v>0</v>
      </c>
      <c r="E160" s="13">
        <f t="shared" si="61"/>
        <v>2.2559999999999989</v>
      </c>
      <c r="F160" s="13">
        <f t="shared" si="62"/>
        <v>284.25599999999986</v>
      </c>
      <c r="G160" s="13">
        <f t="shared" ref="G160:G169" si="66">G159</f>
        <v>13</v>
      </c>
      <c r="H160" s="13">
        <f t="shared" si="63"/>
        <v>15.255999999999998</v>
      </c>
      <c r="I160" s="13">
        <f t="shared" si="64"/>
        <v>268.99999999999989</v>
      </c>
    </row>
    <row r="161" spans="1:9" ht="15" x14ac:dyDescent="0.25">
      <c r="A161" s="695"/>
      <c r="B161" s="12">
        <v>49126</v>
      </c>
      <c r="C161" s="13">
        <f t="shared" si="65"/>
        <v>268.99999999999989</v>
      </c>
      <c r="D161" s="13">
        <v>0</v>
      </c>
      <c r="E161" s="13">
        <f t="shared" si="61"/>
        <v>2.1519999999999992</v>
      </c>
      <c r="F161" s="13">
        <f t="shared" si="62"/>
        <v>271.15199999999987</v>
      </c>
      <c r="G161" s="13">
        <f t="shared" si="66"/>
        <v>13</v>
      </c>
      <c r="H161" s="13">
        <f t="shared" si="63"/>
        <v>15.151999999999999</v>
      </c>
      <c r="I161" s="13">
        <f t="shared" si="64"/>
        <v>255.99999999999989</v>
      </c>
    </row>
    <row r="162" spans="1:9" ht="15" x14ac:dyDescent="0.25">
      <c r="A162" s="695"/>
      <c r="B162" s="12">
        <v>49157</v>
      </c>
      <c r="C162" s="13">
        <f t="shared" si="65"/>
        <v>255.99999999999989</v>
      </c>
      <c r="D162" s="13">
        <v>0</v>
      </c>
      <c r="E162" s="13">
        <f t="shared" si="61"/>
        <v>2.0479999999999992</v>
      </c>
      <c r="F162" s="13">
        <f t="shared" si="62"/>
        <v>258.04799999999989</v>
      </c>
      <c r="G162" s="13">
        <f t="shared" si="66"/>
        <v>13</v>
      </c>
      <c r="H162" s="13">
        <f t="shared" si="63"/>
        <v>15.047999999999998</v>
      </c>
      <c r="I162" s="13">
        <f t="shared" si="64"/>
        <v>242.99999999999989</v>
      </c>
    </row>
    <row r="163" spans="1:9" ht="15" x14ac:dyDescent="0.25">
      <c r="A163" s="695"/>
      <c r="B163" s="12">
        <v>49188</v>
      </c>
      <c r="C163" s="13">
        <f t="shared" si="65"/>
        <v>242.99999999999989</v>
      </c>
      <c r="D163" s="13">
        <v>0</v>
      </c>
      <c r="E163" s="13">
        <f t="shared" si="61"/>
        <v>1.9439999999999991</v>
      </c>
      <c r="F163" s="13">
        <f t="shared" si="62"/>
        <v>244.94399999999987</v>
      </c>
      <c r="G163" s="13">
        <f t="shared" si="66"/>
        <v>13</v>
      </c>
      <c r="H163" s="13">
        <f t="shared" si="63"/>
        <v>14.943999999999999</v>
      </c>
      <c r="I163" s="13">
        <f t="shared" si="64"/>
        <v>229.99999999999989</v>
      </c>
    </row>
    <row r="164" spans="1:9" ht="15" x14ac:dyDescent="0.25">
      <c r="A164" s="695"/>
      <c r="B164" s="12">
        <v>49218</v>
      </c>
      <c r="C164" s="13">
        <f t="shared" si="65"/>
        <v>229.99999999999989</v>
      </c>
      <c r="D164" s="13">
        <v>0</v>
      </c>
      <c r="E164" s="13">
        <f t="shared" si="61"/>
        <v>1.8399999999999992</v>
      </c>
      <c r="F164" s="13">
        <f t="shared" si="62"/>
        <v>231.83999999999989</v>
      </c>
      <c r="G164" s="13">
        <f t="shared" si="66"/>
        <v>13</v>
      </c>
      <c r="H164" s="13">
        <f t="shared" si="63"/>
        <v>14.84</v>
      </c>
      <c r="I164" s="13">
        <f t="shared" si="64"/>
        <v>216.99999999999989</v>
      </c>
    </row>
    <row r="165" spans="1:9" ht="15" x14ac:dyDescent="0.25">
      <c r="A165" s="695"/>
      <c r="B165" s="12">
        <v>49249</v>
      </c>
      <c r="C165" s="13">
        <f t="shared" si="65"/>
        <v>216.99999999999989</v>
      </c>
      <c r="D165" s="13">
        <v>0</v>
      </c>
      <c r="E165" s="13">
        <f t="shared" si="61"/>
        <v>1.7359999999999991</v>
      </c>
      <c r="F165" s="13">
        <f t="shared" si="62"/>
        <v>218.73599999999988</v>
      </c>
      <c r="G165" s="13">
        <f t="shared" si="66"/>
        <v>13</v>
      </c>
      <c r="H165" s="13">
        <f t="shared" si="63"/>
        <v>14.735999999999999</v>
      </c>
      <c r="I165" s="13">
        <f t="shared" si="64"/>
        <v>203.99999999999989</v>
      </c>
    </row>
    <row r="166" spans="1:9" ht="15" x14ac:dyDescent="0.25">
      <c r="A166" s="695"/>
      <c r="B166" s="12">
        <v>49279</v>
      </c>
      <c r="C166" s="13">
        <f t="shared" si="65"/>
        <v>203.99999999999989</v>
      </c>
      <c r="D166" s="13">
        <v>0</v>
      </c>
      <c r="E166" s="13">
        <f t="shared" si="61"/>
        <v>1.631999999999999</v>
      </c>
      <c r="F166" s="13">
        <f t="shared" si="62"/>
        <v>205.63199999999989</v>
      </c>
      <c r="G166" s="13">
        <f t="shared" si="66"/>
        <v>13</v>
      </c>
      <c r="H166" s="13">
        <f t="shared" si="63"/>
        <v>14.632</v>
      </c>
      <c r="I166" s="13">
        <f t="shared" si="64"/>
        <v>190.99999999999989</v>
      </c>
    </row>
    <row r="167" spans="1:9" ht="15" x14ac:dyDescent="0.25">
      <c r="A167" s="695"/>
      <c r="B167" s="12">
        <v>49310</v>
      </c>
      <c r="C167" s="13">
        <f t="shared" si="65"/>
        <v>190.99999999999989</v>
      </c>
      <c r="D167" s="13">
        <v>0</v>
      </c>
      <c r="E167" s="13">
        <f t="shared" si="61"/>
        <v>1.5279999999999989</v>
      </c>
      <c r="F167" s="13">
        <f t="shared" si="62"/>
        <v>192.52799999999988</v>
      </c>
      <c r="G167" s="13">
        <f t="shared" si="66"/>
        <v>13</v>
      </c>
      <c r="H167" s="13">
        <f t="shared" si="63"/>
        <v>14.527999999999999</v>
      </c>
      <c r="I167" s="13">
        <f t="shared" si="64"/>
        <v>177.99999999999989</v>
      </c>
    </row>
    <row r="168" spans="1:9" ht="15" x14ac:dyDescent="0.25">
      <c r="A168" s="695"/>
      <c r="B168" s="12">
        <v>49341</v>
      </c>
      <c r="C168" s="13">
        <f t="shared" si="65"/>
        <v>177.99999999999989</v>
      </c>
      <c r="D168" s="13">
        <v>0</v>
      </c>
      <c r="E168" s="13">
        <f t="shared" si="61"/>
        <v>1.4239999999999993</v>
      </c>
      <c r="F168" s="13">
        <f t="shared" si="62"/>
        <v>179.42399999999989</v>
      </c>
      <c r="G168" s="13">
        <f t="shared" si="66"/>
        <v>13</v>
      </c>
      <c r="H168" s="13">
        <f t="shared" si="63"/>
        <v>14.423999999999999</v>
      </c>
      <c r="I168" s="13">
        <f t="shared" si="64"/>
        <v>164.99999999999989</v>
      </c>
    </row>
    <row r="169" spans="1:9" ht="15" x14ac:dyDescent="0.25">
      <c r="A169" s="696"/>
      <c r="B169" s="12">
        <v>49369</v>
      </c>
      <c r="C169" s="13">
        <f t="shared" si="65"/>
        <v>164.99999999999989</v>
      </c>
      <c r="D169" s="13">
        <v>0</v>
      </c>
      <c r="E169" s="13">
        <f t="shared" si="61"/>
        <v>1.3199999999999992</v>
      </c>
      <c r="F169" s="13">
        <f t="shared" si="62"/>
        <v>166.31999999999988</v>
      </c>
      <c r="G169" s="13">
        <f t="shared" si="66"/>
        <v>13</v>
      </c>
      <c r="H169" s="13">
        <f t="shared" si="63"/>
        <v>14.319999999999999</v>
      </c>
      <c r="I169" s="13">
        <f t="shared" si="64"/>
        <v>151.99999999999989</v>
      </c>
    </row>
    <row r="170" spans="1:9" ht="15.75" thickBot="1" x14ac:dyDescent="0.3">
      <c r="A170" s="9"/>
      <c r="B170" s="16"/>
      <c r="C170" s="17"/>
      <c r="D170" s="15">
        <f t="shared" ref="D170" si="67">SUM(D158:D169)</f>
        <v>0</v>
      </c>
      <c r="E170" s="15">
        <f t="shared" ref="E170" si="68">SUM(E158:E169)</f>
        <v>22.70399999999999</v>
      </c>
      <c r="F170" s="17"/>
      <c r="G170" s="17">
        <f>SUM(G158:G169)</f>
        <v>156</v>
      </c>
      <c r="H170" s="15">
        <f t="shared" ref="H170" si="69">SUM(H158:H169)</f>
        <v>178.70400000000001</v>
      </c>
      <c r="I170" s="17"/>
    </row>
    <row r="171" spans="1:9" ht="15.75" thickTop="1" x14ac:dyDescent="0.25">
      <c r="A171" s="694" t="s">
        <v>65</v>
      </c>
      <c r="B171" s="12">
        <v>49400</v>
      </c>
      <c r="C171" s="13">
        <f>I169</f>
        <v>151.99999999999989</v>
      </c>
      <c r="D171" s="13">
        <v>0</v>
      </c>
      <c r="E171" s="13">
        <f t="shared" ref="E171:E181" si="70">(C171+D171)*9.6%/12</f>
        <v>1.2159999999999991</v>
      </c>
      <c r="F171" s="13">
        <f t="shared" ref="F171:F181" si="71">C171+D171+E171</f>
        <v>153.21599999999989</v>
      </c>
      <c r="G171" s="13">
        <v>14</v>
      </c>
      <c r="H171" s="13">
        <f t="shared" ref="H171:H181" si="72">E171+G171</f>
        <v>15.215999999999999</v>
      </c>
      <c r="I171" s="13">
        <f t="shared" ref="I171:I181" si="73">F171-H171</f>
        <v>137.99999999999989</v>
      </c>
    </row>
    <row r="172" spans="1:9" ht="15" x14ac:dyDescent="0.25">
      <c r="A172" s="695"/>
      <c r="B172" s="12">
        <v>49430</v>
      </c>
      <c r="C172" s="13">
        <f t="shared" ref="C172:C181" si="74">I171</f>
        <v>137.99999999999989</v>
      </c>
      <c r="D172" s="13">
        <v>0</v>
      </c>
      <c r="E172" s="13">
        <f t="shared" si="70"/>
        <v>1.103999999999999</v>
      </c>
      <c r="F172" s="13">
        <f t="shared" si="71"/>
        <v>139.10399999999987</v>
      </c>
      <c r="G172" s="13">
        <f>G171</f>
        <v>14</v>
      </c>
      <c r="H172" s="13">
        <f t="shared" si="72"/>
        <v>15.103999999999999</v>
      </c>
      <c r="I172" s="13">
        <f t="shared" si="73"/>
        <v>123.99999999999987</v>
      </c>
    </row>
    <row r="173" spans="1:9" ht="15" x14ac:dyDescent="0.25">
      <c r="A173" s="695"/>
      <c r="B173" s="12">
        <v>49461</v>
      </c>
      <c r="C173" s="13">
        <f t="shared" si="74"/>
        <v>123.99999999999987</v>
      </c>
      <c r="D173" s="13">
        <v>0</v>
      </c>
      <c r="E173" s="13">
        <f t="shared" si="70"/>
        <v>0.99199999999999899</v>
      </c>
      <c r="F173" s="13">
        <f t="shared" si="71"/>
        <v>124.99199999999988</v>
      </c>
      <c r="G173" s="13">
        <f t="shared" ref="G173:G180" si="75">G172</f>
        <v>14</v>
      </c>
      <c r="H173" s="13">
        <f t="shared" si="72"/>
        <v>14.991999999999999</v>
      </c>
      <c r="I173" s="13">
        <f t="shared" si="73"/>
        <v>109.99999999999987</v>
      </c>
    </row>
    <row r="174" spans="1:9" ht="15" x14ac:dyDescent="0.25">
      <c r="A174" s="695"/>
      <c r="B174" s="12">
        <v>49491</v>
      </c>
      <c r="C174" s="13">
        <f t="shared" si="74"/>
        <v>109.99999999999987</v>
      </c>
      <c r="D174" s="13">
        <v>0</v>
      </c>
      <c r="E174" s="13">
        <f t="shared" si="70"/>
        <v>0.87999999999999901</v>
      </c>
      <c r="F174" s="13">
        <f t="shared" si="71"/>
        <v>110.87999999999987</v>
      </c>
      <c r="G174" s="13">
        <f t="shared" si="75"/>
        <v>14</v>
      </c>
      <c r="H174" s="13">
        <f t="shared" si="72"/>
        <v>14.879999999999999</v>
      </c>
      <c r="I174" s="13">
        <f t="shared" si="73"/>
        <v>95.999999999999872</v>
      </c>
    </row>
    <row r="175" spans="1:9" ht="15" x14ac:dyDescent="0.25">
      <c r="A175" s="695"/>
      <c r="B175" s="12">
        <v>49522</v>
      </c>
      <c r="C175" s="13">
        <f t="shared" si="74"/>
        <v>95.999999999999872</v>
      </c>
      <c r="D175" s="13">
        <v>0</v>
      </c>
      <c r="E175" s="13">
        <f t="shared" si="70"/>
        <v>0.76799999999999902</v>
      </c>
      <c r="F175" s="13">
        <f t="shared" si="71"/>
        <v>96.767999999999873</v>
      </c>
      <c r="G175" s="13">
        <f t="shared" si="75"/>
        <v>14</v>
      </c>
      <c r="H175" s="13">
        <f t="shared" si="72"/>
        <v>14.767999999999999</v>
      </c>
      <c r="I175" s="13">
        <f t="shared" si="73"/>
        <v>81.999999999999872</v>
      </c>
    </row>
    <row r="176" spans="1:9" ht="15" x14ac:dyDescent="0.25">
      <c r="A176" s="695"/>
      <c r="B176" s="12">
        <v>49553</v>
      </c>
      <c r="C176" s="13">
        <f t="shared" si="74"/>
        <v>81.999999999999872</v>
      </c>
      <c r="D176" s="13">
        <v>0</v>
      </c>
      <c r="E176" s="13">
        <f t="shared" si="70"/>
        <v>0.65599999999999892</v>
      </c>
      <c r="F176" s="13">
        <f t="shared" si="71"/>
        <v>82.655999999999878</v>
      </c>
      <c r="G176" s="13">
        <f t="shared" si="75"/>
        <v>14</v>
      </c>
      <c r="H176" s="13">
        <f t="shared" si="72"/>
        <v>14.655999999999999</v>
      </c>
      <c r="I176" s="13">
        <f t="shared" si="73"/>
        <v>67.999999999999886</v>
      </c>
    </row>
    <row r="177" spans="1:9" ht="15" x14ac:dyDescent="0.25">
      <c r="A177" s="695"/>
      <c r="B177" s="12">
        <v>49583</v>
      </c>
      <c r="C177" s="13">
        <f t="shared" si="74"/>
        <v>67.999999999999886</v>
      </c>
      <c r="D177" s="13">
        <v>0</v>
      </c>
      <c r="E177" s="13">
        <f t="shared" si="70"/>
        <v>0.54399999999999904</v>
      </c>
      <c r="F177" s="13">
        <f t="shared" si="71"/>
        <v>68.543999999999883</v>
      </c>
      <c r="G177" s="13">
        <f t="shared" si="75"/>
        <v>14</v>
      </c>
      <c r="H177" s="13">
        <f t="shared" si="72"/>
        <v>14.543999999999999</v>
      </c>
      <c r="I177" s="13">
        <f t="shared" si="73"/>
        <v>53.999999999999886</v>
      </c>
    </row>
    <row r="178" spans="1:9" ht="15" x14ac:dyDescent="0.25">
      <c r="A178" s="695"/>
      <c r="B178" s="12">
        <v>49614</v>
      </c>
      <c r="C178" s="13">
        <f t="shared" si="74"/>
        <v>53.999999999999886</v>
      </c>
      <c r="D178" s="13">
        <v>0</v>
      </c>
      <c r="E178" s="13">
        <f t="shared" si="70"/>
        <v>0.43199999999999911</v>
      </c>
      <c r="F178" s="13">
        <f t="shared" si="71"/>
        <v>54.431999999999888</v>
      </c>
      <c r="G178" s="13">
        <f t="shared" si="75"/>
        <v>14</v>
      </c>
      <c r="H178" s="13">
        <f t="shared" si="72"/>
        <v>14.431999999999999</v>
      </c>
      <c r="I178" s="13">
        <f t="shared" si="73"/>
        <v>39.999999999999886</v>
      </c>
    </row>
    <row r="179" spans="1:9" ht="15" x14ac:dyDescent="0.25">
      <c r="A179" s="695"/>
      <c r="B179" s="12">
        <v>49644</v>
      </c>
      <c r="C179" s="13">
        <f t="shared" si="74"/>
        <v>39.999999999999886</v>
      </c>
      <c r="D179" s="13">
        <v>0</v>
      </c>
      <c r="E179" s="13">
        <f t="shared" si="70"/>
        <v>0.31999999999999912</v>
      </c>
      <c r="F179" s="13">
        <f t="shared" si="71"/>
        <v>40.319999999999887</v>
      </c>
      <c r="G179" s="13">
        <f t="shared" si="75"/>
        <v>14</v>
      </c>
      <c r="H179" s="13">
        <f t="shared" si="72"/>
        <v>14.319999999999999</v>
      </c>
      <c r="I179" s="13">
        <f t="shared" si="73"/>
        <v>25.999999999999886</v>
      </c>
    </row>
    <row r="180" spans="1:9" ht="15" x14ac:dyDescent="0.25">
      <c r="A180" s="695"/>
      <c r="B180" s="12">
        <v>49675</v>
      </c>
      <c r="C180" s="13">
        <f t="shared" si="74"/>
        <v>25.999999999999886</v>
      </c>
      <c r="D180" s="13">
        <v>0</v>
      </c>
      <c r="E180" s="13">
        <f t="shared" si="70"/>
        <v>0.2079999999999991</v>
      </c>
      <c r="F180" s="13">
        <f t="shared" si="71"/>
        <v>26.207999999999885</v>
      </c>
      <c r="G180" s="13">
        <f t="shared" si="75"/>
        <v>14</v>
      </c>
      <c r="H180" s="13">
        <f t="shared" si="72"/>
        <v>14.207999999999998</v>
      </c>
      <c r="I180" s="13">
        <f t="shared" si="73"/>
        <v>11.999999999999886</v>
      </c>
    </row>
    <row r="181" spans="1:9" ht="15" x14ac:dyDescent="0.25">
      <c r="A181" s="695"/>
      <c r="B181" s="12">
        <v>49706</v>
      </c>
      <c r="C181" s="13">
        <f t="shared" si="74"/>
        <v>11.999999999999886</v>
      </c>
      <c r="D181" s="13">
        <v>0</v>
      </c>
      <c r="E181" s="13">
        <f t="shared" si="70"/>
        <v>9.5999999999999086E-2</v>
      </c>
      <c r="F181" s="13">
        <f t="shared" si="71"/>
        <v>12.095999999999885</v>
      </c>
      <c r="G181" s="13">
        <v>12</v>
      </c>
      <c r="H181" s="13">
        <f t="shared" si="72"/>
        <v>12.095999999999998</v>
      </c>
      <c r="I181" s="13">
        <f t="shared" si="73"/>
        <v>-1.1368683772161603E-13</v>
      </c>
    </row>
    <row r="182" spans="1:9" ht="15.75" thickBot="1" x14ac:dyDescent="0.3">
      <c r="A182" s="9"/>
      <c r="B182" s="16"/>
      <c r="C182" s="17"/>
      <c r="D182" s="15">
        <f t="shared" ref="D182:H182" si="76">SUM(D170:D181)</f>
        <v>0</v>
      </c>
      <c r="E182" s="15">
        <f t="shared" si="76"/>
        <v>29.91999999999998</v>
      </c>
      <c r="F182" s="15">
        <f t="shared" si="76"/>
        <v>909.21599999999876</v>
      </c>
      <c r="G182" s="15">
        <f>SUM(G171:G181)</f>
        <v>152</v>
      </c>
      <c r="H182" s="15">
        <f t="shared" si="76"/>
        <v>337.91999999999996</v>
      </c>
      <c r="I182" s="17"/>
    </row>
    <row r="183" spans="1:9" ht="13.5" thickTop="1" x14ac:dyDescent="0.2"/>
    <row r="184" spans="1:9" ht="15" thickBot="1" x14ac:dyDescent="0.25">
      <c r="A184" s="693" t="s">
        <v>70</v>
      </c>
      <c r="B184" s="693"/>
      <c r="C184" s="693"/>
      <c r="D184" s="15">
        <f>D27+D40+D53+D66+D79+D92+D105+D118+D131+D144+D157+D170+D182</f>
        <v>1190</v>
      </c>
      <c r="E184" s="15">
        <f t="shared" ref="E184:H184" si="77">E27+E40+E53+E66+E79+E92+E105+E118+E131+E144+E157+E170+E182</f>
        <v>910.68799999999987</v>
      </c>
      <c r="F184" s="15">
        <f t="shared" si="77"/>
        <v>909.21599999999876</v>
      </c>
      <c r="G184" s="15">
        <f>G27+G40+G53+G66+G79+G92+G105+G118+G131+G144+G157+G170+G182</f>
        <v>1190</v>
      </c>
      <c r="H184" s="15">
        <f t="shared" si="77"/>
        <v>2256.6879999999996</v>
      </c>
      <c r="I184" s="18"/>
    </row>
    <row r="185" spans="1:9" ht="13.5" thickTop="1" x14ac:dyDescent="0.2"/>
    <row r="187" spans="1:9" x14ac:dyDescent="0.2">
      <c r="G187" s="27"/>
    </row>
  </sheetData>
  <mergeCells count="21">
    <mergeCell ref="A67:A78"/>
    <mergeCell ref="A2:I2"/>
    <mergeCell ref="A5:I5"/>
    <mergeCell ref="A7:D7"/>
    <mergeCell ref="A8:D8"/>
    <mergeCell ref="A10:D10"/>
    <mergeCell ref="A12:D12"/>
    <mergeCell ref="A15:A26"/>
    <mergeCell ref="A28:A39"/>
    <mergeCell ref="A41:A52"/>
    <mergeCell ref="A54:A65"/>
    <mergeCell ref="A3:I3"/>
    <mergeCell ref="A184:C184"/>
    <mergeCell ref="A158:A169"/>
    <mergeCell ref="A171:A181"/>
    <mergeCell ref="A80:A91"/>
    <mergeCell ref="A93:A104"/>
    <mergeCell ref="A106:A117"/>
    <mergeCell ref="A119:A130"/>
    <mergeCell ref="A132:A143"/>
    <mergeCell ref="A145:A156"/>
  </mergeCells>
  <pageMargins left="0.7" right="0.7" top="0.75" bottom="0.75" header="0.3" footer="0.3"/>
  <pageSetup scale="9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5"/>
  <sheetViews>
    <sheetView zoomScaleNormal="100" workbookViewId="0">
      <selection activeCell="D27" sqref="D27"/>
    </sheetView>
  </sheetViews>
  <sheetFormatPr defaultRowHeight="12.75" x14ac:dyDescent="0.2"/>
  <cols>
    <col min="1" max="1" width="9.140625" customWidth="1"/>
    <col min="2" max="2" width="7.5703125" bestFit="1" customWidth="1"/>
    <col min="3" max="3" width="9" customWidth="1"/>
    <col min="4" max="4" width="12.5703125" bestFit="1" customWidth="1"/>
    <col min="5" max="5" width="9.42578125" customWidth="1"/>
    <col min="6" max="6" width="9.5703125" bestFit="1" customWidth="1"/>
    <col min="7" max="7" width="10.5703125" customWidth="1"/>
    <col min="8" max="8" width="11.5703125" customWidth="1"/>
    <col min="9" max="9" width="8.7109375" customWidth="1"/>
    <col min="11" max="16" width="0" hidden="1" customWidth="1"/>
  </cols>
  <sheetData>
    <row r="2" spans="1:15" ht="18.75" x14ac:dyDescent="0.3">
      <c r="A2" s="697" t="s">
        <v>58</v>
      </c>
      <c r="B2" s="697"/>
      <c r="C2" s="697"/>
      <c r="D2" s="697"/>
      <c r="E2" s="697"/>
      <c r="F2" s="697"/>
      <c r="G2" s="697"/>
      <c r="H2" s="697"/>
      <c r="I2" s="697"/>
    </row>
    <row r="3" spans="1:15" x14ac:dyDescent="0.2">
      <c r="A3" s="704" t="s">
        <v>87</v>
      </c>
      <c r="B3" s="704"/>
      <c r="C3" s="704"/>
      <c r="D3" s="704"/>
      <c r="E3" s="704"/>
      <c r="F3" s="704"/>
      <c r="G3" s="704"/>
      <c r="H3" s="704"/>
      <c r="I3" s="704"/>
      <c r="J3" s="3"/>
      <c r="K3" s="3"/>
      <c r="L3" s="3"/>
      <c r="M3" s="3"/>
      <c r="N3" s="3"/>
      <c r="O3" s="3"/>
    </row>
    <row r="4" spans="1:15" x14ac:dyDescent="0.2">
      <c r="A4" s="23"/>
      <c r="B4" s="23"/>
      <c r="C4" s="23"/>
      <c r="D4" s="23"/>
      <c r="E4" s="23"/>
      <c r="F4" s="23"/>
      <c r="G4" s="23"/>
      <c r="H4" s="23"/>
      <c r="I4" s="23"/>
      <c r="J4" s="3"/>
      <c r="K4" s="3"/>
      <c r="L4" s="3"/>
      <c r="M4" s="3"/>
      <c r="N4" s="3"/>
      <c r="O4" s="3"/>
    </row>
    <row r="5" spans="1:15" ht="15.75" x14ac:dyDescent="0.25">
      <c r="A5" s="698" t="s">
        <v>66</v>
      </c>
      <c r="B5" s="699"/>
      <c r="C5" s="699"/>
      <c r="D5" s="699"/>
      <c r="E5" s="699"/>
      <c r="F5" s="699"/>
      <c r="G5" s="699"/>
      <c r="H5" s="699"/>
      <c r="I5" s="699"/>
    </row>
    <row r="6" spans="1:15" ht="15" x14ac:dyDescent="0.25">
      <c r="A6" s="5"/>
      <c r="B6" s="6"/>
      <c r="C6" s="5"/>
      <c r="D6" s="5"/>
      <c r="E6" s="5"/>
      <c r="F6" s="5"/>
      <c r="G6" s="5"/>
      <c r="H6" s="5"/>
      <c r="I6" s="5"/>
    </row>
    <row r="7" spans="1:15" ht="15" x14ac:dyDescent="0.25">
      <c r="A7" s="700" t="s">
        <v>625</v>
      </c>
      <c r="B7" s="700"/>
      <c r="C7" s="700"/>
      <c r="D7" s="700"/>
      <c r="E7" s="5"/>
      <c r="F7" s="5"/>
      <c r="G7" s="5"/>
      <c r="H7" s="5"/>
      <c r="I7" s="5"/>
    </row>
    <row r="8" spans="1:15" ht="15" x14ac:dyDescent="0.25">
      <c r="A8" s="700" t="s">
        <v>60</v>
      </c>
      <c r="B8" s="701"/>
      <c r="C8" s="701"/>
      <c r="D8" s="701"/>
      <c r="E8" s="5"/>
      <c r="F8" s="5"/>
      <c r="G8" s="5"/>
      <c r="H8" s="5"/>
      <c r="I8" s="5"/>
    </row>
    <row r="9" spans="1:15" ht="15" x14ac:dyDescent="0.25">
      <c r="A9" s="402" t="s">
        <v>848</v>
      </c>
      <c r="B9" s="403"/>
      <c r="C9" s="403"/>
      <c r="D9" s="403"/>
      <c r="E9" s="5"/>
      <c r="F9" s="5"/>
      <c r="G9" s="5"/>
      <c r="H9" s="5"/>
      <c r="I9" s="5"/>
    </row>
    <row r="10" spans="1:15" ht="15" x14ac:dyDescent="0.25">
      <c r="A10" s="702" t="s">
        <v>849</v>
      </c>
      <c r="B10" s="703"/>
      <c r="C10" s="703"/>
      <c r="D10" s="703"/>
      <c r="E10" s="5"/>
      <c r="F10" s="5"/>
      <c r="G10" s="5"/>
      <c r="H10" s="5"/>
      <c r="I10" s="5"/>
    </row>
    <row r="11" spans="1:15" ht="15" x14ac:dyDescent="0.25">
      <c r="A11" s="404" t="s">
        <v>851</v>
      </c>
      <c r="B11" s="405"/>
      <c r="C11" s="405"/>
      <c r="D11" s="405"/>
      <c r="E11" s="5"/>
      <c r="F11" s="5"/>
      <c r="G11" s="5"/>
      <c r="H11" s="5"/>
      <c r="I11" s="5"/>
    </row>
    <row r="12" spans="1:15" ht="15" x14ac:dyDescent="0.25">
      <c r="A12" s="700" t="s">
        <v>850</v>
      </c>
      <c r="B12" s="701"/>
      <c r="C12" s="701"/>
      <c r="D12" s="701"/>
      <c r="E12" s="5"/>
      <c r="F12" s="5"/>
      <c r="G12" s="5"/>
      <c r="H12" s="5"/>
      <c r="I12" s="5"/>
    </row>
    <row r="13" spans="1:15" ht="15" x14ac:dyDescent="0.25">
      <c r="A13" s="5"/>
      <c r="B13" s="6"/>
      <c r="C13" s="5"/>
      <c r="D13" s="5"/>
      <c r="E13" s="5"/>
      <c r="F13" s="5"/>
      <c r="G13" s="5"/>
      <c r="H13" s="5"/>
      <c r="I13" s="5">
        <v>1650</v>
      </c>
    </row>
    <row r="14" spans="1:15" ht="30" thickBot="1" x14ac:dyDescent="0.3">
      <c r="A14" s="20" t="s">
        <v>4</v>
      </c>
      <c r="B14" s="19" t="s">
        <v>47</v>
      </c>
      <c r="C14" s="19" t="s">
        <v>27</v>
      </c>
      <c r="D14" s="19" t="s">
        <v>48</v>
      </c>
      <c r="E14" s="19" t="s">
        <v>41</v>
      </c>
      <c r="F14" s="19" t="s">
        <v>5</v>
      </c>
      <c r="G14" s="19" t="s">
        <v>43</v>
      </c>
      <c r="H14" s="19" t="s">
        <v>42</v>
      </c>
      <c r="I14" s="19" t="s">
        <v>28</v>
      </c>
    </row>
    <row r="15" spans="1:15" ht="14.45" customHeight="1" thickTop="1" x14ac:dyDescent="0.25">
      <c r="A15" s="694" t="s">
        <v>49</v>
      </c>
      <c r="B15" s="12">
        <v>45017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>E15+G15</f>
        <v>0</v>
      </c>
      <c r="I15" s="13">
        <v>0</v>
      </c>
    </row>
    <row r="16" spans="1:15" ht="15" x14ac:dyDescent="0.25">
      <c r="A16" s="695"/>
      <c r="B16" s="12">
        <v>45047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ref="H16:H26" si="0">E16+G16</f>
        <v>0</v>
      </c>
      <c r="I16" s="13">
        <v>0</v>
      </c>
    </row>
    <row r="17" spans="1:15" ht="15" x14ac:dyDescent="0.25">
      <c r="A17" s="695"/>
      <c r="B17" s="12">
        <v>45078</v>
      </c>
      <c r="C17" s="13">
        <v>0</v>
      </c>
      <c r="D17" s="13">
        <v>0</v>
      </c>
      <c r="E17" s="13">
        <f>(C17+D17)*10%/12</f>
        <v>0</v>
      </c>
      <c r="F17" s="13">
        <f>C17+D17+E17</f>
        <v>0</v>
      </c>
      <c r="G17" s="13">
        <v>0</v>
      </c>
      <c r="H17" s="13">
        <f t="shared" si="0"/>
        <v>0</v>
      </c>
      <c r="I17" s="13">
        <f>F17-H17</f>
        <v>0</v>
      </c>
    </row>
    <row r="18" spans="1:15" ht="15" x14ac:dyDescent="0.25">
      <c r="A18" s="695"/>
      <c r="B18" s="12">
        <v>45108</v>
      </c>
      <c r="C18" s="13">
        <f>I17</f>
        <v>0</v>
      </c>
      <c r="D18" s="13">
        <v>0</v>
      </c>
      <c r="E18" s="13">
        <f t="shared" ref="E18:E19" si="1">(C18+D18)*10%/12</f>
        <v>0</v>
      </c>
      <c r="F18" s="13">
        <f t="shared" ref="F18:F86" si="2">C18+D18+E18</f>
        <v>0</v>
      </c>
      <c r="G18" s="13">
        <v>0</v>
      </c>
      <c r="H18" s="13">
        <f t="shared" si="0"/>
        <v>0</v>
      </c>
      <c r="I18" s="13">
        <f t="shared" ref="I18:I86" si="3">F18-H18</f>
        <v>0</v>
      </c>
    </row>
    <row r="19" spans="1:15" ht="15" x14ac:dyDescent="0.25">
      <c r="A19" s="695"/>
      <c r="B19" s="12">
        <v>45139</v>
      </c>
      <c r="C19" s="13">
        <f t="shared" ref="C19:C87" si="4">I18</f>
        <v>0</v>
      </c>
      <c r="D19" s="13">
        <v>0</v>
      </c>
      <c r="E19" s="13">
        <f t="shared" si="1"/>
        <v>0</v>
      </c>
      <c r="F19" s="13">
        <f t="shared" si="2"/>
        <v>0</v>
      </c>
      <c r="G19" s="13">
        <v>0</v>
      </c>
      <c r="H19" s="13">
        <f t="shared" si="0"/>
        <v>0</v>
      </c>
      <c r="I19" s="13">
        <f t="shared" si="3"/>
        <v>0</v>
      </c>
      <c r="M19" s="1" t="s">
        <v>68</v>
      </c>
      <c r="N19" s="1" t="s">
        <v>43</v>
      </c>
      <c r="O19" s="1" t="s">
        <v>42</v>
      </c>
    </row>
    <row r="20" spans="1:15" ht="15" x14ac:dyDescent="0.25">
      <c r="A20" s="695"/>
      <c r="B20" s="12">
        <v>45170</v>
      </c>
      <c r="C20" s="13">
        <f t="shared" si="4"/>
        <v>0</v>
      </c>
      <c r="D20" s="13">
        <v>0</v>
      </c>
      <c r="E20" s="13">
        <f>(C20+D20)*9.6%/12</f>
        <v>0</v>
      </c>
      <c r="F20" s="13">
        <f t="shared" si="2"/>
        <v>0</v>
      </c>
      <c r="G20" s="13">
        <v>0</v>
      </c>
      <c r="H20" s="13">
        <f t="shared" si="0"/>
        <v>0</v>
      </c>
      <c r="I20" s="13">
        <f t="shared" si="3"/>
        <v>0</v>
      </c>
      <c r="M20">
        <v>16</v>
      </c>
      <c r="N20">
        <v>12</v>
      </c>
      <c r="O20">
        <f>M20*N20</f>
        <v>192</v>
      </c>
    </row>
    <row r="21" spans="1:15" ht="15" x14ac:dyDescent="0.25">
      <c r="A21" s="695"/>
      <c r="B21" s="12">
        <v>45200</v>
      </c>
      <c r="C21" s="13">
        <f t="shared" si="4"/>
        <v>0</v>
      </c>
      <c r="D21" s="13">
        <v>0</v>
      </c>
      <c r="E21" s="13">
        <f t="shared" ref="E21:E84" si="5">(C21+D21)*9.6%/12</f>
        <v>0</v>
      </c>
      <c r="F21" s="13">
        <f t="shared" si="2"/>
        <v>0</v>
      </c>
      <c r="G21" s="13">
        <v>0</v>
      </c>
      <c r="H21" s="13">
        <f t="shared" si="0"/>
        <v>0</v>
      </c>
      <c r="I21" s="13">
        <f t="shared" si="3"/>
        <v>0</v>
      </c>
      <c r="M21">
        <v>18</v>
      </c>
      <c r="N21">
        <v>15</v>
      </c>
      <c r="O21">
        <f t="shared" ref="O21:O24" si="6">M21*N21</f>
        <v>270</v>
      </c>
    </row>
    <row r="22" spans="1:15" ht="15" x14ac:dyDescent="0.25">
      <c r="A22" s="695"/>
      <c r="B22" s="12">
        <v>45231</v>
      </c>
      <c r="C22" s="13">
        <f t="shared" si="4"/>
        <v>0</v>
      </c>
      <c r="D22" s="13">
        <v>0</v>
      </c>
      <c r="E22" s="13">
        <f t="shared" si="5"/>
        <v>0</v>
      </c>
      <c r="F22" s="13">
        <f t="shared" si="2"/>
        <v>0</v>
      </c>
      <c r="G22" s="13">
        <v>0</v>
      </c>
      <c r="H22" s="13">
        <f t="shared" si="0"/>
        <v>0</v>
      </c>
      <c r="I22" s="13">
        <f t="shared" si="3"/>
        <v>0</v>
      </c>
      <c r="M22">
        <v>18</v>
      </c>
      <c r="N22">
        <v>17</v>
      </c>
      <c r="O22">
        <f t="shared" si="6"/>
        <v>306</v>
      </c>
    </row>
    <row r="23" spans="1:15" ht="15" x14ac:dyDescent="0.25">
      <c r="A23" s="695"/>
      <c r="B23" s="12">
        <v>45261</v>
      </c>
      <c r="C23" s="13">
        <f t="shared" si="4"/>
        <v>0</v>
      </c>
      <c r="D23" s="13">
        <v>0</v>
      </c>
      <c r="E23" s="13">
        <f t="shared" si="5"/>
        <v>0</v>
      </c>
      <c r="F23" s="13">
        <f t="shared" si="2"/>
        <v>0</v>
      </c>
      <c r="G23" s="13">
        <v>0</v>
      </c>
      <c r="H23" s="13">
        <f t="shared" si="0"/>
        <v>0</v>
      </c>
      <c r="I23" s="13">
        <f t="shared" si="3"/>
        <v>0</v>
      </c>
      <c r="M23">
        <v>18</v>
      </c>
      <c r="N23">
        <v>19</v>
      </c>
      <c r="O23">
        <f t="shared" si="6"/>
        <v>342</v>
      </c>
    </row>
    <row r="24" spans="1:15" ht="15" x14ac:dyDescent="0.25">
      <c r="A24" s="695"/>
      <c r="B24" s="12">
        <v>45292</v>
      </c>
      <c r="C24" s="13">
        <f t="shared" si="4"/>
        <v>0</v>
      </c>
      <c r="D24" s="13">
        <v>0</v>
      </c>
      <c r="E24" s="13">
        <f t="shared" si="5"/>
        <v>0</v>
      </c>
      <c r="F24" s="13">
        <f t="shared" si="2"/>
        <v>0</v>
      </c>
      <c r="G24" s="13">
        <v>0</v>
      </c>
      <c r="H24" s="13">
        <f t="shared" si="0"/>
        <v>0</v>
      </c>
      <c r="I24" s="13">
        <f t="shared" si="3"/>
        <v>0</v>
      </c>
      <c r="M24">
        <v>36</v>
      </c>
      <c r="N24">
        <v>25</v>
      </c>
      <c r="O24">
        <f t="shared" si="6"/>
        <v>900</v>
      </c>
    </row>
    <row r="25" spans="1:15" ht="15" x14ac:dyDescent="0.25">
      <c r="A25" s="695"/>
      <c r="B25" s="12">
        <v>45323</v>
      </c>
      <c r="C25" s="13">
        <f t="shared" si="4"/>
        <v>0</v>
      </c>
      <c r="D25" s="13">
        <v>0</v>
      </c>
      <c r="E25" s="13">
        <f t="shared" si="5"/>
        <v>0</v>
      </c>
      <c r="F25" s="13">
        <f t="shared" si="2"/>
        <v>0</v>
      </c>
      <c r="G25" s="13">
        <v>0</v>
      </c>
      <c r="H25" s="13">
        <f t="shared" si="0"/>
        <v>0</v>
      </c>
      <c r="I25" s="13">
        <f t="shared" si="3"/>
        <v>0</v>
      </c>
      <c r="M25">
        <v>14</v>
      </c>
      <c r="N25">
        <v>35</v>
      </c>
      <c r="O25">
        <f>M25*N25</f>
        <v>490</v>
      </c>
    </row>
    <row r="26" spans="1:15" ht="15" x14ac:dyDescent="0.25">
      <c r="A26" s="696"/>
      <c r="B26" s="12">
        <v>45352</v>
      </c>
      <c r="C26" s="13">
        <f t="shared" si="4"/>
        <v>0</v>
      </c>
      <c r="D26" s="13">
        <v>100</v>
      </c>
      <c r="E26" s="13">
        <f t="shared" si="5"/>
        <v>0.79999999999999993</v>
      </c>
      <c r="F26" s="13">
        <f t="shared" si="2"/>
        <v>100.8</v>
      </c>
      <c r="G26" s="13">
        <v>0</v>
      </c>
      <c r="H26" s="13">
        <f t="shared" si="0"/>
        <v>0.79999999999999993</v>
      </c>
      <c r="I26" s="13">
        <f t="shared" si="3"/>
        <v>100</v>
      </c>
    </row>
    <row r="27" spans="1:15" ht="15.75" thickBot="1" x14ac:dyDescent="0.3">
      <c r="A27" s="9"/>
      <c r="B27" s="14"/>
      <c r="C27" s="15"/>
      <c r="D27" s="15">
        <f>SUM(D17:D26)</f>
        <v>100</v>
      </c>
      <c r="E27" s="15">
        <f>SUM(E17:E26)</f>
        <v>0.79999999999999993</v>
      </c>
      <c r="F27" s="15"/>
      <c r="G27" s="15">
        <f>SUM(G15:G26)</f>
        <v>0</v>
      </c>
      <c r="H27" s="15">
        <f>SUM(H17:H26)</f>
        <v>0.79999999999999993</v>
      </c>
      <c r="I27" s="15"/>
      <c r="M27">
        <f>SUM(M20:M26)</f>
        <v>120</v>
      </c>
      <c r="O27">
        <f>SUM(O20:O26)</f>
        <v>2500</v>
      </c>
    </row>
    <row r="28" spans="1:15" ht="14.45" customHeight="1" thickTop="1" x14ac:dyDescent="0.25">
      <c r="A28" s="694" t="s">
        <v>50</v>
      </c>
      <c r="B28" s="12">
        <v>45383</v>
      </c>
      <c r="C28" s="13">
        <f>I26</f>
        <v>100</v>
      </c>
      <c r="D28" s="13">
        <v>0</v>
      </c>
      <c r="E28" s="13">
        <f t="shared" si="5"/>
        <v>0.79999999999999993</v>
      </c>
      <c r="F28" s="13">
        <f t="shared" si="2"/>
        <v>100.8</v>
      </c>
      <c r="G28" s="13">
        <v>0</v>
      </c>
      <c r="H28" s="13">
        <f t="shared" ref="H28:H39" si="7">E28+G28</f>
        <v>0.79999999999999993</v>
      </c>
      <c r="I28" s="13">
        <f t="shared" si="3"/>
        <v>100</v>
      </c>
    </row>
    <row r="29" spans="1:15" ht="15" x14ac:dyDescent="0.25">
      <c r="A29" s="695"/>
      <c r="B29" s="12">
        <v>45413</v>
      </c>
      <c r="C29" s="13">
        <f t="shared" si="4"/>
        <v>100</v>
      </c>
      <c r="D29" s="13">
        <v>0</v>
      </c>
      <c r="E29" s="13">
        <f t="shared" si="5"/>
        <v>0.79999999999999993</v>
      </c>
      <c r="F29" s="13">
        <f t="shared" si="2"/>
        <v>100.8</v>
      </c>
      <c r="G29" s="13">
        <v>0</v>
      </c>
      <c r="H29" s="13">
        <f t="shared" si="7"/>
        <v>0.79999999999999993</v>
      </c>
      <c r="I29" s="13">
        <f t="shared" si="3"/>
        <v>100</v>
      </c>
    </row>
    <row r="30" spans="1:15" ht="15" x14ac:dyDescent="0.25">
      <c r="A30" s="695"/>
      <c r="B30" s="12">
        <v>45444</v>
      </c>
      <c r="C30" s="13">
        <f t="shared" si="4"/>
        <v>100</v>
      </c>
      <c r="D30" s="13">
        <v>300</v>
      </c>
      <c r="E30" s="13">
        <f t="shared" si="5"/>
        <v>3.1999999999999997</v>
      </c>
      <c r="F30" s="13">
        <f t="shared" si="2"/>
        <v>403.2</v>
      </c>
      <c r="G30" s="13">
        <v>0</v>
      </c>
      <c r="H30" s="13">
        <f t="shared" si="7"/>
        <v>3.1999999999999997</v>
      </c>
      <c r="I30" s="13">
        <f t="shared" si="3"/>
        <v>400</v>
      </c>
    </row>
    <row r="31" spans="1:15" ht="15" x14ac:dyDescent="0.25">
      <c r="A31" s="695"/>
      <c r="B31" s="12">
        <v>45474</v>
      </c>
      <c r="C31" s="13">
        <f t="shared" si="4"/>
        <v>400</v>
      </c>
      <c r="D31" s="13">
        <v>0</v>
      </c>
      <c r="E31" s="13">
        <f t="shared" si="5"/>
        <v>3.1999999999999997</v>
      </c>
      <c r="F31" s="13">
        <f t="shared" si="2"/>
        <v>403.2</v>
      </c>
      <c r="G31" s="13">
        <v>0</v>
      </c>
      <c r="H31" s="13">
        <f t="shared" si="7"/>
        <v>3.1999999999999997</v>
      </c>
      <c r="I31" s="13">
        <f t="shared" si="3"/>
        <v>400</v>
      </c>
    </row>
    <row r="32" spans="1:15" ht="15" x14ac:dyDescent="0.25">
      <c r="A32" s="695"/>
      <c r="B32" s="12">
        <v>45505</v>
      </c>
      <c r="C32" s="13">
        <f t="shared" si="4"/>
        <v>400</v>
      </c>
      <c r="D32" s="13">
        <v>0</v>
      </c>
      <c r="E32" s="13">
        <f t="shared" si="5"/>
        <v>3.1999999999999997</v>
      </c>
      <c r="F32" s="13">
        <f t="shared" si="2"/>
        <v>403.2</v>
      </c>
      <c r="G32" s="13">
        <v>0</v>
      </c>
      <c r="H32" s="13">
        <f t="shared" si="7"/>
        <v>3.1999999999999997</v>
      </c>
      <c r="I32" s="13">
        <f t="shared" si="3"/>
        <v>400</v>
      </c>
      <c r="K32">
        <f>D40/75*100</f>
        <v>1333.3333333333335</v>
      </c>
    </row>
    <row r="33" spans="1:13" ht="15" x14ac:dyDescent="0.25">
      <c r="A33" s="695"/>
      <c r="B33" s="12">
        <v>45536</v>
      </c>
      <c r="C33" s="13">
        <f t="shared" si="4"/>
        <v>400</v>
      </c>
      <c r="D33" s="13">
        <v>200</v>
      </c>
      <c r="E33" s="13">
        <f t="shared" si="5"/>
        <v>4.8</v>
      </c>
      <c r="F33" s="13">
        <f t="shared" si="2"/>
        <v>604.79999999999995</v>
      </c>
      <c r="G33" s="13">
        <v>0</v>
      </c>
      <c r="H33" s="13">
        <f t="shared" si="7"/>
        <v>4.8</v>
      </c>
      <c r="I33" s="13">
        <f t="shared" si="3"/>
        <v>600</v>
      </c>
    </row>
    <row r="34" spans="1:13" ht="15" x14ac:dyDescent="0.25">
      <c r="A34" s="695"/>
      <c r="B34" s="12">
        <v>45566</v>
      </c>
      <c r="C34" s="13">
        <f t="shared" si="4"/>
        <v>600</v>
      </c>
      <c r="D34" s="13">
        <v>0</v>
      </c>
      <c r="E34" s="13">
        <f t="shared" si="5"/>
        <v>4.8</v>
      </c>
      <c r="F34" s="13">
        <f t="shared" si="2"/>
        <v>604.79999999999995</v>
      </c>
      <c r="G34" s="13">
        <v>0</v>
      </c>
      <c r="H34" s="13">
        <f t="shared" si="7"/>
        <v>4.8</v>
      </c>
      <c r="I34" s="13">
        <f t="shared" si="3"/>
        <v>600</v>
      </c>
    </row>
    <row r="35" spans="1:13" ht="15" x14ac:dyDescent="0.25">
      <c r="A35" s="695"/>
      <c r="B35" s="12">
        <v>45597</v>
      </c>
      <c r="C35" s="13">
        <f t="shared" si="4"/>
        <v>600</v>
      </c>
      <c r="D35" s="13">
        <v>0</v>
      </c>
      <c r="E35" s="13">
        <f t="shared" si="5"/>
        <v>4.8</v>
      </c>
      <c r="F35" s="13">
        <f t="shared" si="2"/>
        <v>604.79999999999995</v>
      </c>
      <c r="G35" s="13">
        <v>0</v>
      </c>
      <c r="H35" s="13">
        <f t="shared" si="7"/>
        <v>4.8</v>
      </c>
      <c r="I35" s="13">
        <f t="shared" si="3"/>
        <v>600</v>
      </c>
    </row>
    <row r="36" spans="1:13" ht="15" x14ac:dyDescent="0.25">
      <c r="A36" s="695"/>
      <c r="B36" s="12">
        <v>45627</v>
      </c>
      <c r="C36" s="13">
        <f t="shared" si="4"/>
        <v>600</v>
      </c>
      <c r="D36" s="13">
        <v>200</v>
      </c>
      <c r="E36" s="13">
        <f t="shared" si="5"/>
        <v>6.3999999999999995</v>
      </c>
      <c r="F36" s="13">
        <f t="shared" si="2"/>
        <v>806.4</v>
      </c>
      <c r="G36" s="13">
        <v>0</v>
      </c>
      <c r="H36" s="13">
        <f t="shared" si="7"/>
        <v>6.3999999999999995</v>
      </c>
      <c r="I36" s="13">
        <f t="shared" si="3"/>
        <v>800</v>
      </c>
    </row>
    <row r="37" spans="1:13" ht="15" x14ac:dyDescent="0.25">
      <c r="A37" s="695"/>
      <c r="B37" s="12">
        <v>45658</v>
      </c>
      <c r="C37" s="13">
        <f t="shared" si="4"/>
        <v>800</v>
      </c>
      <c r="D37" s="13">
        <v>0</v>
      </c>
      <c r="E37" s="13">
        <f t="shared" si="5"/>
        <v>6.3999999999999995</v>
      </c>
      <c r="F37" s="13">
        <f t="shared" si="2"/>
        <v>806.4</v>
      </c>
      <c r="G37" s="13">
        <v>0</v>
      </c>
      <c r="H37" s="13">
        <f t="shared" si="7"/>
        <v>6.3999999999999995</v>
      </c>
      <c r="I37" s="13">
        <f t="shared" si="3"/>
        <v>800</v>
      </c>
    </row>
    <row r="38" spans="1:13" ht="15" x14ac:dyDescent="0.25">
      <c r="A38" s="695"/>
      <c r="B38" s="12">
        <v>45689</v>
      </c>
      <c r="C38" s="13">
        <f t="shared" si="4"/>
        <v>800</v>
      </c>
      <c r="D38" s="13">
        <v>0</v>
      </c>
      <c r="E38" s="13">
        <f t="shared" si="5"/>
        <v>6.3999999999999995</v>
      </c>
      <c r="F38" s="13">
        <f t="shared" si="2"/>
        <v>806.4</v>
      </c>
      <c r="G38" s="13">
        <v>0</v>
      </c>
      <c r="H38" s="13">
        <f t="shared" si="7"/>
        <v>6.3999999999999995</v>
      </c>
      <c r="I38" s="13">
        <f t="shared" si="3"/>
        <v>800</v>
      </c>
    </row>
    <row r="39" spans="1:13" ht="15" x14ac:dyDescent="0.25">
      <c r="A39" s="696"/>
      <c r="B39" s="12">
        <v>45717</v>
      </c>
      <c r="C39" s="13">
        <f t="shared" si="4"/>
        <v>800</v>
      </c>
      <c r="D39" s="13">
        <v>300</v>
      </c>
      <c r="E39" s="13">
        <f t="shared" si="5"/>
        <v>8.8000000000000007</v>
      </c>
      <c r="F39" s="13">
        <f t="shared" si="2"/>
        <v>1108.8</v>
      </c>
      <c r="G39" s="13">
        <v>0</v>
      </c>
      <c r="H39" s="13">
        <f t="shared" si="7"/>
        <v>8.8000000000000007</v>
      </c>
      <c r="I39" s="13">
        <f t="shared" si="3"/>
        <v>1100</v>
      </c>
    </row>
    <row r="40" spans="1:13" ht="15.75" thickBot="1" x14ac:dyDescent="0.3">
      <c r="A40" s="9"/>
      <c r="B40" s="14"/>
      <c r="C40" s="15"/>
      <c r="D40" s="15">
        <f>SUM(D28:D39)</f>
        <v>1000</v>
      </c>
      <c r="E40" s="15">
        <f>SUM(E28:E39)</f>
        <v>53.599999999999994</v>
      </c>
      <c r="F40" s="15"/>
      <c r="G40" s="15">
        <f>SUM(G28:G39)</f>
        <v>0</v>
      </c>
      <c r="H40" s="15">
        <f>SUM(H28:H39)</f>
        <v>53.599999999999994</v>
      </c>
      <c r="I40" s="15"/>
      <c r="M40">
        <f>150/12</f>
        <v>12.5</v>
      </c>
    </row>
    <row r="41" spans="1:13" ht="14.45" customHeight="1" thickTop="1" x14ac:dyDescent="0.25">
      <c r="A41" s="694" t="s">
        <v>51</v>
      </c>
      <c r="B41" s="12">
        <v>45748</v>
      </c>
      <c r="C41" s="13">
        <f>I39</f>
        <v>1100</v>
      </c>
      <c r="D41" s="13">
        <v>0</v>
      </c>
      <c r="E41" s="13">
        <f t="shared" si="5"/>
        <v>8.8000000000000007</v>
      </c>
      <c r="F41" s="13">
        <f t="shared" si="2"/>
        <v>1108.8</v>
      </c>
      <c r="G41" s="13">
        <v>0</v>
      </c>
      <c r="H41" s="13">
        <f t="shared" ref="H41:H52" si="8">E41+G41</f>
        <v>8.8000000000000007</v>
      </c>
      <c r="I41" s="13">
        <f t="shared" si="3"/>
        <v>1100</v>
      </c>
    </row>
    <row r="42" spans="1:13" ht="15" x14ac:dyDescent="0.25">
      <c r="A42" s="695"/>
      <c r="B42" s="12">
        <v>45778</v>
      </c>
      <c r="C42" s="13">
        <f t="shared" si="4"/>
        <v>1100</v>
      </c>
      <c r="D42" s="13">
        <v>0</v>
      </c>
      <c r="E42" s="13">
        <f t="shared" si="5"/>
        <v>8.8000000000000007</v>
      </c>
      <c r="F42" s="13">
        <f t="shared" si="2"/>
        <v>1108.8</v>
      </c>
      <c r="G42" s="13">
        <v>0</v>
      </c>
      <c r="H42" s="13">
        <f t="shared" si="8"/>
        <v>8.8000000000000007</v>
      </c>
      <c r="I42" s="13">
        <f t="shared" si="3"/>
        <v>1100</v>
      </c>
    </row>
    <row r="43" spans="1:13" ht="15" x14ac:dyDescent="0.25">
      <c r="A43" s="695"/>
      <c r="B43" s="12">
        <v>45809</v>
      </c>
      <c r="C43" s="13">
        <f t="shared" si="4"/>
        <v>1100</v>
      </c>
      <c r="D43" s="13">
        <v>150</v>
      </c>
      <c r="E43" s="13">
        <f t="shared" si="5"/>
        <v>10</v>
      </c>
      <c r="F43" s="13">
        <f t="shared" si="2"/>
        <v>1260</v>
      </c>
      <c r="G43" s="13">
        <v>0</v>
      </c>
      <c r="H43" s="13">
        <f t="shared" si="8"/>
        <v>10</v>
      </c>
      <c r="I43" s="13">
        <f t="shared" si="3"/>
        <v>1250</v>
      </c>
    </row>
    <row r="44" spans="1:13" ht="15" x14ac:dyDescent="0.25">
      <c r="A44" s="695"/>
      <c r="B44" s="12">
        <v>45839</v>
      </c>
      <c r="C44" s="13">
        <f t="shared" si="4"/>
        <v>1250</v>
      </c>
      <c r="D44" s="13">
        <v>0</v>
      </c>
      <c r="E44" s="13">
        <f t="shared" si="5"/>
        <v>10</v>
      </c>
      <c r="F44" s="13">
        <f t="shared" si="2"/>
        <v>1260</v>
      </c>
      <c r="G44" s="13">
        <v>0</v>
      </c>
      <c r="H44" s="13">
        <f t="shared" si="8"/>
        <v>10</v>
      </c>
      <c r="I44" s="13">
        <f t="shared" si="3"/>
        <v>1250</v>
      </c>
    </row>
    <row r="45" spans="1:13" ht="15" x14ac:dyDescent="0.25">
      <c r="A45" s="695"/>
      <c r="B45" s="12">
        <v>45870</v>
      </c>
      <c r="C45" s="13">
        <f t="shared" si="4"/>
        <v>1250</v>
      </c>
      <c r="D45" s="13">
        <v>100</v>
      </c>
      <c r="E45" s="13">
        <f t="shared" si="5"/>
        <v>10.799999999999999</v>
      </c>
      <c r="F45" s="13">
        <f t="shared" si="2"/>
        <v>1360.8</v>
      </c>
      <c r="G45" s="13">
        <v>0</v>
      </c>
      <c r="H45" s="13">
        <f t="shared" si="8"/>
        <v>10.799999999999999</v>
      </c>
      <c r="I45" s="13">
        <f t="shared" si="3"/>
        <v>1350</v>
      </c>
      <c r="K45" s="27">
        <f>SUM(E41:E45)+E40+E27</f>
        <v>102.8</v>
      </c>
    </row>
    <row r="46" spans="1:13" ht="15" x14ac:dyDescent="0.25">
      <c r="A46" s="695"/>
      <c r="B46" s="12">
        <v>45901</v>
      </c>
      <c r="C46" s="13">
        <f t="shared" si="4"/>
        <v>1350</v>
      </c>
      <c r="D46" s="13">
        <v>0</v>
      </c>
      <c r="E46" s="13">
        <f t="shared" si="5"/>
        <v>10.799999999999999</v>
      </c>
      <c r="F46" s="13">
        <f t="shared" si="2"/>
        <v>1360.8</v>
      </c>
      <c r="G46" s="13">
        <v>0</v>
      </c>
      <c r="H46" s="13">
        <f t="shared" si="8"/>
        <v>10.799999999999999</v>
      </c>
      <c r="I46" s="13">
        <f t="shared" si="3"/>
        <v>1350</v>
      </c>
    </row>
    <row r="47" spans="1:13" ht="15" x14ac:dyDescent="0.25">
      <c r="A47" s="695"/>
      <c r="B47" s="12">
        <v>45931</v>
      </c>
      <c r="C47" s="13">
        <f t="shared" si="4"/>
        <v>1350</v>
      </c>
      <c r="D47" s="13">
        <v>0</v>
      </c>
      <c r="E47" s="13">
        <f t="shared" si="5"/>
        <v>10.799999999999999</v>
      </c>
      <c r="F47" s="13">
        <f t="shared" si="2"/>
        <v>1360.8</v>
      </c>
      <c r="G47" s="13">
        <v>0</v>
      </c>
      <c r="H47" s="13">
        <f t="shared" si="8"/>
        <v>10.799999999999999</v>
      </c>
      <c r="I47" s="13">
        <f t="shared" si="3"/>
        <v>1350</v>
      </c>
    </row>
    <row r="48" spans="1:13" ht="15" x14ac:dyDescent="0.25">
      <c r="A48" s="695"/>
      <c r="B48" s="12">
        <v>45962</v>
      </c>
      <c r="C48" s="13">
        <f t="shared" si="4"/>
        <v>1350</v>
      </c>
      <c r="D48" s="13">
        <v>200</v>
      </c>
      <c r="E48" s="13">
        <f t="shared" si="5"/>
        <v>12.4</v>
      </c>
      <c r="F48" s="13">
        <f t="shared" si="2"/>
        <v>1562.4</v>
      </c>
      <c r="G48" s="13">
        <v>0</v>
      </c>
      <c r="H48" s="13">
        <f t="shared" si="8"/>
        <v>12.4</v>
      </c>
      <c r="I48" s="13">
        <f t="shared" si="3"/>
        <v>1550</v>
      </c>
    </row>
    <row r="49" spans="1:13" ht="15" x14ac:dyDescent="0.25">
      <c r="A49" s="695"/>
      <c r="B49" s="12">
        <v>45992</v>
      </c>
      <c r="C49" s="13">
        <f t="shared" si="4"/>
        <v>1550</v>
      </c>
      <c r="D49" s="13">
        <v>0</v>
      </c>
      <c r="E49" s="13">
        <f t="shared" si="5"/>
        <v>12.4</v>
      </c>
      <c r="F49" s="13">
        <f t="shared" si="2"/>
        <v>1562.4</v>
      </c>
      <c r="G49" s="13">
        <v>0</v>
      </c>
      <c r="H49" s="13">
        <f t="shared" si="8"/>
        <v>12.4</v>
      </c>
      <c r="I49" s="13">
        <f t="shared" si="3"/>
        <v>1550</v>
      </c>
    </row>
    <row r="50" spans="1:13" ht="15" x14ac:dyDescent="0.25">
      <c r="A50" s="695"/>
      <c r="B50" s="12">
        <v>46023</v>
      </c>
      <c r="C50" s="13">
        <f t="shared" si="4"/>
        <v>1550</v>
      </c>
      <c r="D50" s="13">
        <v>0</v>
      </c>
      <c r="E50" s="13">
        <f t="shared" si="5"/>
        <v>12.4</v>
      </c>
      <c r="F50" s="13">
        <f t="shared" si="2"/>
        <v>1562.4</v>
      </c>
      <c r="G50" s="13">
        <v>0</v>
      </c>
      <c r="H50" s="13">
        <f t="shared" si="8"/>
        <v>12.4</v>
      </c>
      <c r="I50" s="13">
        <f t="shared" si="3"/>
        <v>1550</v>
      </c>
    </row>
    <row r="51" spans="1:13" ht="15" x14ac:dyDescent="0.25">
      <c r="A51" s="695"/>
      <c r="B51" s="12">
        <v>46054</v>
      </c>
      <c r="C51" s="13">
        <f t="shared" si="4"/>
        <v>1550</v>
      </c>
      <c r="D51" s="13">
        <v>100</v>
      </c>
      <c r="E51" s="13">
        <f t="shared" si="5"/>
        <v>13.200000000000001</v>
      </c>
      <c r="F51" s="13">
        <f t="shared" si="2"/>
        <v>1663.2</v>
      </c>
      <c r="G51" s="13">
        <v>0</v>
      </c>
      <c r="H51" s="13">
        <f t="shared" si="8"/>
        <v>13.200000000000001</v>
      </c>
      <c r="I51" s="13">
        <f t="shared" si="3"/>
        <v>1650</v>
      </c>
      <c r="M51">
        <v>0.8</v>
      </c>
    </row>
    <row r="52" spans="1:13" ht="15" x14ac:dyDescent="0.25">
      <c r="A52" s="696"/>
      <c r="B52" s="12">
        <v>46082</v>
      </c>
      <c r="C52" s="13">
        <f t="shared" si="4"/>
        <v>1650</v>
      </c>
      <c r="D52" s="13">
        <v>0</v>
      </c>
      <c r="E52" s="13">
        <f t="shared" si="5"/>
        <v>13.200000000000001</v>
      </c>
      <c r="F52" s="13">
        <f t="shared" si="2"/>
        <v>1663.2</v>
      </c>
      <c r="G52" s="13">
        <v>0</v>
      </c>
      <c r="H52" s="13">
        <f t="shared" si="8"/>
        <v>13.200000000000001</v>
      </c>
      <c r="I52" s="13">
        <f t="shared" si="3"/>
        <v>1650</v>
      </c>
      <c r="M52">
        <v>53.6</v>
      </c>
    </row>
    <row r="53" spans="1:13" ht="15.75" thickBot="1" x14ac:dyDescent="0.3">
      <c r="A53" s="9"/>
      <c r="B53" s="14"/>
      <c r="C53" s="15"/>
      <c r="D53" s="15">
        <f>SUM(D41:D52)</f>
        <v>550</v>
      </c>
      <c r="E53" s="15">
        <f>SUM(E41:E52)</f>
        <v>133.60000000000002</v>
      </c>
      <c r="F53" s="15"/>
      <c r="G53" s="15">
        <f>SUM(G41:G52)</f>
        <v>0</v>
      </c>
      <c r="H53" s="15">
        <f>SUM(H41:H52)</f>
        <v>133.60000000000002</v>
      </c>
      <c r="I53" s="15"/>
      <c r="M53">
        <v>141.6</v>
      </c>
    </row>
    <row r="54" spans="1:13" ht="14.45" customHeight="1" thickTop="1" x14ac:dyDescent="0.25">
      <c r="A54" s="694" t="s">
        <v>52</v>
      </c>
      <c r="B54" s="12">
        <v>46113</v>
      </c>
      <c r="C54" s="13">
        <f>I52</f>
        <v>1650</v>
      </c>
      <c r="D54" s="13">
        <v>0</v>
      </c>
      <c r="E54" s="13">
        <f t="shared" si="5"/>
        <v>13.200000000000001</v>
      </c>
      <c r="F54" s="13">
        <f t="shared" si="2"/>
        <v>1663.2</v>
      </c>
      <c r="G54" s="13">
        <v>0</v>
      </c>
      <c r="H54" s="13">
        <f t="shared" ref="H54:H65" si="9">E54+G54</f>
        <v>13.200000000000001</v>
      </c>
      <c r="I54" s="13">
        <f t="shared" si="3"/>
        <v>1650</v>
      </c>
      <c r="M54">
        <v>64</v>
      </c>
    </row>
    <row r="55" spans="1:13" ht="15" x14ac:dyDescent="0.25">
      <c r="A55" s="695"/>
      <c r="B55" s="12">
        <v>46143</v>
      </c>
      <c r="C55" s="13">
        <f t="shared" si="4"/>
        <v>1650</v>
      </c>
      <c r="D55" s="13">
        <v>0</v>
      </c>
      <c r="E55" s="13">
        <f t="shared" si="5"/>
        <v>13.200000000000001</v>
      </c>
      <c r="F55" s="13">
        <f t="shared" si="2"/>
        <v>1663.2</v>
      </c>
      <c r="G55" s="13">
        <v>0</v>
      </c>
      <c r="H55" s="13">
        <f t="shared" si="9"/>
        <v>13.200000000000001</v>
      </c>
      <c r="I55" s="13">
        <f t="shared" si="3"/>
        <v>1650</v>
      </c>
      <c r="M55">
        <f>SUM(M51:M54)</f>
        <v>260</v>
      </c>
    </row>
    <row r="56" spans="1:13" ht="15" x14ac:dyDescent="0.25">
      <c r="A56" s="695"/>
      <c r="B56" s="12">
        <v>46174</v>
      </c>
      <c r="C56" s="13">
        <f t="shared" si="4"/>
        <v>1650</v>
      </c>
      <c r="D56" s="13">
        <v>0</v>
      </c>
      <c r="E56" s="13">
        <f t="shared" si="5"/>
        <v>13.200000000000001</v>
      </c>
      <c r="F56" s="13">
        <f t="shared" si="2"/>
        <v>1663.2</v>
      </c>
      <c r="G56" s="13">
        <v>0</v>
      </c>
      <c r="H56" s="13">
        <f t="shared" si="9"/>
        <v>13.200000000000001</v>
      </c>
      <c r="I56" s="13">
        <f t="shared" si="3"/>
        <v>1650</v>
      </c>
    </row>
    <row r="57" spans="1:13" ht="15" x14ac:dyDescent="0.25">
      <c r="A57" s="695"/>
      <c r="B57" s="12">
        <v>46204</v>
      </c>
      <c r="C57" s="13">
        <f t="shared" si="4"/>
        <v>1650</v>
      </c>
      <c r="D57" s="13">
        <v>0</v>
      </c>
      <c r="E57" s="13">
        <f t="shared" si="5"/>
        <v>13.200000000000001</v>
      </c>
      <c r="F57" s="13">
        <f t="shared" si="2"/>
        <v>1663.2</v>
      </c>
      <c r="G57" s="13">
        <v>0</v>
      </c>
      <c r="H57" s="13">
        <f t="shared" si="9"/>
        <v>13.200000000000001</v>
      </c>
      <c r="I57" s="13">
        <f t="shared" si="3"/>
        <v>1650</v>
      </c>
      <c r="K57">
        <v>16</v>
      </c>
      <c r="L57">
        <f>10*16</f>
        <v>160</v>
      </c>
    </row>
    <row r="58" spans="1:13" ht="15" x14ac:dyDescent="0.25">
      <c r="A58" s="695"/>
      <c r="B58" s="12">
        <v>46235</v>
      </c>
      <c r="C58" s="13">
        <f t="shared" si="4"/>
        <v>1650</v>
      </c>
      <c r="D58" s="13">
        <v>0</v>
      </c>
      <c r="E58" s="13">
        <f t="shared" si="5"/>
        <v>13.200000000000001</v>
      </c>
      <c r="F58" s="13">
        <f t="shared" si="2"/>
        <v>1663.2</v>
      </c>
      <c r="G58" s="13">
        <v>0</v>
      </c>
      <c r="H58" s="13">
        <f t="shared" si="9"/>
        <v>13.200000000000001</v>
      </c>
      <c r="I58" s="13">
        <f t="shared" si="3"/>
        <v>1650</v>
      </c>
      <c r="K58">
        <v>24</v>
      </c>
      <c r="L58">
        <f>24*15</f>
        <v>360</v>
      </c>
    </row>
    <row r="59" spans="1:13" ht="15" x14ac:dyDescent="0.25">
      <c r="A59" s="695"/>
      <c r="B59" s="12">
        <v>46266</v>
      </c>
      <c r="C59" s="13">
        <f t="shared" si="4"/>
        <v>1650</v>
      </c>
      <c r="D59" s="13">
        <v>0</v>
      </c>
      <c r="E59" s="13">
        <f t="shared" si="5"/>
        <v>13.200000000000001</v>
      </c>
      <c r="F59" s="13">
        <f t="shared" si="2"/>
        <v>1663.2</v>
      </c>
      <c r="G59" s="13">
        <v>10</v>
      </c>
      <c r="H59" s="13">
        <f t="shared" si="9"/>
        <v>23.200000000000003</v>
      </c>
      <c r="I59" s="13">
        <f t="shared" si="3"/>
        <v>1640</v>
      </c>
      <c r="K59">
        <v>24</v>
      </c>
      <c r="L59">
        <f>24*20</f>
        <v>480</v>
      </c>
    </row>
    <row r="60" spans="1:13" ht="15" x14ac:dyDescent="0.25">
      <c r="A60" s="695"/>
      <c r="B60" s="12">
        <v>46296</v>
      </c>
      <c r="C60" s="13">
        <f t="shared" si="4"/>
        <v>1640</v>
      </c>
      <c r="D60" s="13">
        <v>0</v>
      </c>
      <c r="E60" s="13">
        <f t="shared" si="5"/>
        <v>13.12</v>
      </c>
      <c r="F60" s="13">
        <f t="shared" si="2"/>
        <v>1653.12</v>
      </c>
      <c r="G60" s="13">
        <f>G59</f>
        <v>10</v>
      </c>
      <c r="H60" s="13">
        <f t="shared" si="9"/>
        <v>23.119999999999997</v>
      </c>
      <c r="I60" s="13">
        <f t="shared" si="3"/>
        <v>1630</v>
      </c>
      <c r="K60">
        <v>24</v>
      </c>
      <c r="L60">
        <f>24*25</f>
        <v>600</v>
      </c>
    </row>
    <row r="61" spans="1:13" ht="15" x14ac:dyDescent="0.25">
      <c r="A61" s="695"/>
      <c r="B61" s="12">
        <v>46327</v>
      </c>
      <c r="C61" s="13">
        <f t="shared" si="4"/>
        <v>1630</v>
      </c>
      <c r="D61" s="13">
        <v>0</v>
      </c>
      <c r="E61" s="13">
        <f t="shared" si="5"/>
        <v>13.04</v>
      </c>
      <c r="F61" s="13">
        <f t="shared" si="2"/>
        <v>1643.04</v>
      </c>
      <c r="G61" s="13">
        <f t="shared" ref="G61:G65" si="10">G60</f>
        <v>10</v>
      </c>
      <c r="H61" s="13">
        <f t="shared" si="9"/>
        <v>23.04</v>
      </c>
      <c r="I61" s="13">
        <f t="shared" si="3"/>
        <v>1620</v>
      </c>
      <c r="K61">
        <v>24</v>
      </c>
      <c r="L61">
        <f>24*30</f>
        <v>720</v>
      </c>
    </row>
    <row r="62" spans="1:13" ht="15" x14ac:dyDescent="0.25">
      <c r="A62" s="695"/>
      <c r="B62" s="12">
        <v>46357</v>
      </c>
      <c r="C62" s="13">
        <f t="shared" si="4"/>
        <v>1620</v>
      </c>
      <c r="D62" s="13">
        <v>0</v>
      </c>
      <c r="E62" s="13">
        <f t="shared" si="5"/>
        <v>12.96</v>
      </c>
      <c r="F62" s="13">
        <f t="shared" si="2"/>
        <v>1632.96</v>
      </c>
      <c r="G62" s="13">
        <f t="shared" si="10"/>
        <v>10</v>
      </c>
      <c r="H62" s="13">
        <f t="shared" si="9"/>
        <v>22.96</v>
      </c>
      <c r="I62" s="13">
        <f t="shared" si="3"/>
        <v>1610</v>
      </c>
      <c r="K62">
        <v>8</v>
      </c>
    </row>
    <row r="63" spans="1:13" ht="15" x14ac:dyDescent="0.25">
      <c r="A63" s="695"/>
      <c r="B63" s="12">
        <v>46388</v>
      </c>
      <c r="C63" s="13">
        <f t="shared" si="4"/>
        <v>1610</v>
      </c>
      <c r="D63" s="13">
        <v>0</v>
      </c>
      <c r="E63" s="13">
        <f t="shared" si="5"/>
        <v>12.88</v>
      </c>
      <c r="F63" s="13">
        <f t="shared" si="2"/>
        <v>1622.88</v>
      </c>
      <c r="G63" s="13">
        <f t="shared" si="10"/>
        <v>10</v>
      </c>
      <c r="H63" s="13">
        <f t="shared" si="9"/>
        <v>22.880000000000003</v>
      </c>
      <c r="I63" s="13">
        <f t="shared" si="3"/>
        <v>1600</v>
      </c>
    </row>
    <row r="64" spans="1:13" ht="15" x14ac:dyDescent="0.25">
      <c r="A64" s="695"/>
      <c r="B64" s="12">
        <v>46419</v>
      </c>
      <c r="C64" s="13">
        <f t="shared" si="4"/>
        <v>1600</v>
      </c>
      <c r="D64" s="13">
        <v>0</v>
      </c>
      <c r="E64" s="13">
        <f t="shared" si="5"/>
        <v>12.799999999999999</v>
      </c>
      <c r="F64" s="13">
        <f t="shared" si="2"/>
        <v>1612.8</v>
      </c>
      <c r="G64" s="13">
        <f t="shared" si="10"/>
        <v>10</v>
      </c>
      <c r="H64" s="13">
        <f t="shared" si="9"/>
        <v>22.799999999999997</v>
      </c>
      <c r="I64" s="13">
        <f t="shared" si="3"/>
        <v>1590</v>
      </c>
      <c r="K64">
        <f>SUM(K57:K63)</f>
        <v>120</v>
      </c>
      <c r="L64">
        <f>SUM(L57:L63)</f>
        <v>2320</v>
      </c>
    </row>
    <row r="65" spans="1:9" ht="15" x14ac:dyDescent="0.25">
      <c r="A65" s="696"/>
      <c r="B65" s="12">
        <v>46447</v>
      </c>
      <c r="C65" s="13">
        <f t="shared" si="4"/>
        <v>1590</v>
      </c>
      <c r="D65" s="13">
        <v>0</v>
      </c>
      <c r="E65" s="13">
        <f t="shared" si="5"/>
        <v>12.72</v>
      </c>
      <c r="F65" s="13">
        <f t="shared" si="2"/>
        <v>1602.72</v>
      </c>
      <c r="G65" s="13">
        <f t="shared" si="10"/>
        <v>10</v>
      </c>
      <c r="H65" s="13">
        <f t="shared" si="9"/>
        <v>22.72</v>
      </c>
      <c r="I65" s="13">
        <f t="shared" si="3"/>
        <v>1580</v>
      </c>
    </row>
    <row r="66" spans="1:9" ht="15.75" thickBot="1" x14ac:dyDescent="0.3">
      <c r="A66" s="9"/>
      <c r="B66" s="14"/>
      <c r="C66" s="15"/>
      <c r="D66" s="15">
        <f t="shared" ref="D66:E66" si="11">SUM(D54:D65)</f>
        <v>0</v>
      </c>
      <c r="E66" s="15">
        <f t="shared" si="11"/>
        <v>156.72000000000003</v>
      </c>
      <c r="F66" s="15"/>
      <c r="G66" s="15">
        <f>SUM(G54:G65)</f>
        <v>70</v>
      </c>
      <c r="H66" s="15">
        <f>SUM(H54:H65)</f>
        <v>226.72</v>
      </c>
      <c r="I66" s="15"/>
    </row>
    <row r="67" spans="1:9" ht="14.45" customHeight="1" thickTop="1" x14ac:dyDescent="0.25">
      <c r="A67" s="694" t="s">
        <v>53</v>
      </c>
      <c r="B67" s="12">
        <v>46478</v>
      </c>
      <c r="C67" s="13">
        <f>I65</f>
        <v>1580</v>
      </c>
      <c r="D67" s="13">
        <v>0</v>
      </c>
      <c r="E67" s="13">
        <f t="shared" si="5"/>
        <v>12.64</v>
      </c>
      <c r="F67" s="13">
        <f t="shared" si="2"/>
        <v>1592.64</v>
      </c>
      <c r="G67" s="13">
        <v>11</v>
      </c>
      <c r="H67" s="13">
        <f t="shared" ref="H67:H78" si="12">E67+G67</f>
        <v>23.64</v>
      </c>
      <c r="I67" s="13">
        <f t="shared" si="3"/>
        <v>1569</v>
      </c>
    </row>
    <row r="68" spans="1:9" ht="15" x14ac:dyDescent="0.25">
      <c r="A68" s="695"/>
      <c r="B68" s="12">
        <v>46508</v>
      </c>
      <c r="C68" s="13">
        <f t="shared" si="4"/>
        <v>1569</v>
      </c>
      <c r="D68" s="13">
        <v>0</v>
      </c>
      <c r="E68" s="13">
        <f t="shared" si="5"/>
        <v>12.552</v>
      </c>
      <c r="F68" s="13">
        <f t="shared" si="2"/>
        <v>1581.5519999999999</v>
      </c>
      <c r="G68" s="13">
        <f>G67</f>
        <v>11</v>
      </c>
      <c r="H68" s="13">
        <f t="shared" si="12"/>
        <v>23.552</v>
      </c>
      <c r="I68" s="13">
        <f t="shared" si="3"/>
        <v>1558</v>
      </c>
    </row>
    <row r="69" spans="1:9" ht="15" x14ac:dyDescent="0.25">
      <c r="A69" s="695"/>
      <c r="B69" s="12">
        <v>46539</v>
      </c>
      <c r="C69" s="13">
        <f t="shared" si="4"/>
        <v>1558</v>
      </c>
      <c r="D69" s="13">
        <v>0</v>
      </c>
      <c r="E69" s="13">
        <f t="shared" si="5"/>
        <v>12.464</v>
      </c>
      <c r="F69" s="13">
        <f t="shared" si="2"/>
        <v>1570.4639999999999</v>
      </c>
      <c r="G69" s="13">
        <f t="shared" ref="G69:G78" si="13">G68</f>
        <v>11</v>
      </c>
      <c r="H69" s="13">
        <f t="shared" si="12"/>
        <v>23.463999999999999</v>
      </c>
      <c r="I69" s="13">
        <f t="shared" si="3"/>
        <v>1547</v>
      </c>
    </row>
    <row r="70" spans="1:9" ht="15" x14ac:dyDescent="0.25">
      <c r="A70" s="695"/>
      <c r="B70" s="12">
        <v>46569</v>
      </c>
      <c r="C70" s="13">
        <f t="shared" si="4"/>
        <v>1547</v>
      </c>
      <c r="D70" s="13">
        <v>0</v>
      </c>
      <c r="E70" s="13">
        <f t="shared" si="5"/>
        <v>12.375999999999999</v>
      </c>
      <c r="F70" s="13">
        <f t="shared" si="2"/>
        <v>1559.376</v>
      </c>
      <c r="G70" s="13">
        <f t="shared" si="13"/>
        <v>11</v>
      </c>
      <c r="H70" s="13">
        <f t="shared" si="12"/>
        <v>23.375999999999998</v>
      </c>
      <c r="I70" s="13">
        <f t="shared" si="3"/>
        <v>1536</v>
      </c>
    </row>
    <row r="71" spans="1:9" ht="15" x14ac:dyDescent="0.25">
      <c r="A71" s="695"/>
      <c r="B71" s="12">
        <v>46600</v>
      </c>
      <c r="C71" s="13">
        <f t="shared" si="4"/>
        <v>1536</v>
      </c>
      <c r="D71" s="13">
        <v>0</v>
      </c>
      <c r="E71" s="13">
        <f t="shared" si="5"/>
        <v>12.288000000000002</v>
      </c>
      <c r="F71" s="13">
        <f t="shared" si="2"/>
        <v>1548.288</v>
      </c>
      <c r="G71" s="13">
        <f t="shared" si="13"/>
        <v>11</v>
      </c>
      <c r="H71" s="13">
        <f t="shared" si="12"/>
        <v>23.288000000000004</v>
      </c>
      <c r="I71" s="13">
        <f t="shared" si="3"/>
        <v>1525</v>
      </c>
    </row>
    <row r="72" spans="1:9" ht="15" x14ac:dyDescent="0.25">
      <c r="A72" s="695"/>
      <c r="B72" s="12">
        <v>46631</v>
      </c>
      <c r="C72" s="13">
        <f t="shared" si="4"/>
        <v>1525</v>
      </c>
      <c r="D72" s="13">
        <v>0</v>
      </c>
      <c r="E72" s="13">
        <f t="shared" si="5"/>
        <v>12.200000000000001</v>
      </c>
      <c r="F72" s="13">
        <f t="shared" si="2"/>
        <v>1537.2</v>
      </c>
      <c r="G72" s="13">
        <f t="shared" si="13"/>
        <v>11</v>
      </c>
      <c r="H72" s="13">
        <f t="shared" si="12"/>
        <v>23.200000000000003</v>
      </c>
      <c r="I72" s="13">
        <f t="shared" si="3"/>
        <v>1514</v>
      </c>
    </row>
    <row r="73" spans="1:9" ht="15" x14ac:dyDescent="0.25">
      <c r="A73" s="695"/>
      <c r="B73" s="12">
        <v>46661</v>
      </c>
      <c r="C73" s="13">
        <f t="shared" si="4"/>
        <v>1514</v>
      </c>
      <c r="D73" s="13">
        <v>0</v>
      </c>
      <c r="E73" s="13">
        <f t="shared" si="5"/>
        <v>12.112</v>
      </c>
      <c r="F73" s="13">
        <f t="shared" si="2"/>
        <v>1526.1120000000001</v>
      </c>
      <c r="G73" s="13">
        <f t="shared" si="13"/>
        <v>11</v>
      </c>
      <c r="H73" s="13">
        <f t="shared" si="12"/>
        <v>23.112000000000002</v>
      </c>
      <c r="I73" s="13">
        <f t="shared" si="3"/>
        <v>1503</v>
      </c>
    </row>
    <row r="74" spans="1:9" ht="15" x14ac:dyDescent="0.25">
      <c r="A74" s="695"/>
      <c r="B74" s="12">
        <v>46692</v>
      </c>
      <c r="C74" s="13">
        <f t="shared" si="4"/>
        <v>1503</v>
      </c>
      <c r="D74" s="13">
        <v>0</v>
      </c>
      <c r="E74" s="13">
        <f t="shared" si="5"/>
        <v>12.024000000000001</v>
      </c>
      <c r="F74" s="13">
        <f t="shared" si="2"/>
        <v>1515.0239999999999</v>
      </c>
      <c r="G74" s="13">
        <f t="shared" si="13"/>
        <v>11</v>
      </c>
      <c r="H74" s="13">
        <f t="shared" si="12"/>
        <v>23.024000000000001</v>
      </c>
      <c r="I74" s="13">
        <f t="shared" si="3"/>
        <v>1492</v>
      </c>
    </row>
    <row r="75" spans="1:9" ht="15" x14ac:dyDescent="0.25">
      <c r="A75" s="695"/>
      <c r="B75" s="12">
        <v>46722</v>
      </c>
      <c r="C75" s="13">
        <f t="shared" si="4"/>
        <v>1492</v>
      </c>
      <c r="D75" s="13">
        <v>0</v>
      </c>
      <c r="E75" s="13">
        <f t="shared" si="5"/>
        <v>11.936</v>
      </c>
      <c r="F75" s="13">
        <f t="shared" si="2"/>
        <v>1503.9359999999999</v>
      </c>
      <c r="G75" s="13">
        <f t="shared" si="13"/>
        <v>11</v>
      </c>
      <c r="H75" s="13">
        <f t="shared" si="12"/>
        <v>22.936</v>
      </c>
      <c r="I75" s="13">
        <f t="shared" si="3"/>
        <v>1481</v>
      </c>
    </row>
    <row r="76" spans="1:9" ht="15" x14ac:dyDescent="0.25">
      <c r="A76" s="695"/>
      <c r="B76" s="12">
        <v>46753</v>
      </c>
      <c r="C76" s="13">
        <f t="shared" si="4"/>
        <v>1481</v>
      </c>
      <c r="D76" s="13">
        <v>0</v>
      </c>
      <c r="E76" s="13">
        <f t="shared" si="5"/>
        <v>11.848000000000001</v>
      </c>
      <c r="F76" s="13">
        <f t="shared" si="2"/>
        <v>1492.848</v>
      </c>
      <c r="G76" s="13">
        <f t="shared" si="13"/>
        <v>11</v>
      </c>
      <c r="H76" s="13">
        <f t="shared" si="12"/>
        <v>22.847999999999999</v>
      </c>
      <c r="I76" s="13">
        <f t="shared" si="3"/>
        <v>1470</v>
      </c>
    </row>
    <row r="77" spans="1:9" ht="15" x14ac:dyDescent="0.25">
      <c r="A77" s="695"/>
      <c r="B77" s="12">
        <v>46784</v>
      </c>
      <c r="C77" s="13">
        <f t="shared" si="4"/>
        <v>1470</v>
      </c>
      <c r="D77" s="13">
        <v>0</v>
      </c>
      <c r="E77" s="13">
        <f t="shared" si="5"/>
        <v>11.76</v>
      </c>
      <c r="F77" s="13">
        <f t="shared" si="2"/>
        <v>1481.76</v>
      </c>
      <c r="G77" s="13">
        <f t="shared" si="13"/>
        <v>11</v>
      </c>
      <c r="H77" s="13">
        <f t="shared" si="12"/>
        <v>22.759999999999998</v>
      </c>
      <c r="I77" s="13">
        <f t="shared" si="3"/>
        <v>1459</v>
      </c>
    </row>
    <row r="78" spans="1:9" ht="15" x14ac:dyDescent="0.25">
      <c r="A78" s="696"/>
      <c r="B78" s="12">
        <v>46813</v>
      </c>
      <c r="C78" s="13">
        <f t="shared" si="4"/>
        <v>1459</v>
      </c>
      <c r="D78" s="13">
        <v>0</v>
      </c>
      <c r="E78" s="13">
        <f t="shared" si="5"/>
        <v>11.671999999999999</v>
      </c>
      <c r="F78" s="13">
        <f t="shared" si="2"/>
        <v>1470.672</v>
      </c>
      <c r="G78" s="13">
        <f t="shared" si="13"/>
        <v>11</v>
      </c>
      <c r="H78" s="13">
        <f t="shared" si="12"/>
        <v>22.671999999999997</v>
      </c>
      <c r="I78" s="13">
        <f t="shared" si="3"/>
        <v>1448</v>
      </c>
    </row>
    <row r="79" spans="1:9" ht="15.75" thickBot="1" x14ac:dyDescent="0.3">
      <c r="A79" s="9"/>
      <c r="B79" s="16"/>
      <c r="C79" s="17"/>
      <c r="D79" s="15">
        <f t="shared" ref="D79" si="14">SUM(D67:D78)</f>
        <v>0</v>
      </c>
      <c r="E79" s="15">
        <f t="shared" ref="E79" si="15">SUM(E67:E78)</f>
        <v>145.87199999999999</v>
      </c>
      <c r="F79" s="17"/>
      <c r="G79" s="15">
        <f>SUM(G67:G78)</f>
        <v>132</v>
      </c>
      <c r="H79" s="15">
        <f t="shared" ref="H79" si="16">SUM(H67:H78)</f>
        <v>277.87200000000007</v>
      </c>
      <c r="I79" s="17"/>
    </row>
    <row r="80" spans="1:9" ht="14.45" customHeight="1" thickTop="1" x14ac:dyDescent="0.25">
      <c r="A80" s="694" t="s">
        <v>54</v>
      </c>
      <c r="B80" s="12">
        <v>46844</v>
      </c>
      <c r="C80" s="13">
        <f>I78</f>
        <v>1448</v>
      </c>
      <c r="D80" s="13">
        <v>0</v>
      </c>
      <c r="E80" s="13">
        <f t="shared" si="5"/>
        <v>11.584000000000001</v>
      </c>
      <c r="F80" s="13">
        <f t="shared" si="2"/>
        <v>1459.5840000000001</v>
      </c>
      <c r="G80" s="13">
        <v>12</v>
      </c>
      <c r="H80" s="13">
        <f t="shared" ref="H80:H91" si="17">E80+G80</f>
        <v>23.584000000000003</v>
      </c>
      <c r="I80" s="13">
        <f t="shared" si="3"/>
        <v>1436</v>
      </c>
    </row>
    <row r="81" spans="1:9" ht="15" x14ac:dyDescent="0.25">
      <c r="A81" s="695"/>
      <c r="B81" s="12">
        <v>46874</v>
      </c>
      <c r="C81" s="13">
        <f t="shared" si="4"/>
        <v>1436</v>
      </c>
      <c r="D81" s="13">
        <v>0</v>
      </c>
      <c r="E81" s="13">
        <f t="shared" si="5"/>
        <v>11.488</v>
      </c>
      <c r="F81" s="13">
        <f t="shared" si="2"/>
        <v>1447.4880000000001</v>
      </c>
      <c r="G81" s="13">
        <f>G80</f>
        <v>12</v>
      </c>
      <c r="H81" s="13">
        <f t="shared" si="17"/>
        <v>23.488</v>
      </c>
      <c r="I81" s="13">
        <f t="shared" si="3"/>
        <v>1424</v>
      </c>
    </row>
    <row r="82" spans="1:9" ht="15" x14ac:dyDescent="0.25">
      <c r="A82" s="695"/>
      <c r="B82" s="12">
        <v>46905</v>
      </c>
      <c r="C82" s="13">
        <f t="shared" si="4"/>
        <v>1424</v>
      </c>
      <c r="D82" s="13">
        <v>0</v>
      </c>
      <c r="E82" s="13">
        <f t="shared" si="5"/>
        <v>11.392000000000001</v>
      </c>
      <c r="F82" s="13">
        <f t="shared" si="2"/>
        <v>1435.3920000000001</v>
      </c>
      <c r="G82" s="13">
        <f t="shared" ref="G82:G91" si="18">G81</f>
        <v>12</v>
      </c>
      <c r="H82" s="13">
        <f t="shared" si="17"/>
        <v>23.392000000000003</v>
      </c>
      <c r="I82" s="13">
        <f t="shared" si="3"/>
        <v>1412</v>
      </c>
    </row>
    <row r="83" spans="1:9" ht="15" x14ac:dyDescent="0.25">
      <c r="A83" s="695"/>
      <c r="B83" s="12">
        <v>46935</v>
      </c>
      <c r="C83" s="13">
        <f t="shared" si="4"/>
        <v>1412</v>
      </c>
      <c r="D83" s="13">
        <v>0</v>
      </c>
      <c r="E83" s="13">
        <f t="shared" si="5"/>
        <v>11.295999999999999</v>
      </c>
      <c r="F83" s="13">
        <f t="shared" si="2"/>
        <v>1423.296</v>
      </c>
      <c r="G83" s="13">
        <f t="shared" si="18"/>
        <v>12</v>
      </c>
      <c r="H83" s="13">
        <f t="shared" si="17"/>
        <v>23.295999999999999</v>
      </c>
      <c r="I83" s="13">
        <f t="shared" si="3"/>
        <v>1400</v>
      </c>
    </row>
    <row r="84" spans="1:9" ht="15" x14ac:dyDescent="0.25">
      <c r="A84" s="695"/>
      <c r="B84" s="12">
        <v>46966</v>
      </c>
      <c r="C84" s="13">
        <f t="shared" si="4"/>
        <v>1400</v>
      </c>
      <c r="D84" s="13">
        <v>0</v>
      </c>
      <c r="E84" s="13">
        <f t="shared" si="5"/>
        <v>11.200000000000001</v>
      </c>
      <c r="F84" s="13">
        <f t="shared" si="2"/>
        <v>1411.2</v>
      </c>
      <c r="G84" s="13">
        <f t="shared" si="18"/>
        <v>12</v>
      </c>
      <c r="H84" s="13">
        <f t="shared" si="17"/>
        <v>23.200000000000003</v>
      </c>
      <c r="I84" s="13">
        <f t="shared" si="3"/>
        <v>1388</v>
      </c>
    </row>
    <row r="85" spans="1:9" ht="15" x14ac:dyDescent="0.25">
      <c r="A85" s="695"/>
      <c r="B85" s="12">
        <v>46997</v>
      </c>
      <c r="C85" s="13">
        <f t="shared" si="4"/>
        <v>1388</v>
      </c>
      <c r="D85" s="13">
        <v>0</v>
      </c>
      <c r="E85" s="13">
        <f t="shared" ref="E85:E91" si="19">(C85+D85)*9.6%/12</f>
        <v>11.103999999999999</v>
      </c>
      <c r="F85" s="13">
        <f t="shared" si="2"/>
        <v>1399.104</v>
      </c>
      <c r="G85" s="13">
        <f t="shared" si="18"/>
        <v>12</v>
      </c>
      <c r="H85" s="13">
        <f t="shared" si="17"/>
        <v>23.103999999999999</v>
      </c>
      <c r="I85" s="13">
        <f t="shared" si="3"/>
        <v>1376</v>
      </c>
    </row>
    <row r="86" spans="1:9" ht="15" x14ac:dyDescent="0.25">
      <c r="A86" s="695"/>
      <c r="B86" s="12">
        <v>47027</v>
      </c>
      <c r="C86" s="13">
        <f t="shared" si="4"/>
        <v>1376</v>
      </c>
      <c r="D86" s="13">
        <v>0</v>
      </c>
      <c r="E86" s="13">
        <f t="shared" si="19"/>
        <v>11.008000000000001</v>
      </c>
      <c r="F86" s="13">
        <f t="shared" si="2"/>
        <v>1387.008</v>
      </c>
      <c r="G86" s="13">
        <f t="shared" si="18"/>
        <v>12</v>
      </c>
      <c r="H86" s="13">
        <f t="shared" si="17"/>
        <v>23.008000000000003</v>
      </c>
      <c r="I86" s="13">
        <f t="shared" si="3"/>
        <v>1364</v>
      </c>
    </row>
    <row r="87" spans="1:9" ht="15" x14ac:dyDescent="0.25">
      <c r="A87" s="695"/>
      <c r="B87" s="12">
        <v>47058</v>
      </c>
      <c r="C87" s="13">
        <f t="shared" si="4"/>
        <v>1364</v>
      </c>
      <c r="D87" s="13">
        <v>0</v>
      </c>
      <c r="E87" s="13">
        <f t="shared" si="19"/>
        <v>10.912000000000001</v>
      </c>
      <c r="F87" s="13">
        <f t="shared" ref="F87:F130" si="20">C87+D87+E87</f>
        <v>1374.912</v>
      </c>
      <c r="G87" s="13">
        <f t="shared" si="18"/>
        <v>12</v>
      </c>
      <c r="H87" s="13">
        <f t="shared" si="17"/>
        <v>22.911999999999999</v>
      </c>
      <c r="I87" s="13">
        <f t="shared" ref="I87:I130" si="21">F87-H87</f>
        <v>1352</v>
      </c>
    </row>
    <row r="88" spans="1:9" ht="15" x14ac:dyDescent="0.25">
      <c r="A88" s="695"/>
      <c r="B88" s="12">
        <v>47088</v>
      </c>
      <c r="C88" s="13">
        <f t="shared" ref="C88:C130" si="22">I87</f>
        <v>1352</v>
      </c>
      <c r="D88" s="13">
        <v>0</v>
      </c>
      <c r="E88" s="13">
        <f t="shared" si="19"/>
        <v>10.816000000000001</v>
      </c>
      <c r="F88" s="13">
        <f t="shared" si="20"/>
        <v>1362.816</v>
      </c>
      <c r="G88" s="13">
        <f t="shared" si="18"/>
        <v>12</v>
      </c>
      <c r="H88" s="13">
        <f t="shared" si="17"/>
        <v>22.816000000000003</v>
      </c>
      <c r="I88" s="13">
        <f t="shared" si="21"/>
        <v>1340</v>
      </c>
    </row>
    <row r="89" spans="1:9" ht="15" x14ac:dyDescent="0.25">
      <c r="A89" s="695"/>
      <c r="B89" s="12">
        <v>47119</v>
      </c>
      <c r="C89" s="13">
        <f t="shared" si="22"/>
        <v>1340</v>
      </c>
      <c r="D89" s="13">
        <v>0</v>
      </c>
      <c r="E89" s="13">
        <f t="shared" si="19"/>
        <v>10.72</v>
      </c>
      <c r="F89" s="13">
        <f t="shared" si="20"/>
        <v>1350.72</v>
      </c>
      <c r="G89" s="13">
        <f t="shared" si="18"/>
        <v>12</v>
      </c>
      <c r="H89" s="13">
        <f t="shared" si="17"/>
        <v>22.72</v>
      </c>
      <c r="I89" s="13">
        <f t="shared" si="21"/>
        <v>1328</v>
      </c>
    </row>
    <row r="90" spans="1:9" ht="15" x14ac:dyDescent="0.25">
      <c r="A90" s="695"/>
      <c r="B90" s="12">
        <v>47150</v>
      </c>
      <c r="C90" s="13">
        <f t="shared" si="22"/>
        <v>1328</v>
      </c>
      <c r="D90" s="13">
        <v>0</v>
      </c>
      <c r="E90" s="13">
        <f t="shared" si="19"/>
        <v>10.624000000000001</v>
      </c>
      <c r="F90" s="13">
        <f t="shared" si="20"/>
        <v>1338.624</v>
      </c>
      <c r="G90" s="13">
        <f t="shared" si="18"/>
        <v>12</v>
      </c>
      <c r="H90" s="13">
        <f t="shared" si="17"/>
        <v>22.624000000000002</v>
      </c>
      <c r="I90" s="13">
        <f t="shared" si="21"/>
        <v>1316</v>
      </c>
    </row>
    <row r="91" spans="1:9" ht="15" x14ac:dyDescent="0.25">
      <c r="A91" s="696"/>
      <c r="B91" s="12">
        <v>47178</v>
      </c>
      <c r="C91" s="13">
        <f t="shared" si="22"/>
        <v>1316</v>
      </c>
      <c r="D91" s="13">
        <v>0</v>
      </c>
      <c r="E91" s="13">
        <f t="shared" si="19"/>
        <v>10.528</v>
      </c>
      <c r="F91" s="13">
        <f t="shared" si="20"/>
        <v>1326.528</v>
      </c>
      <c r="G91" s="13">
        <f t="shared" si="18"/>
        <v>12</v>
      </c>
      <c r="H91" s="13">
        <f t="shared" si="17"/>
        <v>22.527999999999999</v>
      </c>
      <c r="I91" s="13">
        <f t="shared" si="21"/>
        <v>1304</v>
      </c>
    </row>
    <row r="92" spans="1:9" ht="15.75" thickBot="1" x14ac:dyDescent="0.3">
      <c r="A92" s="9"/>
      <c r="B92" s="16"/>
      <c r="C92" s="17"/>
      <c r="D92" s="15">
        <f t="shared" ref="D92:E92" si="23">SUM(D80:D91)</f>
        <v>0</v>
      </c>
      <c r="E92" s="15">
        <f t="shared" si="23"/>
        <v>132.672</v>
      </c>
      <c r="F92" s="17"/>
      <c r="G92" s="15">
        <f>SUM(G80:G91)</f>
        <v>144</v>
      </c>
      <c r="H92" s="15">
        <f t="shared" ref="H92" si="24">SUM(H80:H91)</f>
        <v>276.67200000000003</v>
      </c>
      <c r="I92" s="17"/>
    </row>
    <row r="93" spans="1:9" ht="14.45" customHeight="1" thickTop="1" x14ac:dyDescent="0.25">
      <c r="A93" s="694" t="s">
        <v>55</v>
      </c>
      <c r="B93" s="12">
        <v>47209</v>
      </c>
      <c r="C93" s="13">
        <f>I91</f>
        <v>1304</v>
      </c>
      <c r="D93" s="13">
        <v>0</v>
      </c>
      <c r="E93" s="13">
        <f t="shared" ref="E93:E104" si="25">(C93+D93)*9.6%/12</f>
        <v>10.432</v>
      </c>
      <c r="F93" s="13">
        <f t="shared" si="20"/>
        <v>1314.432</v>
      </c>
      <c r="G93" s="13">
        <v>13</v>
      </c>
      <c r="H93" s="13">
        <f t="shared" ref="H93:H104" si="26">E93+G93</f>
        <v>23.432000000000002</v>
      </c>
      <c r="I93" s="13">
        <f t="shared" si="21"/>
        <v>1291</v>
      </c>
    </row>
    <row r="94" spans="1:9" ht="15" x14ac:dyDescent="0.25">
      <c r="A94" s="695"/>
      <c r="B94" s="12">
        <v>47239</v>
      </c>
      <c r="C94" s="13">
        <f t="shared" si="22"/>
        <v>1291</v>
      </c>
      <c r="D94" s="13">
        <v>0</v>
      </c>
      <c r="E94" s="13">
        <f t="shared" si="25"/>
        <v>10.328000000000001</v>
      </c>
      <c r="F94" s="13">
        <f t="shared" si="20"/>
        <v>1301.328</v>
      </c>
      <c r="G94" s="13">
        <f>G93</f>
        <v>13</v>
      </c>
      <c r="H94" s="13">
        <f t="shared" si="26"/>
        <v>23.328000000000003</v>
      </c>
      <c r="I94" s="13">
        <f t="shared" si="21"/>
        <v>1278</v>
      </c>
    </row>
    <row r="95" spans="1:9" ht="15" x14ac:dyDescent="0.25">
      <c r="A95" s="695"/>
      <c r="B95" s="12">
        <v>47270</v>
      </c>
      <c r="C95" s="13">
        <f t="shared" si="22"/>
        <v>1278</v>
      </c>
      <c r="D95" s="13">
        <v>0</v>
      </c>
      <c r="E95" s="13">
        <f t="shared" si="25"/>
        <v>10.224</v>
      </c>
      <c r="F95" s="13">
        <f t="shared" si="20"/>
        <v>1288.2239999999999</v>
      </c>
      <c r="G95" s="13">
        <f t="shared" ref="G95:G104" si="27">G94</f>
        <v>13</v>
      </c>
      <c r="H95" s="13">
        <f t="shared" si="26"/>
        <v>23.224</v>
      </c>
      <c r="I95" s="13">
        <f t="shared" si="21"/>
        <v>1265</v>
      </c>
    </row>
    <row r="96" spans="1:9" ht="15" x14ac:dyDescent="0.25">
      <c r="A96" s="695"/>
      <c r="B96" s="12">
        <v>47300</v>
      </c>
      <c r="C96" s="13">
        <f t="shared" si="22"/>
        <v>1265</v>
      </c>
      <c r="D96" s="13">
        <v>0</v>
      </c>
      <c r="E96" s="13">
        <f t="shared" si="25"/>
        <v>10.119999999999999</v>
      </c>
      <c r="F96" s="13">
        <f t="shared" si="20"/>
        <v>1275.1199999999999</v>
      </c>
      <c r="G96" s="13">
        <f t="shared" si="27"/>
        <v>13</v>
      </c>
      <c r="H96" s="13">
        <f t="shared" si="26"/>
        <v>23.119999999999997</v>
      </c>
      <c r="I96" s="13">
        <f t="shared" si="21"/>
        <v>1252</v>
      </c>
    </row>
    <row r="97" spans="1:9" ht="15" x14ac:dyDescent="0.25">
      <c r="A97" s="695"/>
      <c r="B97" s="12">
        <v>47331</v>
      </c>
      <c r="C97" s="13">
        <f t="shared" si="22"/>
        <v>1252</v>
      </c>
      <c r="D97" s="13">
        <v>0</v>
      </c>
      <c r="E97" s="13">
        <f t="shared" si="25"/>
        <v>10.016</v>
      </c>
      <c r="F97" s="13">
        <f t="shared" si="20"/>
        <v>1262.0160000000001</v>
      </c>
      <c r="G97" s="13">
        <f t="shared" si="27"/>
        <v>13</v>
      </c>
      <c r="H97" s="13">
        <f t="shared" si="26"/>
        <v>23.015999999999998</v>
      </c>
      <c r="I97" s="13">
        <f t="shared" si="21"/>
        <v>1239</v>
      </c>
    </row>
    <row r="98" spans="1:9" ht="15" x14ac:dyDescent="0.25">
      <c r="A98" s="695"/>
      <c r="B98" s="12">
        <v>47362</v>
      </c>
      <c r="C98" s="13">
        <f t="shared" si="22"/>
        <v>1239</v>
      </c>
      <c r="D98" s="13">
        <v>0</v>
      </c>
      <c r="E98" s="13">
        <f t="shared" si="25"/>
        <v>9.9120000000000008</v>
      </c>
      <c r="F98" s="13">
        <f t="shared" si="20"/>
        <v>1248.912</v>
      </c>
      <c r="G98" s="13">
        <f t="shared" si="27"/>
        <v>13</v>
      </c>
      <c r="H98" s="13">
        <f t="shared" si="26"/>
        <v>22.911999999999999</v>
      </c>
      <c r="I98" s="13">
        <f t="shared" si="21"/>
        <v>1226</v>
      </c>
    </row>
    <row r="99" spans="1:9" ht="15" x14ac:dyDescent="0.25">
      <c r="A99" s="695"/>
      <c r="B99" s="12">
        <v>47392</v>
      </c>
      <c r="C99" s="13">
        <f t="shared" si="22"/>
        <v>1226</v>
      </c>
      <c r="D99" s="13">
        <v>0</v>
      </c>
      <c r="E99" s="13">
        <f t="shared" si="25"/>
        <v>9.8079999999999998</v>
      </c>
      <c r="F99" s="13">
        <f t="shared" si="20"/>
        <v>1235.808</v>
      </c>
      <c r="G99" s="13">
        <f t="shared" si="27"/>
        <v>13</v>
      </c>
      <c r="H99" s="13">
        <f t="shared" si="26"/>
        <v>22.808</v>
      </c>
      <c r="I99" s="13">
        <f t="shared" si="21"/>
        <v>1213</v>
      </c>
    </row>
    <row r="100" spans="1:9" ht="15" x14ac:dyDescent="0.25">
      <c r="A100" s="695"/>
      <c r="B100" s="12">
        <v>47423</v>
      </c>
      <c r="C100" s="13">
        <f t="shared" si="22"/>
        <v>1213</v>
      </c>
      <c r="D100" s="13">
        <v>0</v>
      </c>
      <c r="E100" s="13">
        <f t="shared" si="25"/>
        <v>9.7040000000000006</v>
      </c>
      <c r="F100" s="13">
        <f t="shared" si="20"/>
        <v>1222.704</v>
      </c>
      <c r="G100" s="13">
        <f t="shared" si="27"/>
        <v>13</v>
      </c>
      <c r="H100" s="13">
        <f t="shared" si="26"/>
        <v>22.704000000000001</v>
      </c>
      <c r="I100" s="13">
        <f t="shared" si="21"/>
        <v>1200</v>
      </c>
    </row>
    <row r="101" spans="1:9" ht="15" x14ac:dyDescent="0.25">
      <c r="A101" s="695"/>
      <c r="B101" s="12">
        <v>47453</v>
      </c>
      <c r="C101" s="13">
        <f t="shared" si="22"/>
        <v>1200</v>
      </c>
      <c r="D101" s="13">
        <v>0</v>
      </c>
      <c r="E101" s="13">
        <f t="shared" si="25"/>
        <v>9.6</v>
      </c>
      <c r="F101" s="13">
        <f t="shared" si="20"/>
        <v>1209.5999999999999</v>
      </c>
      <c r="G101" s="13">
        <f t="shared" si="27"/>
        <v>13</v>
      </c>
      <c r="H101" s="13">
        <f t="shared" si="26"/>
        <v>22.6</v>
      </c>
      <c r="I101" s="13">
        <f t="shared" si="21"/>
        <v>1187</v>
      </c>
    </row>
    <row r="102" spans="1:9" ht="15" x14ac:dyDescent="0.25">
      <c r="A102" s="695"/>
      <c r="B102" s="12">
        <v>47484</v>
      </c>
      <c r="C102" s="13">
        <f t="shared" si="22"/>
        <v>1187</v>
      </c>
      <c r="D102" s="13">
        <v>0</v>
      </c>
      <c r="E102" s="13">
        <f t="shared" si="25"/>
        <v>9.4960000000000004</v>
      </c>
      <c r="F102" s="13">
        <f t="shared" si="20"/>
        <v>1196.4960000000001</v>
      </c>
      <c r="G102" s="13">
        <f t="shared" si="27"/>
        <v>13</v>
      </c>
      <c r="H102" s="13">
        <f t="shared" si="26"/>
        <v>22.496000000000002</v>
      </c>
      <c r="I102" s="13">
        <f t="shared" si="21"/>
        <v>1174</v>
      </c>
    </row>
    <row r="103" spans="1:9" ht="15" x14ac:dyDescent="0.25">
      <c r="A103" s="695"/>
      <c r="B103" s="12">
        <v>47515</v>
      </c>
      <c r="C103" s="13">
        <f t="shared" si="22"/>
        <v>1174</v>
      </c>
      <c r="D103" s="13">
        <v>0</v>
      </c>
      <c r="E103" s="13">
        <f t="shared" si="25"/>
        <v>9.3920000000000012</v>
      </c>
      <c r="F103" s="13">
        <f t="shared" si="20"/>
        <v>1183.3920000000001</v>
      </c>
      <c r="G103" s="13">
        <f t="shared" si="27"/>
        <v>13</v>
      </c>
      <c r="H103" s="13">
        <f t="shared" si="26"/>
        <v>22.392000000000003</v>
      </c>
      <c r="I103" s="13">
        <f t="shared" si="21"/>
        <v>1161</v>
      </c>
    </row>
    <row r="104" spans="1:9" ht="15" x14ac:dyDescent="0.25">
      <c r="A104" s="696"/>
      <c r="B104" s="12">
        <v>47543</v>
      </c>
      <c r="C104" s="13">
        <f t="shared" si="22"/>
        <v>1161</v>
      </c>
      <c r="D104" s="13">
        <v>0</v>
      </c>
      <c r="E104" s="13">
        <f t="shared" si="25"/>
        <v>9.2880000000000003</v>
      </c>
      <c r="F104" s="13">
        <f t="shared" si="20"/>
        <v>1170.288</v>
      </c>
      <c r="G104" s="13">
        <f t="shared" si="27"/>
        <v>13</v>
      </c>
      <c r="H104" s="13">
        <f t="shared" si="26"/>
        <v>22.288</v>
      </c>
      <c r="I104" s="13">
        <f t="shared" si="21"/>
        <v>1148</v>
      </c>
    </row>
    <row r="105" spans="1:9" ht="15.75" thickBot="1" x14ac:dyDescent="0.3">
      <c r="A105" s="9"/>
      <c r="B105" s="16"/>
      <c r="C105" s="17"/>
      <c r="D105" s="15">
        <f t="shared" ref="D105" si="28">SUM(D93:D104)</f>
        <v>0</v>
      </c>
      <c r="E105" s="15">
        <f t="shared" ref="E105" si="29">SUM(E93:E104)</f>
        <v>118.32</v>
      </c>
      <c r="F105" s="17"/>
      <c r="G105" s="15">
        <f>SUM(G93:G104)</f>
        <v>156</v>
      </c>
      <c r="H105" s="15">
        <f t="shared" ref="H105" si="30">SUM(H93:H104)</f>
        <v>274.32</v>
      </c>
      <c r="I105" s="17"/>
    </row>
    <row r="106" spans="1:9" ht="14.45" customHeight="1" thickTop="1" x14ac:dyDescent="0.25">
      <c r="A106" s="694" t="s">
        <v>56</v>
      </c>
      <c r="B106" s="12">
        <v>47574</v>
      </c>
      <c r="C106" s="13">
        <f>I104</f>
        <v>1148</v>
      </c>
      <c r="D106" s="13">
        <v>0</v>
      </c>
      <c r="E106" s="13">
        <f t="shared" ref="E106:E117" si="31">(C106+D106)*9.6%/12</f>
        <v>9.1839999999999993</v>
      </c>
      <c r="F106" s="13">
        <f t="shared" si="20"/>
        <v>1157.184</v>
      </c>
      <c r="G106" s="13">
        <v>14</v>
      </c>
      <c r="H106" s="13">
        <f t="shared" ref="H106:H117" si="32">E106+G106</f>
        <v>23.183999999999997</v>
      </c>
      <c r="I106" s="13">
        <f t="shared" si="21"/>
        <v>1134</v>
      </c>
    </row>
    <row r="107" spans="1:9" ht="15" x14ac:dyDescent="0.25">
      <c r="A107" s="695"/>
      <c r="B107" s="12">
        <v>47604</v>
      </c>
      <c r="C107" s="13">
        <f t="shared" si="22"/>
        <v>1134</v>
      </c>
      <c r="D107" s="13">
        <v>0</v>
      </c>
      <c r="E107" s="13">
        <f t="shared" si="31"/>
        <v>9.072000000000001</v>
      </c>
      <c r="F107" s="13">
        <f t="shared" si="20"/>
        <v>1143.0719999999999</v>
      </c>
      <c r="G107" s="13">
        <f>G106</f>
        <v>14</v>
      </c>
      <c r="H107" s="13">
        <f t="shared" si="32"/>
        <v>23.072000000000003</v>
      </c>
      <c r="I107" s="13">
        <f t="shared" si="21"/>
        <v>1120</v>
      </c>
    </row>
    <row r="108" spans="1:9" ht="15" x14ac:dyDescent="0.25">
      <c r="A108" s="695"/>
      <c r="B108" s="12">
        <v>47635</v>
      </c>
      <c r="C108" s="13">
        <f t="shared" si="22"/>
        <v>1120</v>
      </c>
      <c r="D108" s="13">
        <v>0</v>
      </c>
      <c r="E108" s="13">
        <f t="shared" si="31"/>
        <v>8.9599999999999991</v>
      </c>
      <c r="F108" s="13">
        <f t="shared" si="20"/>
        <v>1128.96</v>
      </c>
      <c r="G108" s="13">
        <f t="shared" ref="G108:G117" si="33">G107</f>
        <v>14</v>
      </c>
      <c r="H108" s="13">
        <f t="shared" si="32"/>
        <v>22.96</v>
      </c>
      <c r="I108" s="13">
        <f t="shared" si="21"/>
        <v>1106</v>
      </c>
    </row>
    <row r="109" spans="1:9" ht="15" x14ac:dyDescent="0.25">
      <c r="A109" s="695"/>
      <c r="B109" s="12">
        <v>47665</v>
      </c>
      <c r="C109" s="13">
        <f t="shared" si="22"/>
        <v>1106</v>
      </c>
      <c r="D109" s="13">
        <v>0</v>
      </c>
      <c r="E109" s="13">
        <f t="shared" si="31"/>
        <v>8.8480000000000008</v>
      </c>
      <c r="F109" s="13">
        <f t="shared" si="20"/>
        <v>1114.848</v>
      </c>
      <c r="G109" s="13">
        <f t="shared" si="33"/>
        <v>14</v>
      </c>
      <c r="H109" s="13">
        <f t="shared" si="32"/>
        <v>22.847999999999999</v>
      </c>
      <c r="I109" s="13">
        <f t="shared" si="21"/>
        <v>1092</v>
      </c>
    </row>
    <row r="110" spans="1:9" ht="15" x14ac:dyDescent="0.25">
      <c r="A110" s="695"/>
      <c r="B110" s="12">
        <v>47696</v>
      </c>
      <c r="C110" s="13">
        <f t="shared" si="22"/>
        <v>1092</v>
      </c>
      <c r="D110" s="13">
        <v>0</v>
      </c>
      <c r="E110" s="13">
        <f t="shared" si="31"/>
        <v>8.7360000000000007</v>
      </c>
      <c r="F110" s="13">
        <f t="shared" si="20"/>
        <v>1100.7360000000001</v>
      </c>
      <c r="G110" s="13">
        <f t="shared" si="33"/>
        <v>14</v>
      </c>
      <c r="H110" s="13">
        <f t="shared" si="32"/>
        <v>22.736000000000001</v>
      </c>
      <c r="I110" s="13">
        <f t="shared" si="21"/>
        <v>1078</v>
      </c>
    </row>
    <row r="111" spans="1:9" ht="15" x14ac:dyDescent="0.25">
      <c r="A111" s="695"/>
      <c r="B111" s="12">
        <v>47727</v>
      </c>
      <c r="C111" s="13">
        <f t="shared" si="22"/>
        <v>1078</v>
      </c>
      <c r="D111" s="13">
        <v>0</v>
      </c>
      <c r="E111" s="13">
        <f t="shared" si="31"/>
        <v>8.6240000000000006</v>
      </c>
      <c r="F111" s="13">
        <f t="shared" si="20"/>
        <v>1086.624</v>
      </c>
      <c r="G111" s="13">
        <f t="shared" si="33"/>
        <v>14</v>
      </c>
      <c r="H111" s="13">
        <f t="shared" si="32"/>
        <v>22.624000000000002</v>
      </c>
      <c r="I111" s="13">
        <f t="shared" si="21"/>
        <v>1064</v>
      </c>
    </row>
    <row r="112" spans="1:9" ht="15" x14ac:dyDescent="0.25">
      <c r="A112" s="695"/>
      <c r="B112" s="12">
        <v>47757</v>
      </c>
      <c r="C112" s="13">
        <f t="shared" si="22"/>
        <v>1064</v>
      </c>
      <c r="D112" s="13">
        <v>0</v>
      </c>
      <c r="E112" s="13">
        <f t="shared" si="31"/>
        <v>8.5120000000000005</v>
      </c>
      <c r="F112" s="13">
        <f t="shared" si="20"/>
        <v>1072.5119999999999</v>
      </c>
      <c r="G112" s="13">
        <f t="shared" si="33"/>
        <v>14</v>
      </c>
      <c r="H112" s="13">
        <f t="shared" si="32"/>
        <v>22.512</v>
      </c>
      <c r="I112" s="13">
        <f t="shared" si="21"/>
        <v>1050</v>
      </c>
    </row>
    <row r="113" spans="1:9" ht="15" x14ac:dyDescent="0.25">
      <c r="A113" s="695"/>
      <c r="B113" s="12">
        <v>47788</v>
      </c>
      <c r="C113" s="13">
        <f t="shared" si="22"/>
        <v>1050</v>
      </c>
      <c r="D113" s="13">
        <v>0</v>
      </c>
      <c r="E113" s="13">
        <f t="shared" si="31"/>
        <v>8.4</v>
      </c>
      <c r="F113" s="13">
        <f t="shared" si="20"/>
        <v>1058.4000000000001</v>
      </c>
      <c r="G113" s="13">
        <f t="shared" si="33"/>
        <v>14</v>
      </c>
      <c r="H113" s="13">
        <f t="shared" si="32"/>
        <v>22.4</v>
      </c>
      <c r="I113" s="13">
        <f t="shared" si="21"/>
        <v>1036</v>
      </c>
    </row>
    <row r="114" spans="1:9" ht="15" x14ac:dyDescent="0.25">
      <c r="A114" s="695"/>
      <c r="B114" s="12">
        <v>47818</v>
      </c>
      <c r="C114" s="13">
        <f t="shared" si="22"/>
        <v>1036</v>
      </c>
      <c r="D114" s="13">
        <v>0</v>
      </c>
      <c r="E114" s="13">
        <f t="shared" si="31"/>
        <v>8.2880000000000003</v>
      </c>
      <c r="F114" s="13">
        <f t="shared" si="20"/>
        <v>1044.288</v>
      </c>
      <c r="G114" s="13">
        <f t="shared" si="33"/>
        <v>14</v>
      </c>
      <c r="H114" s="13">
        <f t="shared" si="32"/>
        <v>22.288</v>
      </c>
      <c r="I114" s="13">
        <f t="shared" si="21"/>
        <v>1022</v>
      </c>
    </row>
    <row r="115" spans="1:9" ht="15" x14ac:dyDescent="0.25">
      <c r="A115" s="695"/>
      <c r="B115" s="12">
        <v>47849</v>
      </c>
      <c r="C115" s="13">
        <f t="shared" si="22"/>
        <v>1022</v>
      </c>
      <c r="D115" s="13">
        <v>0</v>
      </c>
      <c r="E115" s="13">
        <f t="shared" si="31"/>
        <v>8.1760000000000002</v>
      </c>
      <c r="F115" s="13">
        <f t="shared" si="20"/>
        <v>1030.1759999999999</v>
      </c>
      <c r="G115" s="13">
        <f t="shared" si="33"/>
        <v>14</v>
      </c>
      <c r="H115" s="13">
        <f t="shared" si="32"/>
        <v>22.176000000000002</v>
      </c>
      <c r="I115" s="13">
        <f t="shared" si="21"/>
        <v>1007.9999999999999</v>
      </c>
    </row>
    <row r="116" spans="1:9" ht="15" x14ac:dyDescent="0.25">
      <c r="A116" s="695"/>
      <c r="B116" s="12">
        <v>47880</v>
      </c>
      <c r="C116" s="13">
        <f t="shared" si="22"/>
        <v>1007.9999999999999</v>
      </c>
      <c r="D116" s="13">
        <v>0</v>
      </c>
      <c r="E116" s="13">
        <f t="shared" si="31"/>
        <v>8.0639999999999983</v>
      </c>
      <c r="F116" s="13">
        <f t="shared" si="20"/>
        <v>1016.0639999999999</v>
      </c>
      <c r="G116" s="13">
        <f t="shared" si="33"/>
        <v>14</v>
      </c>
      <c r="H116" s="13">
        <f t="shared" si="32"/>
        <v>22.064</v>
      </c>
      <c r="I116" s="13">
        <f t="shared" si="21"/>
        <v>993.99999999999989</v>
      </c>
    </row>
    <row r="117" spans="1:9" ht="15" x14ac:dyDescent="0.25">
      <c r="A117" s="696"/>
      <c r="B117" s="12">
        <v>47908</v>
      </c>
      <c r="C117" s="13">
        <f t="shared" si="22"/>
        <v>993.99999999999989</v>
      </c>
      <c r="D117" s="13">
        <v>0</v>
      </c>
      <c r="E117" s="13">
        <f t="shared" si="31"/>
        <v>7.9519999999999991</v>
      </c>
      <c r="F117" s="13">
        <f t="shared" si="20"/>
        <v>1001.9519999999999</v>
      </c>
      <c r="G117" s="13">
        <f t="shared" si="33"/>
        <v>14</v>
      </c>
      <c r="H117" s="13">
        <f t="shared" si="32"/>
        <v>21.951999999999998</v>
      </c>
      <c r="I117" s="13">
        <f t="shared" si="21"/>
        <v>979.99999999999989</v>
      </c>
    </row>
    <row r="118" spans="1:9" ht="15.75" thickBot="1" x14ac:dyDescent="0.3">
      <c r="A118" s="9"/>
      <c r="B118" s="16"/>
      <c r="C118" s="17"/>
      <c r="D118" s="15">
        <f t="shared" ref="D118" si="34">SUM(D106:D117)</f>
        <v>0</v>
      </c>
      <c r="E118" s="15">
        <f t="shared" ref="E118" si="35">SUM(E106:E117)</f>
        <v>102.81599999999999</v>
      </c>
      <c r="F118" s="17"/>
      <c r="G118" s="15">
        <f>SUM(G106:G117)</f>
        <v>168</v>
      </c>
      <c r="H118" s="15">
        <f t="shared" ref="H118" si="36">SUM(H106:H117)</f>
        <v>270.81600000000003</v>
      </c>
      <c r="I118" s="17"/>
    </row>
    <row r="119" spans="1:9" ht="14.45" customHeight="1" thickTop="1" x14ac:dyDescent="0.25">
      <c r="A119" s="694" t="s">
        <v>57</v>
      </c>
      <c r="B119" s="12">
        <v>47939</v>
      </c>
      <c r="C119" s="13">
        <f>I117</f>
        <v>979.99999999999989</v>
      </c>
      <c r="D119" s="13">
        <v>0</v>
      </c>
      <c r="E119" s="13">
        <f t="shared" ref="E119:E130" si="37">(C119+D119)*9.6%/12</f>
        <v>7.839999999999999</v>
      </c>
      <c r="F119" s="13">
        <f t="shared" si="20"/>
        <v>987.83999999999992</v>
      </c>
      <c r="G119" s="13">
        <v>15</v>
      </c>
      <c r="H119" s="13">
        <f t="shared" ref="H119:H130" si="38">E119+G119</f>
        <v>22.84</v>
      </c>
      <c r="I119" s="13">
        <f t="shared" si="21"/>
        <v>964.99999999999989</v>
      </c>
    </row>
    <row r="120" spans="1:9" ht="15" x14ac:dyDescent="0.25">
      <c r="A120" s="695"/>
      <c r="B120" s="12">
        <v>47969</v>
      </c>
      <c r="C120" s="13">
        <f t="shared" si="22"/>
        <v>964.99999999999989</v>
      </c>
      <c r="D120" s="13">
        <v>0</v>
      </c>
      <c r="E120" s="13">
        <f t="shared" si="37"/>
        <v>7.7199999999999989</v>
      </c>
      <c r="F120" s="13">
        <f t="shared" si="20"/>
        <v>972.71999999999991</v>
      </c>
      <c r="G120" s="13">
        <f>G119</f>
        <v>15</v>
      </c>
      <c r="H120" s="13">
        <f t="shared" si="38"/>
        <v>22.72</v>
      </c>
      <c r="I120" s="13">
        <f t="shared" si="21"/>
        <v>949.99999999999989</v>
      </c>
    </row>
    <row r="121" spans="1:9" ht="15" x14ac:dyDescent="0.25">
      <c r="A121" s="695"/>
      <c r="B121" s="12">
        <v>48000</v>
      </c>
      <c r="C121" s="13">
        <f t="shared" si="22"/>
        <v>949.99999999999989</v>
      </c>
      <c r="D121" s="13">
        <v>0</v>
      </c>
      <c r="E121" s="13">
        <f t="shared" si="37"/>
        <v>7.5999999999999988</v>
      </c>
      <c r="F121" s="13">
        <f t="shared" si="20"/>
        <v>957.59999999999991</v>
      </c>
      <c r="G121" s="13">
        <f t="shared" ref="G121:G130" si="39">G120</f>
        <v>15</v>
      </c>
      <c r="H121" s="13">
        <f t="shared" si="38"/>
        <v>22.599999999999998</v>
      </c>
      <c r="I121" s="13">
        <f t="shared" si="21"/>
        <v>934.99999999999989</v>
      </c>
    </row>
    <row r="122" spans="1:9" ht="15" x14ac:dyDescent="0.25">
      <c r="A122" s="695"/>
      <c r="B122" s="12">
        <v>48030</v>
      </c>
      <c r="C122" s="13">
        <f t="shared" si="22"/>
        <v>934.99999999999989</v>
      </c>
      <c r="D122" s="13">
        <v>0</v>
      </c>
      <c r="E122" s="13">
        <f t="shared" si="37"/>
        <v>7.4799999999999995</v>
      </c>
      <c r="F122" s="13">
        <f t="shared" si="20"/>
        <v>942.4799999999999</v>
      </c>
      <c r="G122" s="13">
        <f t="shared" si="39"/>
        <v>15</v>
      </c>
      <c r="H122" s="13">
        <f t="shared" si="38"/>
        <v>22.48</v>
      </c>
      <c r="I122" s="13">
        <f t="shared" si="21"/>
        <v>919.99999999999989</v>
      </c>
    </row>
    <row r="123" spans="1:9" ht="15" x14ac:dyDescent="0.25">
      <c r="A123" s="695"/>
      <c r="B123" s="12">
        <v>48061</v>
      </c>
      <c r="C123" s="13">
        <f t="shared" si="22"/>
        <v>919.99999999999989</v>
      </c>
      <c r="D123" s="13">
        <v>0</v>
      </c>
      <c r="E123" s="13">
        <f t="shared" si="37"/>
        <v>7.3599999999999994</v>
      </c>
      <c r="F123" s="13">
        <f t="shared" si="20"/>
        <v>927.3599999999999</v>
      </c>
      <c r="G123" s="13">
        <f t="shared" si="39"/>
        <v>15</v>
      </c>
      <c r="H123" s="13">
        <f t="shared" si="38"/>
        <v>22.36</v>
      </c>
      <c r="I123" s="13">
        <f t="shared" si="21"/>
        <v>904.99999999999989</v>
      </c>
    </row>
    <row r="124" spans="1:9" ht="15" x14ac:dyDescent="0.25">
      <c r="A124" s="695"/>
      <c r="B124" s="12">
        <v>48092</v>
      </c>
      <c r="C124" s="13">
        <f t="shared" si="22"/>
        <v>904.99999999999989</v>
      </c>
      <c r="D124" s="13">
        <v>0</v>
      </c>
      <c r="E124" s="13">
        <f t="shared" si="37"/>
        <v>7.2399999999999993</v>
      </c>
      <c r="F124" s="13">
        <f t="shared" si="20"/>
        <v>912.2399999999999</v>
      </c>
      <c r="G124" s="13">
        <f t="shared" si="39"/>
        <v>15</v>
      </c>
      <c r="H124" s="13">
        <f t="shared" si="38"/>
        <v>22.24</v>
      </c>
      <c r="I124" s="13">
        <f t="shared" si="21"/>
        <v>889.99999999999989</v>
      </c>
    </row>
    <row r="125" spans="1:9" ht="15" x14ac:dyDescent="0.25">
      <c r="A125" s="695"/>
      <c r="B125" s="12">
        <v>48122</v>
      </c>
      <c r="C125" s="13">
        <f t="shared" si="22"/>
        <v>889.99999999999989</v>
      </c>
      <c r="D125" s="13">
        <v>0</v>
      </c>
      <c r="E125" s="13">
        <f t="shared" si="37"/>
        <v>7.12</v>
      </c>
      <c r="F125" s="13">
        <f t="shared" si="20"/>
        <v>897.11999999999989</v>
      </c>
      <c r="G125" s="13">
        <f t="shared" si="39"/>
        <v>15</v>
      </c>
      <c r="H125" s="13">
        <f t="shared" si="38"/>
        <v>22.12</v>
      </c>
      <c r="I125" s="13">
        <f t="shared" si="21"/>
        <v>874.99999999999989</v>
      </c>
    </row>
    <row r="126" spans="1:9" ht="15" x14ac:dyDescent="0.25">
      <c r="A126" s="695"/>
      <c r="B126" s="12">
        <v>48153</v>
      </c>
      <c r="C126" s="13">
        <f t="shared" si="22"/>
        <v>874.99999999999989</v>
      </c>
      <c r="D126" s="13">
        <v>0</v>
      </c>
      <c r="E126" s="13">
        <f t="shared" si="37"/>
        <v>6.9999999999999991</v>
      </c>
      <c r="F126" s="13">
        <f t="shared" si="20"/>
        <v>881.99999999999989</v>
      </c>
      <c r="G126" s="13">
        <f t="shared" si="39"/>
        <v>15</v>
      </c>
      <c r="H126" s="13">
        <f t="shared" si="38"/>
        <v>22</v>
      </c>
      <c r="I126" s="13">
        <f t="shared" si="21"/>
        <v>859.99999999999989</v>
      </c>
    </row>
    <row r="127" spans="1:9" ht="15" x14ac:dyDescent="0.25">
      <c r="A127" s="695"/>
      <c r="B127" s="12">
        <v>48183</v>
      </c>
      <c r="C127" s="13">
        <f t="shared" si="22"/>
        <v>859.99999999999989</v>
      </c>
      <c r="D127" s="13">
        <v>0</v>
      </c>
      <c r="E127" s="13">
        <f t="shared" si="37"/>
        <v>6.879999999999999</v>
      </c>
      <c r="F127" s="13">
        <f t="shared" si="20"/>
        <v>866.87999999999988</v>
      </c>
      <c r="G127" s="13">
        <f t="shared" si="39"/>
        <v>15</v>
      </c>
      <c r="H127" s="13">
        <f t="shared" si="38"/>
        <v>21.88</v>
      </c>
      <c r="I127" s="13">
        <f t="shared" si="21"/>
        <v>844.99999999999989</v>
      </c>
    </row>
    <row r="128" spans="1:9" ht="15" x14ac:dyDescent="0.25">
      <c r="A128" s="695"/>
      <c r="B128" s="12">
        <v>48214</v>
      </c>
      <c r="C128" s="13">
        <f t="shared" si="22"/>
        <v>844.99999999999989</v>
      </c>
      <c r="D128" s="13">
        <v>0</v>
      </c>
      <c r="E128" s="13">
        <f t="shared" si="37"/>
        <v>6.7599999999999989</v>
      </c>
      <c r="F128" s="13">
        <f t="shared" si="20"/>
        <v>851.75999999999988</v>
      </c>
      <c r="G128" s="13">
        <f t="shared" si="39"/>
        <v>15</v>
      </c>
      <c r="H128" s="13">
        <f t="shared" si="38"/>
        <v>21.759999999999998</v>
      </c>
      <c r="I128" s="13">
        <f t="shared" si="21"/>
        <v>829.99999999999989</v>
      </c>
    </row>
    <row r="129" spans="1:9" ht="15" x14ac:dyDescent="0.25">
      <c r="A129" s="695"/>
      <c r="B129" s="12">
        <v>48245</v>
      </c>
      <c r="C129" s="13">
        <f t="shared" si="22"/>
        <v>829.99999999999989</v>
      </c>
      <c r="D129" s="13">
        <v>0</v>
      </c>
      <c r="E129" s="13">
        <f t="shared" si="37"/>
        <v>6.64</v>
      </c>
      <c r="F129" s="13">
        <f t="shared" si="20"/>
        <v>836.63999999999987</v>
      </c>
      <c r="G129" s="13">
        <f t="shared" si="39"/>
        <v>15</v>
      </c>
      <c r="H129" s="13">
        <f t="shared" si="38"/>
        <v>21.64</v>
      </c>
      <c r="I129" s="13">
        <f t="shared" si="21"/>
        <v>814.99999999999989</v>
      </c>
    </row>
    <row r="130" spans="1:9" ht="15" x14ac:dyDescent="0.25">
      <c r="A130" s="696"/>
      <c r="B130" s="12">
        <v>48274</v>
      </c>
      <c r="C130" s="13">
        <f t="shared" si="22"/>
        <v>814.99999999999989</v>
      </c>
      <c r="D130" s="13">
        <v>0</v>
      </c>
      <c r="E130" s="13">
        <f t="shared" si="37"/>
        <v>6.52</v>
      </c>
      <c r="F130" s="13">
        <f t="shared" si="20"/>
        <v>821.51999999999987</v>
      </c>
      <c r="G130" s="13">
        <f t="shared" si="39"/>
        <v>15</v>
      </c>
      <c r="H130" s="13">
        <f t="shared" si="38"/>
        <v>21.52</v>
      </c>
      <c r="I130" s="13">
        <f t="shared" si="21"/>
        <v>799.99999999999989</v>
      </c>
    </row>
    <row r="131" spans="1:9" ht="15.75" thickBot="1" x14ac:dyDescent="0.3">
      <c r="A131" s="9"/>
      <c r="B131" s="16"/>
      <c r="C131" s="17"/>
      <c r="D131" s="15">
        <f t="shared" ref="D131" si="40">SUM(D119:D130)</f>
        <v>0</v>
      </c>
      <c r="E131" s="15">
        <f t="shared" ref="E131" si="41">SUM(E119:E130)</f>
        <v>86.16</v>
      </c>
      <c r="F131" s="17"/>
      <c r="G131" s="15">
        <f>SUM(G119:G130)</f>
        <v>180</v>
      </c>
      <c r="H131" s="15">
        <f t="shared" ref="H131" si="42">SUM(H119:H130)</f>
        <v>266.15999999999997</v>
      </c>
      <c r="I131" s="17"/>
    </row>
    <row r="132" spans="1:9" ht="14.45" customHeight="1" thickTop="1" x14ac:dyDescent="0.25">
      <c r="A132" s="694" t="s">
        <v>62</v>
      </c>
      <c r="B132" s="12">
        <v>48305</v>
      </c>
      <c r="C132" s="13">
        <f>I130</f>
        <v>799.99999999999989</v>
      </c>
      <c r="D132" s="13">
        <v>0</v>
      </c>
      <c r="E132" s="13">
        <f t="shared" ref="E132:E143" si="43">(C132+D132)*9.6%/12</f>
        <v>6.3999999999999995</v>
      </c>
      <c r="F132" s="13">
        <f t="shared" ref="F132:F143" si="44">C132+D132+E132</f>
        <v>806.39999999999986</v>
      </c>
      <c r="G132" s="13">
        <v>16</v>
      </c>
      <c r="H132" s="13">
        <f t="shared" ref="H132:H143" si="45">E132+G132</f>
        <v>22.4</v>
      </c>
      <c r="I132" s="13">
        <f t="shared" ref="I132:I143" si="46">F132-H132</f>
        <v>783.99999999999989</v>
      </c>
    </row>
    <row r="133" spans="1:9" ht="15" x14ac:dyDescent="0.25">
      <c r="A133" s="695"/>
      <c r="B133" s="12">
        <v>48335</v>
      </c>
      <c r="C133" s="13">
        <f t="shared" ref="C133:C143" si="47">I132</f>
        <v>783.99999999999989</v>
      </c>
      <c r="D133" s="13">
        <v>0</v>
      </c>
      <c r="E133" s="13">
        <f t="shared" si="43"/>
        <v>6.2719999999999994</v>
      </c>
      <c r="F133" s="13">
        <f t="shared" si="44"/>
        <v>790.27199999999993</v>
      </c>
      <c r="G133" s="13">
        <f>G132</f>
        <v>16</v>
      </c>
      <c r="H133" s="13">
        <f t="shared" si="45"/>
        <v>22.271999999999998</v>
      </c>
      <c r="I133" s="13">
        <f t="shared" si="46"/>
        <v>767.99999999999989</v>
      </c>
    </row>
    <row r="134" spans="1:9" ht="15" x14ac:dyDescent="0.25">
      <c r="A134" s="695"/>
      <c r="B134" s="12">
        <v>48366</v>
      </c>
      <c r="C134" s="13">
        <f t="shared" si="47"/>
        <v>767.99999999999989</v>
      </c>
      <c r="D134" s="13">
        <v>0</v>
      </c>
      <c r="E134" s="13">
        <f t="shared" si="43"/>
        <v>6.1439999999999992</v>
      </c>
      <c r="F134" s="13">
        <f t="shared" si="44"/>
        <v>774.14399999999989</v>
      </c>
      <c r="G134" s="13">
        <f t="shared" ref="G134:G143" si="48">G133</f>
        <v>16</v>
      </c>
      <c r="H134" s="13">
        <f t="shared" si="45"/>
        <v>22.143999999999998</v>
      </c>
      <c r="I134" s="13">
        <f t="shared" si="46"/>
        <v>751.99999999999989</v>
      </c>
    </row>
    <row r="135" spans="1:9" ht="15" x14ac:dyDescent="0.25">
      <c r="A135" s="695"/>
      <c r="B135" s="12">
        <v>48396</v>
      </c>
      <c r="C135" s="13">
        <f t="shared" si="47"/>
        <v>751.99999999999989</v>
      </c>
      <c r="D135" s="13">
        <v>0</v>
      </c>
      <c r="E135" s="13">
        <f t="shared" si="43"/>
        <v>6.0159999999999991</v>
      </c>
      <c r="F135" s="13">
        <f t="shared" si="44"/>
        <v>758.01599999999985</v>
      </c>
      <c r="G135" s="13">
        <f t="shared" si="48"/>
        <v>16</v>
      </c>
      <c r="H135" s="13">
        <f t="shared" si="45"/>
        <v>22.015999999999998</v>
      </c>
      <c r="I135" s="13">
        <f t="shared" si="46"/>
        <v>735.99999999999989</v>
      </c>
    </row>
    <row r="136" spans="1:9" ht="15" x14ac:dyDescent="0.25">
      <c r="A136" s="695"/>
      <c r="B136" s="12">
        <v>48427</v>
      </c>
      <c r="C136" s="13">
        <f t="shared" si="47"/>
        <v>735.99999999999989</v>
      </c>
      <c r="D136" s="13">
        <v>0</v>
      </c>
      <c r="E136" s="13">
        <f t="shared" si="43"/>
        <v>5.887999999999999</v>
      </c>
      <c r="F136" s="13">
        <f t="shared" si="44"/>
        <v>741.88799999999992</v>
      </c>
      <c r="G136" s="13">
        <f t="shared" si="48"/>
        <v>16</v>
      </c>
      <c r="H136" s="13">
        <f t="shared" si="45"/>
        <v>21.887999999999998</v>
      </c>
      <c r="I136" s="13">
        <f t="shared" si="46"/>
        <v>719.99999999999989</v>
      </c>
    </row>
    <row r="137" spans="1:9" ht="15" x14ac:dyDescent="0.25">
      <c r="A137" s="695"/>
      <c r="B137" s="12">
        <v>48458</v>
      </c>
      <c r="C137" s="13">
        <f t="shared" si="47"/>
        <v>719.99999999999989</v>
      </c>
      <c r="D137" s="13">
        <v>0</v>
      </c>
      <c r="E137" s="13">
        <f t="shared" si="43"/>
        <v>5.7599999999999989</v>
      </c>
      <c r="F137" s="13">
        <f t="shared" si="44"/>
        <v>725.75999999999988</v>
      </c>
      <c r="G137" s="13">
        <f t="shared" si="48"/>
        <v>16</v>
      </c>
      <c r="H137" s="13">
        <f t="shared" si="45"/>
        <v>21.759999999999998</v>
      </c>
      <c r="I137" s="13">
        <f t="shared" si="46"/>
        <v>703.99999999999989</v>
      </c>
    </row>
    <row r="138" spans="1:9" ht="15" x14ac:dyDescent="0.25">
      <c r="A138" s="695"/>
      <c r="B138" s="12">
        <v>48488</v>
      </c>
      <c r="C138" s="13">
        <f t="shared" si="47"/>
        <v>703.99999999999989</v>
      </c>
      <c r="D138" s="13">
        <v>0</v>
      </c>
      <c r="E138" s="13">
        <f t="shared" si="43"/>
        <v>5.6319999999999988</v>
      </c>
      <c r="F138" s="13">
        <f t="shared" si="44"/>
        <v>709.63199999999983</v>
      </c>
      <c r="G138" s="13">
        <f t="shared" si="48"/>
        <v>16</v>
      </c>
      <c r="H138" s="13">
        <f t="shared" si="45"/>
        <v>21.631999999999998</v>
      </c>
      <c r="I138" s="13">
        <f t="shared" si="46"/>
        <v>687.99999999999989</v>
      </c>
    </row>
    <row r="139" spans="1:9" ht="15" x14ac:dyDescent="0.25">
      <c r="A139" s="695"/>
      <c r="B139" s="12">
        <v>48519</v>
      </c>
      <c r="C139" s="13">
        <f t="shared" si="47"/>
        <v>687.99999999999989</v>
      </c>
      <c r="D139" s="13">
        <v>0</v>
      </c>
      <c r="E139" s="13">
        <f t="shared" si="43"/>
        <v>5.5039999999999987</v>
      </c>
      <c r="F139" s="13">
        <f t="shared" si="44"/>
        <v>693.50399999999991</v>
      </c>
      <c r="G139" s="13">
        <f t="shared" si="48"/>
        <v>16</v>
      </c>
      <c r="H139" s="13">
        <f t="shared" si="45"/>
        <v>21.503999999999998</v>
      </c>
      <c r="I139" s="13">
        <f t="shared" si="46"/>
        <v>671.99999999999989</v>
      </c>
    </row>
    <row r="140" spans="1:9" ht="15" x14ac:dyDescent="0.25">
      <c r="A140" s="695"/>
      <c r="B140" s="12">
        <v>48549</v>
      </c>
      <c r="C140" s="13">
        <f t="shared" si="47"/>
        <v>671.99999999999989</v>
      </c>
      <c r="D140" s="13">
        <v>0</v>
      </c>
      <c r="E140" s="13">
        <f t="shared" si="43"/>
        <v>5.3759999999999986</v>
      </c>
      <c r="F140" s="13">
        <f t="shared" si="44"/>
        <v>677.37599999999986</v>
      </c>
      <c r="G140" s="13">
        <f t="shared" si="48"/>
        <v>16</v>
      </c>
      <c r="H140" s="13">
        <f t="shared" si="45"/>
        <v>21.375999999999998</v>
      </c>
      <c r="I140" s="13">
        <f t="shared" si="46"/>
        <v>655.99999999999989</v>
      </c>
    </row>
    <row r="141" spans="1:9" ht="15" x14ac:dyDescent="0.25">
      <c r="A141" s="695"/>
      <c r="B141" s="12">
        <v>48580</v>
      </c>
      <c r="C141" s="13">
        <f t="shared" si="47"/>
        <v>655.99999999999989</v>
      </c>
      <c r="D141" s="13">
        <v>0</v>
      </c>
      <c r="E141" s="13">
        <f t="shared" si="43"/>
        <v>5.2479999999999993</v>
      </c>
      <c r="F141" s="13">
        <f t="shared" si="44"/>
        <v>661.24799999999993</v>
      </c>
      <c r="G141" s="13">
        <f t="shared" si="48"/>
        <v>16</v>
      </c>
      <c r="H141" s="13">
        <f t="shared" si="45"/>
        <v>21.247999999999998</v>
      </c>
      <c r="I141" s="13">
        <f t="shared" si="46"/>
        <v>639.99999999999989</v>
      </c>
    </row>
    <row r="142" spans="1:9" ht="15" x14ac:dyDescent="0.25">
      <c r="A142" s="695"/>
      <c r="B142" s="12">
        <v>48611</v>
      </c>
      <c r="C142" s="13">
        <f t="shared" si="47"/>
        <v>639.99999999999989</v>
      </c>
      <c r="D142" s="13">
        <v>0</v>
      </c>
      <c r="E142" s="13">
        <f t="shared" si="43"/>
        <v>5.1199999999999992</v>
      </c>
      <c r="F142" s="13">
        <f t="shared" si="44"/>
        <v>645.11999999999989</v>
      </c>
      <c r="G142" s="13">
        <f t="shared" si="48"/>
        <v>16</v>
      </c>
      <c r="H142" s="13">
        <f t="shared" si="45"/>
        <v>21.119999999999997</v>
      </c>
      <c r="I142" s="13">
        <f t="shared" si="46"/>
        <v>623.99999999999989</v>
      </c>
    </row>
    <row r="143" spans="1:9" ht="15" x14ac:dyDescent="0.25">
      <c r="A143" s="696"/>
      <c r="B143" s="12">
        <v>48639</v>
      </c>
      <c r="C143" s="13">
        <f t="shared" si="47"/>
        <v>623.99999999999989</v>
      </c>
      <c r="D143" s="13">
        <v>0</v>
      </c>
      <c r="E143" s="13">
        <f t="shared" si="43"/>
        <v>4.9919999999999991</v>
      </c>
      <c r="F143" s="13">
        <f t="shared" si="44"/>
        <v>628.99199999999985</v>
      </c>
      <c r="G143" s="13">
        <f t="shared" si="48"/>
        <v>16</v>
      </c>
      <c r="H143" s="13">
        <f t="shared" si="45"/>
        <v>20.991999999999997</v>
      </c>
      <c r="I143" s="13">
        <f t="shared" si="46"/>
        <v>607.99999999999989</v>
      </c>
    </row>
    <row r="144" spans="1:9" ht="15.75" thickBot="1" x14ac:dyDescent="0.3">
      <c r="A144" s="9"/>
      <c r="B144" s="16"/>
      <c r="C144" s="17"/>
      <c r="D144" s="15">
        <f t="shared" ref="D144" si="49">SUM(D132:D143)</f>
        <v>0</v>
      </c>
      <c r="E144" s="15">
        <f t="shared" ref="E144" si="50">SUM(E132:E143)</f>
        <v>68.35199999999999</v>
      </c>
      <c r="F144" s="17"/>
      <c r="G144" s="15">
        <f>SUM(G132:G143)</f>
        <v>192</v>
      </c>
      <c r="H144" s="15">
        <f t="shared" ref="H144" si="51">SUM(H132:H143)</f>
        <v>260.35199999999998</v>
      </c>
      <c r="I144" s="17"/>
    </row>
    <row r="145" spans="1:9" ht="14.45" customHeight="1" thickTop="1" x14ac:dyDescent="0.25">
      <c r="A145" s="694" t="s">
        <v>63</v>
      </c>
      <c r="B145" s="12">
        <v>48670</v>
      </c>
      <c r="C145" s="13">
        <f>I143</f>
        <v>607.99999999999989</v>
      </c>
      <c r="D145" s="13">
        <v>0</v>
      </c>
      <c r="E145" s="13">
        <f t="shared" ref="E145:E156" si="52">(C145+D145)*9.6%/12</f>
        <v>4.863999999999999</v>
      </c>
      <c r="F145" s="13">
        <f t="shared" ref="F145:F156" si="53">C145+D145+E145</f>
        <v>612.86399999999992</v>
      </c>
      <c r="G145" s="13">
        <v>17</v>
      </c>
      <c r="H145" s="13">
        <f t="shared" ref="H145:H156" si="54">E145+G145</f>
        <v>21.863999999999997</v>
      </c>
      <c r="I145" s="13">
        <f t="shared" ref="I145:I156" si="55">F145-H145</f>
        <v>590.99999999999989</v>
      </c>
    </row>
    <row r="146" spans="1:9" ht="15" x14ac:dyDescent="0.25">
      <c r="A146" s="695"/>
      <c r="B146" s="12">
        <v>48700</v>
      </c>
      <c r="C146" s="13">
        <f t="shared" ref="C146:C156" si="56">I145</f>
        <v>590.99999999999989</v>
      </c>
      <c r="D146" s="13">
        <v>0</v>
      </c>
      <c r="E146" s="13">
        <f t="shared" si="52"/>
        <v>4.7279999999999989</v>
      </c>
      <c r="F146" s="13">
        <f t="shared" si="53"/>
        <v>595.72799999999984</v>
      </c>
      <c r="G146" s="13">
        <f>G145</f>
        <v>17</v>
      </c>
      <c r="H146" s="13">
        <f t="shared" si="54"/>
        <v>21.727999999999998</v>
      </c>
      <c r="I146" s="13">
        <f t="shared" si="55"/>
        <v>573.99999999999989</v>
      </c>
    </row>
    <row r="147" spans="1:9" ht="15" x14ac:dyDescent="0.25">
      <c r="A147" s="695"/>
      <c r="B147" s="12">
        <v>48731</v>
      </c>
      <c r="C147" s="13">
        <f t="shared" si="56"/>
        <v>573.99999999999989</v>
      </c>
      <c r="D147" s="13">
        <v>0</v>
      </c>
      <c r="E147" s="13">
        <f t="shared" si="52"/>
        <v>4.5919999999999996</v>
      </c>
      <c r="F147" s="13">
        <f t="shared" si="53"/>
        <v>578.59199999999987</v>
      </c>
      <c r="G147" s="13">
        <f t="shared" ref="G147:G156" si="57">G146</f>
        <v>17</v>
      </c>
      <c r="H147" s="13">
        <f t="shared" si="54"/>
        <v>21.591999999999999</v>
      </c>
      <c r="I147" s="13">
        <f t="shared" si="55"/>
        <v>556.99999999999989</v>
      </c>
    </row>
    <row r="148" spans="1:9" ht="15" x14ac:dyDescent="0.25">
      <c r="A148" s="695"/>
      <c r="B148" s="12">
        <v>48761</v>
      </c>
      <c r="C148" s="13">
        <f t="shared" si="56"/>
        <v>556.99999999999989</v>
      </c>
      <c r="D148" s="13">
        <v>0</v>
      </c>
      <c r="E148" s="13">
        <f t="shared" si="52"/>
        <v>4.4559999999999986</v>
      </c>
      <c r="F148" s="13">
        <f t="shared" si="53"/>
        <v>561.4559999999999</v>
      </c>
      <c r="G148" s="13">
        <f t="shared" si="57"/>
        <v>17</v>
      </c>
      <c r="H148" s="13">
        <f t="shared" si="54"/>
        <v>21.456</v>
      </c>
      <c r="I148" s="13">
        <f t="shared" si="55"/>
        <v>539.99999999999989</v>
      </c>
    </row>
    <row r="149" spans="1:9" ht="15" x14ac:dyDescent="0.25">
      <c r="A149" s="695"/>
      <c r="B149" s="12">
        <v>48792</v>
      </c>
      <c r="C149" s="13">
        <f t="shared" si="56"/>
        <v>539.99999999999989</v>
      </c>
      <c r="D149" s="13">
        <v>0</v>
      </c>
      <c r="E149" s="13">
        <f t="shared" si="52"/>
        <v>4.3199999999999994</v>
      </c>
      <c r="F149" s="13">
        <f t="shared" si="53"/>
        <v>544.31999999999994</v>
      </c>
      <c r="G149" s="13">
        <f t="shared" si="57"/>
        <v>17</v>
      </c>
      <c r="H149" s="13">
        <f t="shared" si="54"/>
        <v>21.32</v>
      </c>
      <c r="I149" s="13">
        <f t="shared" si="55"/>
        <v>522.99999999999989</v>
      </c>
    </row>
    <row r="150" spans="1:9" ht="15" x14ac:dyDescent="0.25">
      <c r="A150" s="695"/>
      <c r="B150" s="12">
        <v>48823</v>
      </c>
      <c r="C150" s="13">
        <f t="shared" si="56"/>
        <v>522.99999999999989</v>
      </c>
      <c r="D150" s="13">
        <v>0</v>
      </c>
      <c r="E150" s="13">
        <f t="shared" si="52"/>
        <v>4.1839999999999993</v>
      </c>
      <c r="F150" s="13">
        <f t="shared" si="53"/>
        <v>527.18399999999986</v>
      </c>
      <c r="G150" s="13">
        <f t="shared" si="57"/>
        <v>17</v>
      </c>
      <c r="H150" s="13">
        <f t="shared" si="54"/>
        <v>21.183999999999997</v>
      </c>
      <c r="I150" s="13">
        <f t="shared" si="55"/>
        <v>505.99999999999989</v>
      </c>
    </row>
    <row r="151" spans="1:9" ht="15" x14ac:dyDescent="0.25">
      <c r="A151" s="695"/>
      <c r="B151" s="12">
        <v>48853</v>
      </c>
      <c r="C151" s="13">
        <f t="shared" si="56"/>
        <v>505.99999999999989</v>
      </c>
      <c r="D151" s="13">
        <v>0</v>
      </c>
      <c r="E151" s="13">
        <f t="shared" si="52"/>
        <v>4.0479999999999992</v>
      </c>
      <c r="F151" s="13">
        <f t="shared" si="53"/>
        <v>510.04799999999989</v>
      </c>
      <c r="G151" s="13">
        <f t="shared" si="57"/>
        <v>17</v>
      </c>
      <c r="H151" s="13">
        <f t="shared" si="54"/>
        <v>21.047999999999998</v>
      </c>
      <c r="I151" s="13">
        <f t="shared" si="55"/>
        <v>488.99999999999989</v>
      </c>
    </row>
    <row r="152" spans="1:9" ht="15" x14ac:dyDescent="0.25">
      <c r="A152" s="695"/>
      <c r="B152" s="12">
        <v>48884</v>
      </c>
      <c r="C152" s="13">
        <f t="shared" si="56"/>
        <v>488.99999999999989</v>
      </c>
      <c r="D152" s="13">
        <v>0</v>
      </c>
      <c r="E152" s="13">
        <f t="shared" si="52"/>
        <v>3.911999999999999</v>
      </c>
      <c r="F152" s="13">
        <f t="shared" si="53"/>
        <v>492.91199999999986</v>
      </c>
      <c r="G152" s="13">
        <f t="shared" si="57"/>
        <v>17</v>
      </c>
      <c r="H152" s="13">
        <f t="shared" si="54"/>
        <v>20.911999999999999</v>
      </c>
      <c r="I152" s="13">
        <f t="shared" si="55"/>
        <v>471.99999999999989</v>
      </c>
    </row>
    <row r="153" spans="1:9" ht="15" x14ac:dyDescent="0.25">
      <c r="A153" s="695"/>
      <c r="B153" s="12">
        <v>48914</v>
      </c>
      <c r="C153" s="13">
        <f t="shared" si="56"/>
        <v>471.99999999999989</v>
      </c>
      <c r="D153" s="13">
        <v>0</v>
      </c>
      <c r="E153" s="13">
        <f t="shared" si="52"/>
        <v>3.7759999999999994</v>
      </c>
      <c r="F153" s="13">
        <f t="shared" si="53"/>
        <v>475.7759999999999</v>
      </c>
      <c r="G153" s="13">
        <f t="shared" si="57"/>
        <v>17</v>
      </c>
      <c r="H153" s="13">
        <f t="shared" si="54"/>
        <v>20.776</v>
      </c>
      <c r="I153" s="13">
        <f t="shared" si="55"/>
        <v>454.99999999999989</v>
      </c>
    </row>
    <row r="154" spans="1:9" ht="15" x14ac:dyDescent="0.25">
      <c r="A154" s="695"/>
      <c r="B154" s="12">
        <v>48945</v>
      </c>
      <c r="C154" s="13">
        <f t="shared" si="56"/>
        <v>454.99999999999989</v>
      </c>
      <c r="D154" s="13">
        <v>0</v>
      </c>
      <c r="E154" s="13">
        <f t="shared" si="52"/>
        <v>3.6399999999999992</v>
      </c>
      <c r="F154" s="13">
        <f t="shared" si="53"/>
        <v>458.63999999999987</v>
      </c>
      <c r="G154" s="13">
        <f t="shared" si="57"/>
        <v>17</v>
      </c>
      <c r="H154" s="13">
        <f t="shared" si="54"/>
        <v>20.64</v>
      </c>
      <c r="I154" s="13">
        <f t="shared" si="55"/>
        <v>437.99999999999989</v>
      </c>
    </row>
    <row r="155" spans="1:9" ht="15" x14ac:dyDescent="0.25">
      <c r="A155" s="695"/>
      <c r="B155" s="12">
        <v>48976</v>
      </c>
      <c r="C155" s="13">
        <f t="shared" si="56"/>
        <v>437.99999999999989</v>
      </c>
      <c r="D155" s="13">
        <v>0</v>
      </c>
      <c r="E155" s="13">
        <f t="shared" si="52"/>
        <v>3.5039999999999991</v>
      </c>
      <c r="F155" s="13">
        <f t="shared" si="53"/>
        <v>441.50399999999991</v>
      </c>
      <c r="G155" s="13">
        <f t="shared" si="57"/>
        <v>17</v>
      </c>
      <c r="H155" s="13">
        <f t="shared" si="54"/>
        <v>20.503999999999998</v>
      </c>
      <c r="I155" s="13">
        <f t="shared" si="55"/>
        <v>420.99999999999989</v>
      </c>
    </row>
    <row r="156" spans="1:9" ht="15" x14ac:dyDescent="0.25">
      <c r="A156" s="696"/>
      <c r="B156" s="12">
        <v>49004</v>
      </c>
      <c r="C156" s="13">
        <f t="shared" si="56"/>
        <v>420.99999999999989</v>
      </c>
      <c r="D156" s="13">
        <v>0</v>
      </c>
      <c r="E156" s="13">
        <f t="shared" si="52"/>
        <v>3.367999999999999</v>
      </c>
      <c r="F156" s="13">
        <f t="shared" si="53"/>
        <v>424.36799999999988</v>
      </c>
      <c r="G156" s="13">
        <f t="shared" si="57"/>
        <v>17</v>
      </c>
      <c r="H156" s="13">
        <f t="shared" si="54"/>
        <v>20.367999999999999</v>
      </c>
      <c r="I156" s="13">
        <f t="shared" si="55"/>
        <v>403.99999999999989</v>
      </c>
    </row>
    <row r="157" spans="1:9" ht="15.75" thickBot="1" x14ac:dyDescent="0.3">
      <c r="A157" s="9"/>
      <c r="B157" s="16"/>
      <c r="C157" s="17"/>
      <c r="D157" s="15">
        <f t="shared" ref="D157" si="58">SUM(D145:D156)</f>
        <v>0</v>
      </c>
      <c r="E157" s="15">
        <f t="shared" ref="E157" si="59">SUM(E145:E156)</f>
        <v>49.391999999999996</v>
      </c>
      <c r="F157" s="17"/>
      <c r="G157" s="15">
        <f>SUM(G145:G156)</f>
        <v>204</v>
      </c>
      <c r="H157" s="15">
        <f t="shared" ref="H157" si="60">SUM(H145:H156)</f>
        <v>253.39200000000002</v>
      </c>
      <c r="I157" s="17"/>
    </row>
    <row r="158" spans="1:9" ht="14.45" customHeight="1" thickTop="1" x14ac:dyDescent="0.25">
      <c r="A158" s="694" t="s">
        <v>64</v>
      </c>
      <c r="B158" s="12">
        <v>49035</v>
      </c>
      <c r="C158" s="13">
        <f>I156</f>
        <v>403.99999999999989</v>
      </c>
      <c r="D158" s="13">
        <v>0</v>
      </c>
      <c r="E158" s="13">
        <f t="shared" ref="E158:E169" si="61">(C158+D158)*9.6%/12</f>
        <v>3.2319999999999993</v>
      </c>
      <c r="F158" s="13">
        <f t="shared" ref="F158:F169" si="62">C158+D158+E158</f>
        <v>407.23199999999986</v>
      </c>
      <c r="G158" s="13">
        <v>17</v>
      </c>
      <c r="H158" s="13">
        <f t="shared" ref="H158:H169" si="63">E158+G158</f>
        <v>20.231999999999999</v>
      </c>
      <c r="I158" s="13">
        <f t="shared" ref="I158:I169" si="64">F158-H158</f>
        <v>386.99999999999989</v>
      </c>
    </row>
    <row r="159" spans="1:9" ht="15" x14ac:dyDescent="0.25">
      <c r="A159" s="695"/>
      <c r="B159" s="12">
        <v>49065</v>
      </c>
      <c r="C159" s="13">
        <f t="shared" ref="C159:C169" si="65">I158</f>
        <v>386.99999999999989</v>
      </c>
      <c r="D159" s="13">
        <v>0</v>
      </c>
      <c r="E159" s="13">
        <f t="shared" si="61"/>
        <v>3.0959999999999988</v>
      </c>
      <c r="F159" s="13">
        <f t="shared" si="62"/>
        <v>390.09599999999989</v>
      </c>
      <c r="G159" s="13">
        <f>G158</f>
        <v>17</v>
      </c>
      <c r="H159" s="13">
        <f t="shared" si="63"/>
        <v>20.096</v>
      </c>
      <c r="I159" s="13">
        <f t="shared" si="64"/>
        <v>369.99999999999989</v>
      </c>
    </row>
    <row r="160" spans="1:9" ht="15" x14ac:dyDescent="0.25">
      <c r="A160" s="695"/>
      <c r="B160" s="12">
        <v>49096</v>
      </c>
      <c r="C160" s="13">
        <f t="shared" si="65"/>
        <v>369.99999999999989</v>
      </c>
      <c r="D160" s="13">
        <v>0</v>
      </c>
      <c r="E160" s="13">
        <f t="shared" si="61"/>
        <v>2.9599999999999991</v>
      </c>
      <c r="F160" s="13">
        <f t="shared" si="62"/>
        <v>372.95999999999987</v>
      </c>
      <c r="G160" s="13">
        <f t="shared" ref="G160:G169" si="66">G159</f>
        <v>17</v>
      </c>
      <c r="H160" s="13">
        <f t="shared" si="63"/>
        <v>19.96</v>
      </c>
      <c r="I160" s="13">
        <f t="shared" si="64"/>
        <v>352.99999999999989</v>
      </c>
    </row>
    <row r="161" spans="1:9" ht="15" x14ac:dyDescent="0.25">
      <c r="A161" s="695"/>
      <c r="B161" s="12">
        <v>49126</v>
      </c>
      <c r="C161" s="13">
        <f t="shared" si="65"/>
        <v>352.99999999999989</v>
      </c>
      <c r="D161" s="13">
        <v>0</v>
      </c>
      <c r="E161" s="13">
        <f t="shared" si="61"/>
        <v>2.8239999999999994</v>
      </c>
      <c r="F161" s="13">
        <f t="shared" si="62"/>
        <v>355.8239999999999</v>
      </c>
      <c r="G161" s="13">
        <f t="shared" si="66"/>
        <v>17</v>
      </c>
      <c r="H161" s="13">
        <f t="shared" si="63"/>
        <v>19.823999999999998</v>
      </c>
      <c r="I161" s="13">
        <f t="shared" si="64"/>
        <v>335.99999999999989</v>
      </c>
    </row>
    <row r="162" spans="1:9" ht="15" x14ac:dyDescent="0.25">
      <c r="A162" s="695"/>
      <c r="B162" s="12">
        <v>49157</v>
      </c>
      <c r="C162" s="13">
        <f t="shared" si="65"/>
        <v>335.99999999999989</v>
      </c>
      <c r="D162" s="13">
        <v>0</v>
      </c>
      <c r="E162" s="13">
        <f t="shared" si="61"/>
        <v>2.6879999999999993</v>
      </c>
      <c r="F162" s="13">
        <f t="shared" si="62"/>
        <v>338.68799999999987</v>
      </c>
      <c r="G162" s="13">
        <f t="shared" si="66"/>
        <v>17</v>
      </c>
      <c r="H162" s="13">
        <f t="shared" si="63"/>
        <v>19.687999999999999</v>
      </c>
      <c r="I162" s="13">
        <f t="shared" si="64"/>
        <v>318.99999999999989</v>
      </c>
    </row>
    <row r="163" spans="1:9" ht="15" x14ac:dyDescent="0.25">
      <c r="A163" s="695"/>
      <c r="B163" s="12">
        <v>49188</v>
      </c>
      <c r="C163" s="13">
        <f t="shared" si="65"/>
        <v>318.99999999999989</v>
      </c>
      <c r="D163" s="13">
        <v>0</v>
      </c>
      <c r="E163" s="13">
        <f t="shared" si="61"/>
        <v>2.5519999999999992</v>
      </c>
      <c r="F163" s="13">
        <f t="shared" si="62"/>
        <v>321.55199999999991</v>
      </c>
      <c r="G163" s="13">
        <f t="shared" si="66"/>
        <v>17</v>
      </c>
      <c r="H163" s="13">
        <f t="shared" si="63"/>
        <v>19.552</v>
      </c>
      <c r="I163" s="13">
        <f t="shared" si="64"/>
        <v>301.99999999999989</v>
      </c>
    </row>
    <row r="164" spans="1:9" ht="15" x14ac:dyDescent="0.25">
      <c r="A164" s="695"/>
      <c r="B164" s="12">
        <v>49218</v>
      </c>
      <c r="C164" s="13">
        <f t="shared" si="65"/>
        <v>301.99999999999989</v>
      </c>
      <c r="D164" s="13">
        <v>0</v>
      </c>
      <c r="E164" s="13">
        <f t="shared" si="61"/>
        <v>2.415999999999999</v>
      </c>
      <c r="F164" s="13">
        <f t="shared" si="62"/>
        <v>304.41599999999988</v>
      </c>
      <c r="G164" s="13">
        <f t="shared" si="66"/>
        <v>17</v>
      </c>
      <c r="H164" s="13">
        <f t="shared" si="63"/>
        <v>19.416</v>
      </c>
      <c r="I164" s="13">
        <f t="shared" si="64"/>
        <v>284.99999999999989</v>
      </c>
    </row>
    <row r="165" spans="1:9" ht="15" x14ac:dyDescent="0.25">
      <c r="A165" s="695"/>
      <c r="B165" s="12">
        <v>49249</v>
      </c>
      <c r="C165" s="13">
        <f t="shared" si="65"/>
        <v>284.99999999999989</v>
      </c>
      <c r="D165" s="13">
        <v>0</v>
      </c>
      <c r="E165" s="13">
        <f t="shared" si="61"/>
        <v>2.2799999999999989</v>
      </c>
      <c r="F165" s="13">
        <f t="shared" si="62"/>
        <v>287.27999999999986</v>
      </c>
      <c r="G165" s="13">
        <f t="shared" si="66"/>
        <v>17</v>
      </c>
      <c r="H165" s="13">
        <f t="shared" si="63"/>
        <v>19.279999999999998</v>
      </c>
      <c r="I165" s="13">
        <f t="shared" si="64"/>
        <v>267.99999999999989</v>
      </c>
    </row>
    <row r="166" spans="1:9" ht="15" x14ac:dyDescent="0.25">
      <c r="A166" s="695"/>
      <c r="B166" s="12">
        <v>49279</v>
      </c>
      <c r="C166" s="13">
        <f t="shared" si="65"/>
        <v>267.99999999999989</v>
      </c>
      <c r="D166" s="13">
        <v>0</v>
      </c>
      <c r="E166" s="13">
        <f t="shared" si="61"/>
        <v>2.1439999999999992</v>
      </c>
      <c r="F166" s="13">
        <f t="shared" si="62"/>
        <v>270.14399999999989</v>
      </c>
      <c r="G166" s="13">
        <f t="shared" si="66"/>
        <v>17</v>
      </c>
      <c r="H166" s="13">
        <f t="shared" si="63"/>
        <v>19.143999999999998</v>
      </c>
      <c r="I166" s="13">
        <f t="shared" si="64"/>
        <v>250.99999999999989</v>
      </c>
    </row>
    <row r="167" spans="1:9" ht="15" x14ac:dyDescent="0.25">
      <c r="A167" s="695"/>
      <c r="B167" s="12">
        <v>49310</v>
      </c>
      <c r="C167" s="13">
        <f t="shared" si="65"/>
        <v>250.99999999999989</v>
      </c>
      <c r="D167" s="13">
        <v>0</v>
      </c>
      <c r="E167" s="13">
        <f t="shared" si="61"/>
        <v>2.0079999999999991</v>
      </c>
      <c r="F167" s="13">
        <f t="shared" si="62"/>
        <v>253.0079999999999</v>
      </c>
      <c r="G167" s="13">
        <f t="shared" si="66"/>
        <v>17</v>
      </c>
      <c r="H167" s="13">
        <f t="shared" si="63"/>
        <v>19.007999999999999</v>
      </c>
      <c r="I167" s="13">
        <f t="shared" si="64"/>
        <v>233.99999999999989</v>
      </c>
    </row>
    <row r="168" spans="1:9" ht="15" x14ac:dyDescent="0.25">
      <c r="A168" s="695"/>
      <c r="B168" s="12">
        <v>49341</v>
      </c>
      <c r="C168" s="13">
        <f t="shared" si="65"/>
        <v>233.99999999999989</v>
      </c>
      <c r="D168" s="13">
        <v>0</v>
      </c>
      <c r="E168" s="13">
        <f t="shared" si="61"/>
        <v>1.871999999999999</v>
      </c>
      <c r="F168" s="13">
        <f t="shared" si="62"/>
        <v>235.87199999999987</v>
      </c>
      <c r="G168" s="13">
        <f t="shared" si="66"/>
        <v>17</v>
      </c>
      <c r="H168" s="13">
        <f t="shared" si="63"/>
        <v>18.872</v>
      </c>
      <c r="I168" s="13">
        <f t="shared" si="64"/>
        <v>216.99999999999989</v>
      </c>
    </row>
    <row r="169" spans="1:9" ht="15" x14ac:dyDescent="0.25">
      <c r="A169" s="696"/>
      <c r="B169" s="12">
        <v>49369</v>
      </c>
      <c r="C169" s="13">
        <f t="shared" si="65"/>
        <v>216.99999999999989</v>
      </c>
      <c r="D169" s="13">
        <v>0</v>
      </c>
      <c r="E169" s="13">
        <f t="shared" si="61"/>
        <v>1.7359999999999991</v>
      </c>
      <c r="F169" s="13">
        <f t="shared" si="62"/>
        <v>218.73599999999988</v>
      </c>
      <c r="G169" s="13">
        <f t="shared" si="66"/>
        <v>17</v>
      </c>
      <c r="H169" s="13">
        <f t="shared" si="63"/>
        <v>18.736000000000001</v>
      </c>
      <c r="I169" s="13">
        <f t="shared" si="64"/>
        <v>199.99999999999989</v>
      </c>
    </row>
    <row r="170" spans="1:9" ht="15.75" thickBot="1" x14ac:dyDescent="0.3">
      <c r="A170" s="9"/>
      <c r="B170" s="16"/>
      <c r="C170" s="17"/>
      <c r="D170" s="15">
        <f t="shared" ref="D170" si="67">SUM(D158:D169)</f>
        <v>0</v>
      </c>
      <c r="E170" s="15">
        <f t="shared" ref="E170" si="68">SUM(E158:E169)</f>
        <v>29.807999999999989</v>
      </c>
      <c r="F170" s="17"/>
      <c r="G170" s="15">
        <f>SUM(G158:G169)</f>
        <v>204</v>
      </c>
      <c r="H170" s="15">
        <f t="shared" ref="H170" si="69">SUM(H158:H169)</f>
        <v>233.80799999999999</v>
      </c>
      <c r="I170" s="17"/>
    </row>
    <row r="171" spans="1:9" ht="14.45" customHeight="1" thickTop="1" x14ac:dyDescent="0.25">
      <c r="A171" s="694" t="s">
        <v>65</v>
      </c>
      <c r="B171" s="12">
        <v>49400</v>
      </c>
      <c r="C171" s="13">
        <f>I169</f>
        <v>199.99999999999989</v>
      </c>
      <c r="D171" s="13">
        <v>0</v>
      </c>
      <c r="E171" s="13">
        <f t="shared" ref="E171:E181" si="70">(C171+D171)*9.6%/12</f>
        <v>1.599999999999999</v>
      </c>
      <c r="F171" s="13">
        <f t="shared" ref="F171:F181" si="71">C171+D171+E171</f>
        <v>201.59999999999988</v>
      </c>
      <c r="G171" s="13">
        <v>18</v>
      </c>
      <c r="H171" s="13">
        <f t="shared" ref="H171:H181" si="72">E171+G171</f>
        <v>19.599999999999998</v>
      </c>
      <c r="I171" s="13">
        <f t="shared" ref="I171:I181" si="73">F171-H171</f>
        <v>181.99999999999989</v>
      </c>
    </row>
    <row r="172" spans="1:9" ht="15" x14ac:dyDescent="0.25">
      <c r="A172" s="695"/>
      <c r="B172" s="12">
        <v>49430</v>
      </c>
      <c r="C172" s="13">
        <f t="shared" ref="C172:C181" si="74">I171</f>
        <v>181.99999999999989</v>
      </c>
      <c r="D172" s="13">
        <v>0</v>
      </c>
      <c r="E172" s="13">
        <f t="shared" si="70"/>
        <v>1.4559999999999993</v>
      </c>
      <c r="F172" s="13">
        <f t="shared" si="71"/>
        <v>183.45599999999988</v>
      </c>
      <c r="G172" s="13">
        <f>G171</f>
        <v>18</v>
      </c>
      <c r="H172" s="13">
        <f t="shared" si="72"/>
        <v>19.456</v>
      </c>
      <c r="I172" s="13">
        <f t="shared" si="73"/>
        <v>163.99999999999989</v>
      </c>
    </row>
    <row r="173" spans="1:9" ht="15" x14ac:dyDescent="0.25">
      <c r="A173" s="695"/>
      <c r="B173" s="12">
        <v>49461</v>
      </c>
      <c r="C173" s="13">
        <f t="shared" si="74"/>
        <v>163.99999999999989</v>
      </c>
      <c r="D173" s="13">
        <v>0</v>
      </c>
      <c r="E173" s="13">
        <f t="shared" si="70"/>
        <v>1.3119999999999992</v>
      </c>
      <c r="F173" s="13">
        <f t="shared" si="71"/>
        <v>165.3119999999999</v>
      </c>
      <c r="G173" s="13">
        <f t="shared" ref="G173:G180" si="75">G172</f>
        <v>18</v>
      </c>
      <c r="H173" s="13">
        <f t="shared" si="72"/>
        <v>19.311999999999998</v>
      </c>
      <c r="I173" s="13">
        <f t="shared" si="73"/>
        <v>145.99999999999989</v>
      </c>
    </row>
    <row r="174" spans="1:9" ht="15" x14ac:dyDescent="0.25">
      <c r="A174" s="695"/>
      <c r="B174" s="12">
        <v>49491</v>
      </c>
      <c r="C174" s="13">
        <f t="shared" si="74"/>
        <v>145.99999999999989</v>
      </c>
      <c r="D174" s="13">
        <v>0</v>
      </c>
      <c r="E174" s="13">
        <f t="shared" si="70"/>
        <v>1.167999999999999</v>
      </c>
      <c r="F174" s="13">
        <f t="shared" si="71"/>
        <v>147.16799999999989</v>
      </c>
      <c r="G174" s="13">
        <f t="shared" si="75"/>
        <v>18</v>
      </c>
      <c r="H174" s="13">
        <f t="shared" si="72"/>
        <v>19.167999999999999</v>
      </c>
      <c r="I174" s="13">
        <f t="shared" si="73"/>
        <v>127.99999999999989</v>
      </c>
    </row>
    <row r="175" spans="1:9" ht="15" x14ac:dyDescent="0.25">
      <c r="A175" s="695"/>
      <c r="B175" s="12">
        <v>49522</v>
      </c>
      <c r="C175" s="13">
        <f t="shared" si="74"/>
        <v>127.99999999999989</v>
      </c>
      <c r="D175" s="13">
        <v>0</v>
      </c>
      <c r="E175" s="13">
        <f t="shared" si="70"/>
        <v>1.0239999999999991</v>
      </c>
      <c r="F175" s="13">
        <f t="shared" si="71"/>
        <v>129.02399999999989</v>
      </c>
      <c r="G175" s="13">
        <f t="shared" si="75"/>
        <v>18</v>
      </c>
      <c r="H175" s="13">
        <f t="shared" si="72"/>
        <v>19.024000000000001</v>
      </c>
      <c r="I175" s="13">
        <f t="shared" si="73"/>
        <v>109.99999999999989</v>
      </c>
    </row>
    <row r="176" spans="1:9" ht="15" x14ac:dyDescent="0.25">
      <c r="A176" s="695"/>
      <c r="B176" s="12">
        <v>49553</v>
      </c>
      <c r="C176" s="13">
        <f t="shared" si="74"/>
        <v>109.99999999999989</v>
      </c>
      <c r="D176" s="13">
        <v>0</v>
      </c>
      <c r="E176" s="13">
        <f t="shared" si="70"/>
        <v>0.87999999999999912</v>
      </c>
      <c r="F176" s="13">
        <f t="shared" si="71"/>
        <v>110.87999999999988</v>
      </c>
      <c r="G176" s="13">
        <f t="shared" si="75"/>
        <v>18</v>
      </c>
      <c r="H176" s="13">
        <f t="shared" si="72"/>
        <v>18.88</v>
      </c>
      <c r="I176" s="13">
        <f t="shared" si="73"/>
        <v>91.999999999999886</v>
      </c>
    </row>
    <row r="177" spans="1:9" ht="15" x14ac:dyDescent="0.25">
      <c r="A177" s="695"/>
      <c r="B177" s="12">
        <v>49583</v>
      </c>
      <c r="C177" s="13">
        <f t="shared" si="74"/>
        <v>91.999999999999886</v>
      </c>
      <c r="D177" s="13">
        <v>0</v>
      </c>
      <c r="E177" s="13">
        <f t="shared" si="70"/>
        <v>0.73599999999999921</v>
      </c>
      <c r="F177" s="13">
        <f t="shared" si="71"/>
        <v>92.735999999999891</v>
      </c>
      <c r="G177" s="13">
        <f t="shared" si="75"/>
        <v>18</v>
      </c>
      <c r="H177" s="13">
        <f t="shared" si="72"/>
        <v>18.736000000000001</v>
      </c>
      <c r="I177" s="13">
        <f t="shared" si="73"/>
        <v>73.999999999999886</v>
      </c>
    </row>
    <row r="178" spans="1:9" ht="15" x14ac:dyDescent="0.25">
      <c r="A178" s="695"/>
      <c r="B178" s="12">
        <v>49614</v>
      </c>
      <c r="C178" s="13">
        <f t="shared" si="74"/>
        <v>73.999999999999886</v>
      </c>
      <c r="D178" s="13">
        <v>0</v>
      </c>
      <c r="E178" s="13">
        <f t="shared" si="70"/>
        <v>0.59199999999999908</v>
      </c>
      <c r="F178" s="13">
        <f t="shared" si="71"/>
        <v>74.591999999999885</v>
      </c>
      <c r="G178" s="13">
        <f t="shared" si="75"/>
        <v>18</v>
      </c>
      <c r="H178" s="13">
        <f t="shared" si="72"/>
        <v>18.591999999999999</v>
      </c>
      <c r="I178" s="13">
        <f t="shared" si="73"/>
        <v>55.999999999999886</v>
      </c>
    </row>
    <row r="179" spans="1:9" ht="15" x14ac:dyDescent="0.25">
      <c r="A179" s="695"/>
      <c r="B179" s="12">
        <v>49644</v>
      </c>
      <c r="C179" s="13">
        <f t="shared" si="74"/>
        <v>55.999999999999886</v>
      </c>
      <c r="D179" s="13">
        <v>0</v>
      </c>
      <c r="E179" s="13">
        <f t="shared" si="70"/>
        <v>0.44799999999999907</v>
      </c>
      <c r="F179" s="13">
        <f t="shared" si="71"/>
        <v>56.447999999999887</v>
      </c>
      <c r="G179" s="13">
        <f t="shared" si="75"/>
        <v>18</v>
      </c>
      <c r="H179" s="13">
        <f t="shared" si="72"/>
        <v>18.448</v>
      </c>
      <c r="I179" s="13">
        <f t="shared" si="73"/>
        <v>37.999999999999886</v>
      </c>
    </row>
    <row r="180" spans="1:9" ht="15" x14ac:dyDescent="0.25">
      <c r="A180" s="695"/>
      <c r="B180" s="12">
        <v>49675</v>
      </c>
      <c r="C180" s="13">
        <f t="shared" si="74"/>
        <v>37.999999999999886</v>
      </c>
      <c r="D180" s="13">
        <v>0</v>
      </c>
      <c r="E180" s="13">
        <f t="shared" si="70"/>
        <v>0.3039999999999991</v>
      </c>
      <c r="F180" s="13">
        <f t="shared" si="71"/>
        <v>38.303999999999888</v>
      </c>
      <c r="G180" s="13">
        <f t="shared" si="75"/>
        <v>18</v>
      </c>
      <c r="H180" s="13">
        <f t="shared" si="72"/>
        <v>18.303999999999998</v>
      </c>
      <c r="I180" s="13">
        <f t="shared" si="73"/>
        <v>19.99999999999989</v>
      </c>
    </row>
    <row r="181" spans="1:9" ht="15" x14ac:dyDescent="0.25">
      <c r="A181" s="695"/>
      <c r="B181" s="12">
        <v>49706</v>
      </c>
      <c r="C181" s="13">
        <f t="shared" si="74"/>
        <v>19.99999999999989</v>
      </c>
      <c r="D181" s="13">
        <v>0</v>
      </c>
      <c r="E181" s="13">
        <f t="shared" si="70"/>
        <v>0.15999999999999912</v>
      </c>
      <c r="F181" s="13">
        <f t="shared" si="71"/>
        <v>20.15999999999989</v>
      </c>
      <c r="G181" s="13">
        <v>20</v>
      </c>
      <c r="H181" s="13">
        <f t="shared" si="72"/>
        <v>20.16</v>
      </c>
      <c r="I181" s="13">
        <f t="shared" si="73"/>
        <v>-1.1013412404281553E-13</v>
      </c>
    </row>
    <row r="182" spans="1:9" ht="15.75" thickBot="1" x14ac:dyDescent="0.3">
      <c r="A182" s="9"/>
      <c r="B182" s="16"/>
      <c r="C182" s="17"/>
      <c r="D182" s="15">
        <f>SUM(D171:D181)</f>
        <v>0</v>
      </c>
      <c r="E182" s="15">
        <f>SUM(E171:E181)</f>
        <v>9.6799999999999891</v>
      </c>
      <c r="F182" s="15">
        <f>SUM(F171:F181)</f>
        <v>1219.6799999999987</v>
      </c>
      <c r="G182" s="15">
        <f>SUM(G171:G181)</f>
        <v>200</v>
      </c>
      <c r="H182" s="15">
        <f>SUM(H171:H181)</f>
        <v>209.67999999999998</v>
      </c>
      <c r="I182" s="17"/>
    </row>
    <row r="183" spans="1:9" ht="13.5" thickTop="1" x14ac:dyDescent="0.2"/>
    <row r="184" spans="1:9" ht="15" thickBot="1" x14ac:dyDescent="0.25">
      <c r="A184" s="693" t="s">
        <v>70</v>
      </c>
      <c r="B184" s="693"/>
      <c r="C184" s="693"/>
      <c r="D184" s="15">
        <f>D27+D40+D53+D66+D79+D92+D105+D118+D131+D144+D157+D170+D182</f>
        <v>1650</v>
      </c>
      <c r="E184" s="15">
        <f t="shared" ref="E184:H184" si="76">E27+E40+E53+E66+E79+E92+E105+E118+E131+E144+E157+E170+E182</f>
        <v>1087.7920000000001</v>
      </c>
      <c r="F184" s="15">
        <f t="shared" si="76"/>
        <v>1219.6799999999987</v>
      </c>
      <c r="G184" s="15">
        <f t="shared" si="76"/>
        <v>1650</v>
      </c>
      <c r="H184" s="15">
        <f t="shared" si="76"/>
        <v>2737.7919999999995</v>
      </c>
      <c r="I184" s="18"/>
    </row>
    <row r="185" spans="1:9" ht="13.5" thickTop="1" x14ac:dyDescent="0.2"/>
  </sheetData>
  <mergeCells count="21">
    <mergeCell ref="A67:A78"/>
    <mergeCell ref="A2:I2"/>
    <mergeCell ref="A5:I5"/>
    <mergeCell ref="A7:D7"/>
    <mergeCell ref="A8:D8"/>
    <mergeCell ref="A10:D10"/>
    <mergeCell ref="A12:D12"/>
    <mergeCell ref="A15:A26"/>
    <mergeCell ref="A28:A39"/>
    <mergeCell ref="A41:A52"/>
    <mergeCell ref="A54:A65"/>
    <mergeCell ref="A3:I3"/>
    <mergeCell ref="A184:C184"/>
    <mergeCell ref="A158:A169"/>
    <mergeCell ref="A171:A181"/>
    <mergeCell ref="A80:A91"/>
    <mergeCell ref="A93:A104"/>
    <mergeCell ref="A106:A117"/>
    <mergeCell ref="A119:A130"/>
    <mergeCell ref="A132:A143"/>
    <mergeCell ref="A145:A15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"/>
  <sheetViews>
    <sheetView workbookViewId="0">
      <selection activeCell="D2" sqref="D2"/>
    </sheetView>
  </sheetViews>
  <sheetFormatPr defaultRowHeight="12.75" x14ac:dyDescent="0.2"/>
  <cols>
    <col min="11" max="11" width="17.5703125" customWidth="1"/>
    <col min="12" max="12" width="17.85546875" customWidth="1"/>
    <col min="13" max="13" width="38.5703125" customWidth="1"/>
  </cols>
  <sheetData>
    <row r="2" spans="2:2" x14ac:dyDescent="0.2">
      <c r="B2" s="415" t="s">
        <v>887</v>
      </c>
    </row>
    <row r="7" spans="2:2" ht="26.25" customHeight="1" x14ac:dyDescent="0.2"/>
    <row r="8" spans="2:2" ht="26.25" customHeight="1" x14ac:dyDescent="0.2"/>
    <row r="9" spans="2:2" ht="26.25" customHeight="1" x14ac:dyDescent="0.2"/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05"/>
  <sheetViews>
    <sheetView topLeftCell="A16" workbookViewId="0">
      <selection activeCell="B19" sqref="B19"/>
    </sheetView>
  </sheetViews>
  <sheetFormatPr defaultColWidth="8.7109375" defaultRowHeight="12.75" x14ac:dyDescent="0.2"/>
  <cols>
    <col min="1" max="1" width="39.7109375" style="3" customWidth="1"/>
    <col min="2" max="2" width="8.7109375" style="4" customWidth="1"/>
    <col min="3" max="4" width="8.28515625" style="4" customWidth="1"/>
    <col min="5" max="8" width="9.85546875" style="4" customWidth="1"/>
    <col min="9" max="15" width="9.85546875" style="4" bestFit="1" customWidth="1"/>
    <col min="16" max="16384" width="8.7109375" style="3"/>
  </cols>
  <sheetData>
    <row r="4" spans="1:15" ht="15.75" x14ac:dyDescent="0.25">
      <c r="A4" s="29" t="s">
        <v>130</v>
      </c>
      <c r="B4" s="34" t="s">
        <v>134</v>
      </c>
      <c r="C4" s="34"/>
      <c r="D4" s="51"/>
      <c r="E4" s="37"/>
      <c r="F4" s="37"/>
      <c r="G4" s="37"/>
      <c r="H4" s="37"/>
      <c r="I4" s="37"/>
      <c r="J4" s="37"/>
      <c r="K4" s="37"/>
    </row>
    <row r="5" spans="1:15" ht="15.75" x14ac:dyDescent="0.25">
      <c r="A5" s="30"/>
      <c r="B5" s="35" t="s">
        <v>133</v>
      </c>
      <c r="C5" s="35"/>
      <c r="D5" s="51"/>
      <c r="E5" s="37"/>
      <c r="F5" s="37"/>
      <c r="G5" s="37"/>
      <c r="H5" s="37"/>
      <c r="I5" s="37"/>
      <c r="J5" s="37"/>
      <c r="K5" s="37"/>
    </row>
    <row r="6" spans="1:15" ht="15.75" x14ac:dyDescent="0.25">
      <c r="D6" s="51"/>
      <c r="E6" s="37"/>
      <c r="F6" s="37"/>
      <c r="G6" s="37"/>
      <c r="H6" s="37"/>
      <c r="I6" s="37"/>
      <c r="J6" s="37"/>
      <c r="K6" s="37"/>
    </row>
    <row r="7" spans="1:15" ht="16.5" thickBot="1" x14ac:dyDescent="0.3">
      <c r="A7" s="31" t="s">
        <v>4</v>
      </c>
      <c r="B7" s="36" t="str">
        <f>'P&amp;L Existing'!C5</f>
        <v>2022-23</v>
      </c>
      <c r="C7" s="36" t="str">
        <f>'P&amp;L Existing'!D5</f>
        <v>2023-24</v>
      </c>
      <c r="D7" s="36" t="str">
        <f>'P&amp;L Existing'!E5</f>
        <v>2024-25</v>
      </c>
      <c r="E7" s="36" t="str">
        <f>'P&amp;L Existing'!F5</f>
        <v>2025-26</v>
      </c>
      <c r="F7" s="36" t="str">
        <f>'P&amp;L Existing'!G5</f>
        <v>2026-27</v>
      </c>
      <c r="G7" s="36" t="str">
        <f>'P&amp;L Existing'!H5</f>
        <v>2027-28</v>
      </c>
      <c r="H7" s="36" t="str">
        <f>'P&amp;L Existing'!I5</f>
        <v>2028-29</v>
      </c>
      <c r="I7" s="36" t="str">
        <f>'P&amp;L Existing'!J5</f>
        <v>2029-30</v>
      </c>
      <c r="J7" s="36" t="str">
        <f>'P&amp;L Existing'!K5</f>
        <v>2030-31</v>
      </c>
      <c r="K7" s="36" t="str">
        <f>'P&amp;L Existing'!L5</f>
        <v>2031-32</v>
      </c>
      <c r="L7" s="36" t="str">
        <f>'P&amp;L Existing'!M5</f>
        <v>2032-33</v>
      </c>
      <c r="M7" s="36" t="str">
        <f>'P&amp;L Existing'!N5</f>
        <v>2033-34</v>
      </c>
      <c r="N7" s="36" t="str">
        <f>'P&amp;L Existing'!O5</f>
        <v>2034-35</v>
      </c>
      <c r="O7" s="36" t="str">
        <f>'P&amp;L Existing'!P5</f>
        <v>2035-36</v>
      </c>
    </row>
    <row r="8" spans="1:15" ht="16.5" thickTop="1" x14ac:dyDescent="0.25">
      <c r="A8" s="30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5" ht="15.75" x14ac:dyDescent="0.25">
      <c r="A9" s="30" t="s">
        <v>22</v>
      </c>
      <c r="B9" s="37">
        <f>CONPL!C45</f>
        <v>107.98000000000124</v>
      </c>
      <c r="C9" s="37">
        <f ca="1">CONPL!D45</f>
        <v>204.24941796245042</v>
      </c>
      <c r="D9" s="37">
        <f ca="1">CONPL!E45</f>
        <v>151.63396549843014</v>
      </c>
      <c r="E9" s="37">
        <f ca="1">CONPL!F45</f>
        <v>76.165557532182447</v>
      </c>
      <c r="F9" s="37">
        <f ca="1">CONPL!G45</f>
        <v>912.96716852993984</v>
      </c>
      <c r="G9" s="37">
        <f ca="1">CONPL!H45</f>
        <v>834.99681187709768</v>
      </c>
      <c r="H9" s="37">
        <f ca="1">CONPL!I45</f>
        <v>970.77531450218885</v>
      </c>
      <c r="I9" s="37">
        <f ca="1">CONPL!J45</f>
        <v>1093.7570461393698</v>
      </c>
      <c r="J9" s="37">
        <f ca="1">CONPL!K45</f>
        <v>1116.4758858212001</v>
      </c>
      <c r="K9" s="37">
        <f ca="1">CONPL!L45</f>
        <v>1451.7456550453257</v>
      </c>
      <c r="L9" s="37">
        <f ca="1">CONPL!M45</f>
        <v>1452.013117011719</v>
      </c>
      <c r="M9" s="37">
        <f ca="1">CONPL!N45</f>
        <v>1816.8612144394604</v>
      </c>
      <c r="N9" s="37">
        <f ca="1">CONPL!O45</f>
        <v>2010.1473174390794</v>
      </c>
      <c r="O9" s="37">
        <f ca="1">CONPL!P45</f>
        <v>2190.5683300262481</v>
      </c>
    </row>
    <row r="10" spans="1:15" ht="15.75" x14ac:dyDescent="0.25">
      <c r="A10" s="30" t="s">
        <v>0</v>
      </c>
      <c r="B10" s="37">
        <f>CONPL!C49</f>
        <v>199.34000000000123</v>
      </c>
      <c r="C10" s="37">
        <f ca="1">CONPL!D49</f>
        <v>297.11791598616583</v>
      </c>
      <c r="D10" s="37">
        <f ca="1">CONPL!E49</f>
        <v>234.1348513113627</v>
      </c>
      <c r="E10" s="37">
        <f ca="1">CONPL!F49</f>
        <v>418.97018109374994</v>
      </c>
      <c r="F10" s="37">
        <f ca="1">CONPL!G49</f>
        <v>1481.2058573742829</v>
      </c>
      <c r="G10" s="37">
        <f ca="1">CONPL!H49</f>
        <v>1329.1363341479118</v>
      </c>
      <c r="H10" s="37">
        <f ca="1">CONPL!I49</f>
        <v>1400.815638096424</v>
      </c>
      <c r="I10" s="37">
        <f ca="1">CONPL!J49</f>
        <v>1468.3105012132241</v>
      </c>
      <c r="J10" s="37">
        <f ca="1">CONPL!K49</f>
        <v>1442.9638976044344</v>
      </c>
      <c r="K10" s="37">
        <f ca="1">CONPL!L49</f>
        <v>1736.5671369411568</v>
      </c>
      <c r="L10" s="37">
        <f ca="1">CONPL!M49</f>
        <v>1700.6886536167733</v>
      </c>
      <c r="M10" s="37">
        <f ca="1">CONPL!N49</f>
        <v>2034.1565574146027</v>
      </c>
      <c r="N10" s="37">
        <f ca="1">CONPL!O49</f>
        <v>2200.1792001058298</v>
      </c>
      <c r="O10" s="37">
        <f ca="1">CONPL!P49</f>
        <v>2356.895165854949</v>
      </c>
    </row>
    <row r="11" spans="1:15" ht="15.75" x14ac:dyDescent="0.25">
      <c r="A11" s="30" t="s">
        <v>135</v>
      </c>
      <c r="B11" s="38">
        <f>CONPL!C36</f>
        <v>43.45</v>
      </c>
      <c r="C11" s="38">
        <f>CONPL!D36</f>
        <v>27.658775000000006</v>
      </c>
      <c r="D11" s="38">
        <f>CONPL!E36</f>
        <v>24.788350000000005</v>
      </c>
      <c r="E11" s="38">
        <f>CONPL!F36</f>
        <v>38.748350000000009</v>
      </c>
      <c r="F11" s="38">
        <f>CONPL!G36</f>
        <v>278.16640000000007</v>
      </c>
      <c r="G11" s="38">
        <f>CONPL!H36</f>
        <v>254.84079999999997</v>
      </c>
      <c r="H11" s="38">
        <f>CONPL!I36</f>
        <v>230.61944</v>
      </c>
      <c r="I11" s="38">
        <f>CONPL!J36</f>
        <v>206.49599999999998</v>
      </c>
      <c r="J11" s="38">
        <f>CONPL!K36</f>
        <v>180.09599999999998</v>
      </c>
      <c r="K11" s="38">
        <f>CONPL!L36</f>
        <v>151.392</v>
      </c>
      <c r="L11" s="38">
        <f>CONPL!M36</f>
        <v>120.38399999999999</v>
      </c>
      <c r="M11" s="38">
        <f>CONPL!N36</f>
        <v>87.071999999999974</v>
      </c>
      <c r="N11" s="38">
        <f>CONPL!O36</f>
        <v>52.511999999999979</v>
      </c>
      <c r="O11" s="38">
        <f>CONPL!P36</f>
        <v>39.599999999999966</v>
      </c>
    </row>
    <row r="12" spans="1:15" ht="15.75" x14ac:dyDescent="0.25">
      <c r="A12" s="28" t="s">
        <v>25</v>
      </c>
      <c r="B12" s="39">
        <f>SUM(B9:B11)</f>
        <v>350.77000000000243</v>
      </c>
      <c r="C12" s="39">
        <f t="shared" ref="C12:O12" ca="1" si="0">SUM(C9:C11)</f>
        <v>529.0261089486163</v>
      </c>
      <c r="D12" s="39">
        <f t="shared" ca="1" si="0"/>
        <v>410.55716680979282</v>
      </c>
      <c r="E12" s="39">
        <f t="shared" ca="1" si="0"/>
        <v>533.88408862593235</v>
      </c>
      <c r="F12" s="39">
        <f t="shared" ca="1" si="0"/>
        <v>2672.3394259042229</v>
      </c>
      <c r="G12" s="39">
        <f t="shared" ca="1" si="0"/>
        <v>2418.9739460250094</v>
      </c>
      <c r="H12" s="39">
        <f t="shared" ca="1" si="0"/>
        <v>2602.2103925986125</v>
      </c>
      <c r="I12" s="39">
        <f t="shared" ca="1" si="0"/>
        <v>2768.563547352594</v>
      </c>
      <c r="J12" s="39">
        <f t="shared" ca="1" si="0"/>
        <v>2739.5357834256342</v>
      </c>
      <c r="K12" s="39">
        <f t="shared" ca="1" si="0"/>
        <v>3339.7047919864826</v>
      </c>
      <c r="L12" s="39">
        <f t="shared" ca="1" si="0"/>
        <v>3273.0857706284924</v>
      </c>
      <c r="M12" s="39">
        <f t="shared" ca="1" si="0"/>
        <v>3938.0897718540632</v>
      </c>
      <c r="N12" s="39">
        <f t="shared" ca="1" si="0"/>
        <v>4262.8385175449084</v>
      </c>
      <c r="O12" s="39">
        <f t="shared" ca="1" si="0"/>
        <v>4587.063495881197</v>
      </c>
    </row>
    <row r="13" spans="1:15" ht="15.75" x14ac:dyDescent="0.25">
      <c r="A13" s="30" t="s">
        <v>136</v>
      </c>
      <c r="B13" s="37">
        <f>CONBS!B36</f>
        <v>94</v>
      </c>
      <c r="C13" s="37">
        <f>CONBS!C36</f>
        <v>94</v>
      </c>
      <c r="D13" s="37">
        <f>CONBS!D36</f>
        <v>93.87</v>
      </c>
      <c r="E13" s="37">
        <f>CONBS!E36</f>
        <v>182</v>
      </c>
      <c r="F13" s="37">
        <f>CONBS!F36</f>
        <v>260.22000000000003</v>
      </c>
      <c r="G13" s="37">
        <f>CONBS!G36</f>
        <v>243.43</v>
      </c>
      <c r="H13" s="37">
        <f>CONBS!H36</f>
        <v>264</v>
      </c>
      <c r="I13" s="37">
        <f>CONBS!I36</f>
        <v>288</v>
      </c>
      <c r="J13" s="37">
        <f>CONBS!J36</f>
        <v>312</v>
      </c>
      <c r="K13" s="37">
        <f>CONBS!K36</f>
        <v>336</v>
      </c>
      <c r="L13" s="37">
        <f>CONBS!L36</f>
        <v>360</v>
      </c>
      <c r="M13" s="37">
        <f>CONBS!M36</f>
        <v>360</v>
      </c>
      <c r="N13" s="37">
        <f>CONBS!N36</f>
        <v>352</v>
      </c>
      <c r="O13" s="37">
        <f>CONBS!O36</f>
        <v>0</v>
      </c>
    </row>
    <row r="14" spans="1:15" ht="15.75" x14ac:dyDescent="0.25">
      <c r="A14" s="30" t="s">
        <v>135</v>
      </c>
      <c r="B14" s="38">
        <f>CONPL!C36</f>
        <v>43.45</v>
      </c>
      <c r="C14" s="38">
        <f>CONPL!D36</f>
        <v>27.658775000000006</v>
      </c>
      <c r="D14" s="38">
        <f>CONPL!E36</f>
        <v>24.788350000000005</v>
      </c>
      <c r="E14" s="38">
        <f>CONPL!F36</f>
        <v>38.748350000000009</v>
      </c>
      <c r="F14" s="38">
        <f>CONPL!G36</f>
        <v>278.16640000000007</v>
      </c>
      <c r="G14" s="38">
        <f>CONPL!H36</f>
        <v>254.84079999999997</v>
      </c>
      <c r="H14" s="38">
        <f>CONPL!I36</f>
        <v>230.61944</v>
      </c>
      <c r="I14" s="38">
        <f>CONPL!J36</f>
        <v>206.49599999999998</v>
      </c>
      <c r="J14" s="38">
        <f>CONPL!K36</f>
        <v>180.09599999999998</v>
      </c>
      <c r="K14" s="38">
        <f>CONPL!L36</f>
        <v>151.392</v>
      </c>
      <c r="L14" s="38">
        <f>CONPL!M36</f>
        <v>120.38399999999999</v>
      </c>
      <c r="M14" s="38">
        <f>CONPL!N36</f>
        <v>87.071999999999974</v>
      </c>
      <c r="N14" s="38">
        <f>CONPL!O36</f>
        <v>52.511999999999979</v>
      </c>
      <c r="O14" s="38">
        <f>CONPL!P36</f>
        <v>39.599999999999966</v>
      </c>
    </row>
    <row r="15" spans="1:15" ht="15.75" x14ac:dyDescent="0.25">
      <c r="A15" s="28" t="s">
        <v>26</v>
      </c>
      <c r="B15" s="39">
        <f>B13+B14</f>
        <v>137.44999999999999</v>
      </c>
      <c r="C15" s="39">
        <f t="shared" ref="C15:O15" si="1">C13+C14</f>
        <v>121.65877500000001</v>
      </c>
      <c r="D15" s="39">
        <f t="shared" si="1"/>
        <v>118.65835000000001</v>
      </c>
      <c r="E15" s="39">
        <f t="shared" si="1"/>
        <v>220.74835000000002</v>
      </c>
      <c r="F15" s="39">
        <f t="shared" si="1"/>
        <v>538.38640000000009</v>
      </c>
      <c r="G15" s="39">
        <f t="shared" si="1"/>
        <v>498.27080000000001</v>
      </c>
      <c r="H15" s="39">
        <f t="shared" si="1"/>
        <v>494.61944</v>
      </c>
      <c r="I15" s="39">
        <f t="shared" si="1"/>
        <v>494.49599999999998</v>
      </c>
      <c r="J15" s="39">
        <f t="shared" si="1"/>
        <v>492.096</v>
      </c>
      <c r="K15" s="39">
        <f t="shared" si="1"/>
        <v>487.392</v>
      </c>
      <c r="L15" s="39">
        <f t="shared" si="1"/>
        <v>480.38400000000001</v>
      </c>
      <c r="M15" s="39">
        <f t="shared" si="1"/>
        <v>447.072</v>
      </c>
      <c r="N15" s="39">
        <f t="shared" si="1"/>
        <v>404.512</v>
      </c>
      <c r="O15" s="39">
        <f t="shared" si="1"/>
        <v>39.599999999999966</v>
      </c>
    </row>
    <row r="16" spans="1:15" ht="16.5" thickBot="1" x14ac:dyDescent="0.3">
      <c r="A16" s="31" t="s">
        <v>147</v>
      </c>
      <c r="B16" s="40">
        <f>B12/B15</f>
        <v>2.5519825391051469</v>
      </c>
      <c r="C16" s="40">
        <f t="shared" ref="C16:O16" ca="1" si="2">C12/C15</f>
        <v>4.3484418526211224</v>
      </c>
      <c r="D16" s="40">
        <f t="shared" ca="1" si="2"/>
        <v>3.4599938968457997</v>
      </c>
      <c r="E16" s="40">
        <f t="shared" ca="1" si="2"/>
        <v>2.4185190449936877</v>
      </c>
      <c r="F16" s="40">
        <f t="shared" ca="1" si="2"/>
        <v>4.9636087128207969</v>
      </c>
      <c r="G16" s="40">
        <f t="shared" ca="1" si="2"/>
        <v>4.8547375162763089</v>
      </c>
      <c r="H16" s="40">
        <f t="shared" ca="1" si="2"/>
        <v>5.2610354186616934</v>
      </c>
      <c r="I16" s="40">
        <f t="shared" ca="1" si="2"/>
        <v>5.5987582252487265</v>
      </c>
      <c r="J16" s="40">
        <f t="shared" ca="1" si="2"/>
        <v>5.5670759027214896</v>
      </c>
      <c r="K16" s="40">
        <f t="shared" ca="1" si="2"/>
        <v>6.8521945210148765</v>
      </c>
      <c r="L16" s="40">
        <f t="shared" ca="1" si="2"/>
        <v>6.813477906484172</v>
      </c>
      <c r="M16" s="40">
        <f t="shared" ca="1" si="2"/>
        <v>8.8086253933461798</v>
      </c>
      <c r="N16" s="40">
        <f t="shared" ca="1" si="2"/>
        <v>10.538225114569922</v>
      </c>
      <c r="O16" s="40">
        <f t="shared" ca="1" si="2"/>
        <v>115.8349367646768</v>
      </c>
    </row>
    <row r="17" spans="1:15" ht="16.5" thickTop="1" x14ac:dyDescent="0.25">
      <c r="A17" s="30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5" ht="15.75" x14ac:dyDescent="0.25">
      <c r="A18" s="24" t="s">
        <v>131</v>
      </c>
      <c r="B18" s="41">
        <f ca="1">AVERAGE(E16:N16)</f>
        <v>6.1676257756137858</v>
      </c>
      <c r="C18" s="47"/>
      <c r="D18" s="37"/>
      <c r="E18" s="37"/>
      <c r="F18" s="52"/>
      <c r="G18" s="37"/>
      <c r="H18" s="37"/>
      <c r="I18" s="37"/>
      <c r="J18" s="37"/>
      <c r="K18" s="37"/>
    </row>
    <row r="19" spans="1:15" ht="15.75" x14ac:dyDescent="0.25">
      <c r="A19" s="30"/>
      <c r="B19" s="42"/>
      <c r="C19" s="48"/>
      <c r="D19" s="48"/>
      <c r="E19" s="48"/>
      <c r="F19" s="48"/>
      <c r="G19" s="43"/>
      <c r="H19" s="37"/>
      <c r="I19" s="37"/>
      <c r="J19" s="37"/>
      <c r="K19" s="37"/>
    </row>
    <row r="20" spans="1:15" ht="15.75" x14ac:dyDescent="0.25">
      <c r="A20" s="30"/>
      <c r="B20" s="43"/>
      <c r="C20" s="37"/>
      <c r="D20" s="37"/>
      <c r="E20" s="37"/>
      <c r="F20" s="37"/>
      <c r="G20" s="37"/>
      <c r="H20" s="37"/>
      <c r="I20" s="37"/>
      <c r="J20" s="37"/>
      <c r="K20" s="37"/>
    </row>
    <row r="21" spans="1:15" ht="15.75" x14ac:dyDescent="0.25">
      <c r="A21" s="29" t="s">
        <v>137</v>
      </c>
      <c r="B21" s="44" t="s">
        <v>29</v>
      </c>
      <c r="C21" s="49" t="s">
        <v>132</v>
      </c>
      <c r="D21" s="47"/>
      <c r="G21" s="37"/>
      <c r="H21" s="37"/>
      <c r="I21" s="37"/>
      <c r="J21" s="37"/>
      <c r="K21" s="37"/>
    </row>
    <row r="22" spans="1:15" ht="15.75" x14ac:dyDescent="0.25">
      <c r="A22" s="30"/>
      <c r="B22" s="45"/>
      <c r="C22" s="50" t="s">
        <v>138</v>
      </c>
      <c r="D22" s="37"/>
      <c r="G22" s="37"/>
      <c r="H22" s="37"/>
      <c r="I22" s="37"/>
      <c r="J22" s="37"/>
      <c r="K22" s="37"/>
    </row>
    <row r="23" spans="1:15" ht="16.5" thickBot="1" x14ac:dyDescent="0.3">
      <c r="A23" s="31" t="s">
        <v>4</v>
      </c>
      <c r="B23" s="36" t="str">
        <f>B7</f>
        <v>2022-23</v>
      </c>
      <c r="C23" s="36" t="str">
        <f t="shared" ref="C23:O23" si="3">C7</f>
        <v>2023-24</v>
      </c>
      <c r="D23" s="36" t="str">
        <f t="shared" si="3"/>
        <v>2024-25</v>
      </c>
      <c r="E23" s="36" t="str">
        <f t="shared" si="3"/>
        <v>2025-26</v>
      </c>
      <c r="F23" s="36" t="str">
        <f t="shared" si="3"/>
        <v>2026-27</v>
      </c>
      <c r="G23" s="36" t="str">
        <f t="shared" si="3"/>
        <v>2027-28</v>
      </c>
      <c r="H23" s="36" t="str">
        <f t="shared" si="3"/>
        <v>2028-29</v>
      </c>
      <c r="I23" s="36" t="str">
        <f t="shared" si="3"/>
        <v>2029-30</v>
      </c>
      <c r="J23" s="36" t="str">
        <f t="shared" si="3"/>
        <v>2030-31</v>
      </c>
      <c r="K23" s="36" t="str">
        <f t="shared" si="3"/>
        <v>2031-32</v>
      </c>
      <c r="L23" s="36" t="str">
        <f t="shared" si="3"/>
        <v>2032-33</v>
      </c>
      <c r="M23" s="36" t="str">
        <f t="shared" si="3"/>
        <v>2033-34</v>
      </c>
      <c r="N23" s="36" t="str">
        <f t="shared" si="3"/>
        <v>2034-35</v>
      </c>
      <c r="O23" s="36" t="str">
        <f t="shared" si="3"/>
        <v>2035-36</v>
      </c>
    </row>
    <row r="24" spans="1:15" ht="16.5" thickTop="1" x14ac:dyDescent="0.25">
      <c r="A24" s="30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5" ht="15.75" x14ac:dyDescent="0.25">
      <c r="A25" s="30" t="s">
        <v>22</v>
      </c>
      <c r="B25" s="46">
        <f>B9</f>
        <v>107.98000000000124</v>
      </c>
      <c r="C25" s="46">
        <f t="shared" ref="C25:O25" ca="1" si="4">C9</f>
        <v>204.24941796245042</v>
      </c>
      <c r="D25" s="46">
        <f t="shared" ca="1" si="4"/>
        <v>151.63396549843014</v>
      </c>
      <c r="E25" s="46">
        <f t="shared" ca="1" si="4"/>
        <v>76.165557532182447</v>
      </c>
      <c r="F25" s="46">
        <f t="shared" ca="1" si="4"/>
        <v>912.96716852993984</v>
      </c>
      <c r="G25" s="46">
        <f t="shared" ca="1" si="4"/>
        <v>834.99681187709768</v>
      </c>
      <c r="H25" s="46">
        <f t="shared" ca="1" si="4"/>
        <v>970.77531450218885</v>
      </c>
      <c r="I25" s="46">
        <f t="shared" ca="1" si="4"/>
        <v>1093.7570461393698</v>
      </c>
      <c r="J25" s="46">
        <f t="shared" ca="1" si="4"/>
        <v>1116.4758858212001</v>
      </c>
      <c r="K25" s="46">
        <f t="shared" ca="1" si="4"/>
        <v>1451.7456550453257</v>
      </c>
      <c r="L25" s="46">
        <f t="shared" ca="1" si="4"/>
        <v>1452.013117011719</v>
      </c>
      <c r="M25" s="46">
        <f t="shared" ca="1" si="4"/>
        <v>1816.8612144394604</v>
      </c>
      <c r="N25" s="46">
        <f t="shared" ca="1" si="4"/>
        <v>2010.1473174390794</v>
      </c>
      <c r="O25" s="46">
        <f t="shared" ca="1" si="4"/>
        <v>2190.5683300262481</v>
      </c>
    </row>
    <row r="26" spans="1:15" ht="15.75" x14ac:dyDescent="0.25">
      <c r="A26" s="30" t="s">
        <v>0</v>
      </c>
      <c r="B26" s="46">
        <f t="shared" ref="B26:O26" si="5">B10</f>
        <v>199.34000000000123</v>
      </c>
      <c r="C26" s="46">
        <f t="shared" ca="1" si="5"/>
        <v>297.11791598616583</v>
      </c>
      <c r="D26" s="46">
        <f t="shared" ca="1" si="5"/>
        <v>234.1348513113627</v>
      </c>
      <c r="E26" s="46">
        <f t="shared" ca="1" si="5"/>
        <v>418.97018109374994</v>
      </c>
      <c r="F26" s="46">
        <f t="shared" ca="1" si="5"/>
        <v>1481.2058573742829</v>
      </c>
      <c r="G26" s="46">
        <f t="shared" ca="1" si="5"/>
        <v>1329.1363341479118</v>
      </c>
      <c r="H26" s="46">
        <f t="shared" ca="1" si="5"/>
        <v>1400.815638096424</v>
      </c>
      <c r="I26" s="46">
        <f t="shared" ca="1" si="5"/>
        <v>1468.3105012132241</v>
      </c>
      <c r="J26" s="46">
        <f t="shared" ca="1" si="5"/>
        <v>1442.9638976044344</v>
      </c>
      <c r="K26" s="46">
        <f t="shared" ca="1" si="5"/>
        <v>1736.5671369411568</v>
      </c>
      <c r="L26" s="46">
        <f t="shared" ca="1" si="5"/>
        <v>1700.6886536167733</v>
      </c>
      <c r="M26" s="46">
        <f t="shared" ca="1" si="5"/>
        <v>2034.1565574146027</v>
      </c>
      <c r="N26" s="46">
        <f t="shared" ca="1" si="5"/>
        <v>2200.1792001058298</v>
      </c>
      <c r="O26" s="46">
        <f t="shared" ca="1" si="5"/>
        <v>2356.895165854949</v>
      </c>
    </row>
    <row r="27" spans="1:15" ht="15.75" x14ac:dyDescent="0.25">
      <c r="A27" s="30" t="s">
        <v>135</v>
      </c>
      <c r="B27" s="46">
        <f t="shared" ref="B27:O27" si="6">B11</f>
        <v>43.45</v>
      </c>
      <c r="C27" s="46">
        <f t="shared" si="6"/>
        <v>27.658775000000006</v>
      </c>
      <c r="D27" s="46">
        <f t="shared" si="6"/>
        <v>24.788350000000005</v>
      </c>
      <c r="E27" s="46">
        <f t="shared" si="6"/>
        <v>38.748350000000009</v>
      </c>
      <c r="F27" s="46">
        <f t="shared" si="6"/>
        <v>278.16640000000007</v>
      </c>
      <c r="G27" s="46">
        <f t="shared" si="6"/>
        <v>254.84079999999997</v>
      </c>
      <c r="H27" s="46">
        <f t="shared" si="6"/>
        <v>230.61944</v>
      </c>
      <c r="I27" s="46">
        <f t="shared" si="6"/>
        <v>206.49599999999998</v>
      </c>
      <c r="J27" s="46">
        <f t="shared" si="6"/>
        <v>180.09599999999998</v>
      </c>
      <c r="K27" s="46">
        <f t="shared" si="6"/>
        <v>151.392</v>
      </c>
      <c r="L27" s="46">
        <f t="shared" si="6"/>
        <v>120.38399999999999</v>
      </c>
      <c r="M27" s="46">
        <f t="shared" si="6"/>
        <v>87.071999999999974</v>
      </c>
      <c r="N27" s="46">
        <f t="shared" si="6"/>
        <v>52.511999999999979</v>
      </c>
      <c r="O27" s="46">
        <f t="shared" si="6"/>
        <v>39.599999999999966</v>
      </c>
    </row>
    <row r="28" spans="1:15" ht="15.75" x14ac:dyDescent="0.25">
      <c r="A28" s="30" t="s">
        <v>639</v>
      </c>
      <c r="B28" s="46">
        <f>CONPL!C38</f>
        <v>52.77</v>
      </c>
      <c r="C28" s="46">
        <f>CONPL!D38</f>
        <v>76.8</v>
      </c>
      <c r="D28" s="46">
        <f>CONPL!E38</f>
        <v>76.8</v>
      </c>
      <c r="E28" s="46">
        <f>CONPL!F38</f>
        <v>80</v>
      </c>
      <c r="F28" s="46">
        <f>CONPL!G38</f>
        <v>115.19999999999999</v>
      </c>
      <c r="G28" s="46">
        <f>CONPL!H38</f>
        <v>115.19999999999999</v>
      </c>
      <c r="H28" s="46">
        <f>CONPL!I38</f>
        <v>115.19999999999999</v>
      </c>
      <c r="I28" s="46">
        <f>CONPL!J38</f>
        <v>115.19999999999999</v>
      </c>
      <c r="J28" s="46">
        <f>CONPL!K38</f>
        <v>115.19999999999999</v>
      </c>
      <c r="K28" s="46">
        <f>CONPL!L38</f>
        <v>115.19999999999999</v>
      </c>
      <c r="L28" s="46">
        <f>CONPL!M38</f>
        <v>115.19999999999999</v>
      </c>
      <c r="M28" s="46">
        <f>CONPL!N38</f>
        <v>115.19999999999999</v>
      </c>
      <c r="N28" s="46">
        <f>CONPL!O38</f>
        <v>115.19999999999999</v>
      </c>
      <c r="O28" s="46">
        <f>CONPL!P38</f>
        <v>115.19999999999999</v>
      </c>
    </row>
    <row r="29" spans="1:15" ht="15.75" x14ac:dyDescent="0.25">
      <c r="A29" s="28" t="s">
        <v>25</v>
      </c>
      <c r="B29" s="212">
        <f>SUM(B25:B28)</f>
        <v>403.54000000000241</v>
      </c>
      <c r="C29" s="212">
        <f t="shared" ref="C29:O29" ca="1" si="7">SUM(C25:C28)</f>
        <v>605.82610894861625</v>
      </c>
      <c r="D29" s="212">
        <f t="shared" ca="1" si="7"/>
        <v>487.35716680979283</v>
      </c>
      <c r="E29" s="212">
        <f t="shared" ca="1" si="7"/>
        <v>613.88408862593235</v>
      </c>
      <c r="F29" s="212">
        <f t="shared" ca="1" si="7"/>
        <v>2787.5394259042228</v>
      </c>
      <c r="G29" s="212">
        <f t="shared" ca="1" si="7"/>
        <v>2534.1739460250092</v>
      </c>
      <c r="H29" s="212">
        <f t="shared" ca="1" si="7"/>
        <v>2717.4103925986124</v>
      </c>
      <c r="I29" s="212">
        <f t="shared" ca="1" si="7"/>
        <v>2883.7635473525938</v>
      </c>
      <c r="J29" s="212">
        <f t="shared" ca="1" si="7"/>
        <v>2854.7357834256341</v>
      </c>
      <c r="K29" s="212">
        <f t="shared" ca="1" si="7"/>
        <v>3454.9047919864825</v>
      </c>
      <c r="L29" s="212">
        <f t="shared" ca="1" si="7"/>
        <v>3388.2857706284922</v>
      </c>
      <c r="M29" s="212">
        <f t="shared" ca="1" si="7"/>
        <v>4053.289771854063</v>
      </c>
      <c r="N29" s="212">
        <f t="shared" ca="1" si="7"/>
        <v>4378.0385175449082</v>
      </c>
      <c r="O29" s="212">
        <f t="shared" ca="1" si="7"/>
        <v>4702.2634958811968</v>
      </c>
    </row>
    <row r="30" spans="1:15" ht="15.75" x14ac:dyDescent="0.25">
      <c r="A30" s="30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5" ht="15.75" x14ac:dyDescent="0.25">
      <c r="A31" s="30" t="s">
        <v>640</v>
      </c>
      <c r="B31" s="39">
        <f>B27+B28</f>
        <v>96.22</v>
      </c>
      <c r="C31" s="39">
        <f t="shared" ref="C31:O31" si="8">C27+C28</f>
        <v>104.458775</v>
      </c>
      <c r="D31" s="39">
        <f t="shared" si="8"/>
        <v>101.58835000000001</v>
      </c>
      <c r="E31" s="39">
        <f t="shared" si="8"/>
        <v>118.74835000000002</v>
      </c>
      <c r="F31" s="39">
        <f t="shared" si="8"/>
        <v>393.36640000000006</v>
      </c>
      <c r="G31" s="39">
        <f t="shared" si="8"/>
        <v>370.04079999999999</v>
      </c>
      <c r="H31" s="39">
        <f t="shared" si="8"/>
        <v>345.81943999999999</v>
      </c>
      <c r="I31" s="39">
        <f t="shared" si="8"/>
        <v>321.69599999999997</v>
      </c>
      <c r="J31" s="39">
        <f t="shared" si="8"/>
        <v>295.29599999999994</v>
      </c>
      <c r="K31" s="39">
        <f t="shared" si="8"/>
        <v>266.59199999999998</v>
      </c>
      <c r="L31" s="39">
        <f t="shared" si="8"/>
        <v>235.58399999999997</v>
      </c>
      <c r="M31" s="39">
        <f t="shared" si="8"/>
        <v>202.27199999999996</v>
      </c>
      <c r="N31" s="39">
        <f t="shared" si="8"/>
        <v>167.71199999999996</v>
      </c>
      <c r="O31" s="39">
        <f t="shared" si="8"/>
        <v>154.79999999999995</v>
      </c>
    </row>
    <row r="32" spans="1:15" ht="15.75" x14ac:dyDescent="0.25">
      <c r="A32" s="30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5" ht="16.5" thickBot="1" x14ac:dyDescent="0.3">
      <c r="A33" s="33" t="s">
        <v>145</v>
      </c>
      <c r="B33" s="36">
        <f>B29/B31</f>
        <v>4.1939305757638996</v>
      </c>
      <c r="C33" s="36">
        <f t="shared" ref="C33:O33" ca="1" si="9">C29/C31</f>
        <v>5.7996669877529792</v>
      </c>
      <c r="D33" s="36">
        <f t="shared" ca="1" si="9"/>
        <v>4.7973726003994832</v>
      </c>
      <c r="E33" s="36">
        <f t="shared" ca="1" si="9"/>
        <v>5.1696220505458159</v>
      </c>
      <c r="F33" s="36">
        <f t="shared" ca="1" si="9"/>
        <v>7.0863689067094251</v>
      </c>
      <c r="G33" s="36">
        <f t="shared" ca="1" si="9"/>
        <v>6.8483636021352492</v>
      </c>
      <c r="H33" s="36">
        <f t="shared" ca="1" si="9"/>
        <v>7.8578878983744014</v>
      </c>
      <c r="I33" s="36">
        <f t="shared" ca="1" si="9"/>
        <v>8.9642505575219893</v>
      </c>
      <c r="J33" s="36">
        <f t="shared" ca="1" si="9"/>
        <v>9.6673703112322364</v>
      </c>
      <c r="K33" s="36">
        <f t="shared" ca="1" si="9"/>
        <v>12.959521636007391</v>
      </c>
      <c r="L33" s="36">
        <f t="shared" ca="1" si="9"/>
        <v>14.382495290972615</v>
      </c>
      <c r="M33" s="36">
        <f t="shared" ca="1" si="9"/>
        <v>20.038808000385934</v>
      </c>
      <c r="N33" s="36">
        <f t="shared" ca="1" si="9"/>
        <v>26.104503658324443</v>
      </c>
      <c r="O33" s="36">
        <f t="shared" ca="1" si="9"/>
        <v>30.376379172359162</v>
      </c>
    </row>
    <row r="34" spans="1:15" ht="16.5" thickTop="1" x14ac:dyDescent="0.25">
      <c r="A34" s="30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5" ht="15.75" x14ac:dyDescent="0.25">
      <c r="A35" s="32" t="s">
        <v>139</v>
      </c>
      <c r="B35" s="39">
        <f ca="1">SUM(B33:O33)/15</f>
        <v>10.949769416565665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5" ht="15.75" x14ac:dyDescent="0.25">
      <c r="A36" s="30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5" ht="15.75" x14ac:dyDescent="0.25">
      <c r="A37" s="32" t="s">
        <v>140</v>
      </c>
      <c r="B37" s="44" t="s">
        <v>29</v>
      </c>
      <c r="C37" s="49" t="s">
        <v>141</v>
      </c>
      <c r="D37" s="47"/>
      <c r="F37" s="37"/>
      <c r="G37" s="37"/>
      <c r="H37" s="37"/>
      <c r="I37" s="37"/>
      <c r="J37" s="37"/>
      <c r="K37" s="37"/>
    </row>
    <row r="38" spans="1:15" ht="15.75" x14ac:dyDescent="0.25">
      <c r="A38" s="30"/>
      <c r="B38" s="45"/>
      <c r="C38" s="50" t="s">
        <v>142</v>
      </c>
      <c r="D38" s="37"/>
      <c r="F38" s="37"/>
      <c r="G38" s="37"/>
      <c r="H38" s="37"/>
      <c r="I38" s="37"/>
      <c r="J38" s="37"/>
      <c r="K38" s="37"/>
    </row>
    <row r="39" spans="1:15" ht="15.75" x14ac:dyDescent="0.25">
      <c r="A39" s="30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5" ht="16.5" thickBot="1" x14ac:dyDescent="0.3">
      <c r="A40" s="31" t="s">
        <v>4</v>
      </c>
      <c r="B40" s="36" t="str">
        <f>B23</f>
        <v>2022-23</v>
      </c>
      <c r="C40" s="36" t="str">
        <f t="shared" ref="C40:O40" si="10">C23</f>
        <v>2023-24</v>
      </c>
      <c r="D40" s="36" t="str">
        <f t="shared" si="10"/>
        <v>2024-25</v>
      </c>
      <c r="E40" s="36" t="str">
        <f t="shared" si="10"/>
        <v>2025-26</v>
      </c>
      <c r="F40" s="36" t="str">
        <f t="shared" si="10"/>
        <v>2026-27</v>
      </c>
      <c r="G40" s="36" t="str">
        <f t="shared" si="10"/>
        <v>2027-28</v>
      </c>
      <c r="H40" s="36" t="str">
        <f t="shared" si="10"/>
        <v>2028-29</v>
      </c>
      <c r="I40" s="36" t="str">
        <f t="shared" si="10"/>
        <v>2029-30</v>
      </c>
      <c r="J40" s="36" t="str">
        <f t="shared" si="10"/>
        <v>2030-31</v>
      </c>
      <c r="K40" s="36" t="str">
        <f t="shared" si="10"/>
        <v>2031-32</v>
      </c>
      <c r="L40" s="36" t="str">
        <f t="shared" si="10"/>
        <v>2032-33</v>
      </c>
      <c r="M40" s="36" t="str">
        <f t="shared" si="10"/>
        <v>2033-34</v>
      </c>
      <c r="N40" s="36" t="str">
        <f t="shared" si="10"/>
        <v>2034-35</v>
      </c>
      <c r="O40" s="36" t="str">
        <f t="shared" si="10"/>
        <v>2035-36</v>
      </c>
    </row>
    <row r="41" spans="1:15" ht="16.5" thickTop="1" x14ac:dyDescent="0.25">
      <c r="A41" s="30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5" ht="15.75" x14ac:dyDescent="0.25">
      <c r="A42" s="30" t="s">
        <v>143</v>
      </c>
      <c r="B42" s="37">
        <f>CONBS!B21+CONBS!B26</f>
        <v>305.52</v>
      </c>
      <c r="C42" s="37">
        <f>CONBS!C21+CONBS!C26</f>
        <v>811.52</v>
      </c>
      <c r="D42" s="37">
        <f>CONBS!D21+CONBS!D26</f>
        <v>2407.65</v>
      </c>
      <c r="E42" s="37">
        <f>CONBS!E21+CONBS!E26</f>
        <v>2775.65</v>
      </c>
      <c r="F42" s="37">
        <f>CONBS!F21+CONBS!F26</f>
        <v>2515.4300000000003</v>
      </c>
      <c r="G42" s="37">
        <f>CONBS!G21+CONBS!G26</f>
        <v>2272</v>
      </c>
      <c r="H42" s="37">
        <f>CONBS!H21+CONBS!H26</f>
        <v>2008</v>
      </c>
      <c r="I42" s="37">
        <f>CONBS!I21+CONBS!I26</f>
        <v>1720</v>
      </c>
      <c r="J42" s="37">
        <f>CONBS!J21+CONBS!J26</f>
        <v>1407.9999999999998</v>
      </c>
      <c r="K42" s="37">
        <f>CONBS!K21+CONBS!K26</f>
        <v>1071.9999999999998</v>
      </c>
      <c r="L42" s="37">
        <f>CONBS!L21+CONBS!L26</f>
        <v>711.99999999999977</v>
      </c>
      <c r="M42" s="37">
        <f>CONBS!M21+CONBS!M26</f>
        <v>351.99999999999977</v>
      </c>
      <c r="N42" s="37">
        <f>CONBS!N21+CONBS!N26</f>
        <v>0</v>
      </c>
      <c r="O42" s="37">
        <f>CONBS!O21+CONBS!O26</f>
        <v>0</v>
      </c>
    </row>
    <row r="43" spans="1:15" ht="15.75" x14ac:dyDescent="0.25">
      <c r="A43" s="30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5" ht="15.75" x14ac:dyDescent="0.25">
      <c r="A44" s="30" t="s">
        <v>144</v>
      </c>
      <c r="B44" s="37">
        <f ca="1">CONBS!B41</f>
        <v>965.00150197628454</v>
      </c>
      <c r="C44" s="37">
        <f ca="1">CONBS!C41</f>
        <v>1662.3006161633521</v>
      </c>
      <c r="D44" s="37">
        <f ca="1">CONBS!D41</f>
        <v>4025.7137426017844</v>
      </c>
      <c r="E44" s="37">
        <f ca="1">CONBS!E41</f>
        <v>4667.4807912574415</v>
      </c>
      <c r="F44" s="37">
        <f ca="1">CONBS!F41</f>
        <v>4106.4355808616274</v>
      </c>
      <c r="G44" s="37">
        <f ca="1">CONBS!G41</f>
        <v>3618.6704888611425</v>
      </c>
      <c r="H44" s="37">
        <f ca="1">CONBS!H41</f>
        <v>3194.2815404919756</v>
      </c>
      <c r="I44" s="37">
        <f ca="1">CONBS!I41</f>
        <v>2824.7408632727261</v>
      </c>
      <c r="J44" s="37">
        <f ca="1">CONBS!J41</f>
        <v>2502.7013692347814</v>
      </c>
      <c r="K44" s="37">
        <f ca="1">CONBS!K41</f>
        <v>2221.8296004395811</v>
      </c>
      <c r="L44" s="37">
        <f ca="1">CONBS!L41</f>
        <v>1976.6626304203992</v>
      </c>
      <c r="M44" s="37">
        <f ca="1">CONBS!M41</f>
        <v>1762.4855180520417</v>
      </c>
      <c r="N44" s="37">
        <f ca="1">CONBS!N41</f>
        <v>1575.2263249342188</v>
      </c>
      <c r="O44" s="37">
        <f ca="1">CONBS!O41</f>
        <v>1411.3661459263105</v>
      </c>
    </row>
    <row r="45" spans="1:15" ht="15.75" x14ac:dyDescent="0.25">
      <c r="A45" s="30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5" ht="16.5" thickBot="1" x14ac:dyDescent="0.3">
      <c r="A46" s="53" t="s">
        <v>146</v>
      </c>
      <c r="B46" s="36">
        <f ca="1">B42/B44</f>
        <v>0.3166005434958466</v>
      </c>
      <c r="C46" s="36">
        <f t="shared" ref="C46:O46" ca="1" si="11">C42/C44</f>
        <v>0.48819087962141078</v>
      </c>
      <c r="D46" s="36">
        <f t="shared" ca="1" si="11"/>
        <v>0.59806785925219719</v>
      </c>
      <c r="E46" s="36">
        <f t="shared" ca="1" si="11"/>
        <v>0.59467839807696921</v>
      </c>
      <c r="F46" s="36">
        <f t="shared" ca="1" si="11"/>
        <v>0.61255800814783601</v>
      </c>
      <c r="G46" s="36">
        <f t="shared" ca="1" si="11"/>
        <v>0.6278549005756634</v>
      </c>
      <c r="H46" s="36">
        <f t="shared" ca="1" si="11"/>
        <v>0.62862336163728783</v>
      </c>
      <c r="I46" s="36">
        <f t="shared" ca="1" si="11"/>
        <v>0.60890541230292516</v>
      </c>
      <c r="J46" s="36">
        <f t="shared" ca="1" si="11"/>
        <v>0.56259209241193076</v>
      </c>
      <c r="K46" s="36">
        <f t="shared" ca="1" si="11"/>
        <v>0.48248524539771565</v>
      </c>
      <c r="L46" s="36">
        <f t="shared" ca="1" si="11"/>
        <v>0.36020309639210951</v>
      </c>
      <c r="M46" s="36">
        <f t="shared" ca="1" si="11"/>
        <v>0.19971795308085255</v>
      </c>
      <c r="N46" s="36">
        <f t="shared" ca="1" si="11"/>
        <v>0</v>
      </c>
      <c r="O46" s="36">
        <f t="shared" ca="1" si="11"/>
        <v>0</v>
      </c>
    </row>
    <row r="47" spans="1:15" ht="16.5" thickTop="1" x14ac:dyDescent="0.25">
      <c r="A47" s="30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5" ht="15.75" x14ac:dyDescent="0.25">
      <c r="A48" s="32" t="s">
        <v>148</v>
      </c>
      <c r="B48" s="39">
        <f ca="1">SUM(B46:O46)/14</f>
        <v>0.43431983931376744</v>
      </c>
      <c r="C48" s="37"/>
      <c r="D48" s="37"/>
      <c r="E48" s="37"/>
      <c r="F48" s="37"/>
      <c r="G48" s="37"/>
      <c r="H48" s="37"/>
      <c r="I48" s="37"/>
      <c r="J48" s="37"/>
      <c r="K48" s="37"/>
    </row>
    <row r="49" spans="1:15" ht="15.75" x14ac:dyDescent="0.25">
      <c r="A49" s="30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5" ht="15.75" x14ac:dyDescent="0.25">
      <c r="A50" s="30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5" ht="15.75" x14ac:dyDescent="0.25">
      <c r="A51" s="30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5" ht="15.75" x14ac:dyDescent="0.25">
      <c r="A52" s="30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5" ht="15.75" x14ac:dyDescent="0.25">
      <c r="A53" s="32" t="s">
        <v>149</v>
      </c>
      <c r="B53" s="44" t="s">
        <v>29</v>
      </c>
      <c r="C53" s="49" t="s">
        <v>150</v>
      </c>
      <c r="D53" s="47"/>
      <c r="F53" s="37"/>
      <c r="G53" s="37"/>
      <c r="H53" s="37"/>
      <c r="I53" s="37"/>
      <c r="J53" s="37"/>
      <c r="K53" s="37"/>
    </row>
    <row r="54" spans="1:15" ht="15.75" x14ac:dyDescent="0.25">
      <c r="A54" s="30"/>
      <c r="B54" s="45"/>
      <c r="C54" s="50" t="s">
        <v>151</v>
      </c>
      <c r="D54" s="37"/>
      <c r="F54" s="37"/>
      <c r="G54" s="37"/>
      <c r="H54" s="37"/>
      <c r="I54" s="37"/>
      <c r="J54" s="37"/>
      <c r="K54" s="37"/>
    </row>
    <row r="55" spans="1:15" ht="16.5" thickBot="1" x14ac:dyDescent="0.3">
      <c r="A55" s="31" t="s">
        <v>4</v>
      </c>
      <c r="B55" s="36" t="str">
        <f>B40</f>
        <v>2022-23</v>
      </c>
      <c r="C55" s="36" t="str">
        <f t="shared" ref="C55:O55" si="12">C40</f>
        <v>2023-24</v>
      </c>
      <c r="D55" s="36" t="str">
        <f t="shared" si="12"/>
        <v>2024-25</v>
      </c>
      <c r="E55" s="36" t="str">
        <f t="shared" si="12"/>
        <v>2025-26</v>
      </c>
      <c r="F55" s="36" t="str">
        <f t="shared" si="12"/>
        <v>2026-27</v>
      </c>
      <c r="G55" s="36" t="str">
        <f t="shared" si="12"/>
        <v>2027-28</v>
      </c>
      <c r="H55" s="36" t="str">
        <f t="shared" si="12"/>
        <v>2028-29</v>
      </c>
      <c r="I55" s="36" t="str">
        <f t="shared" si="12"/>
        <v>2029-30</v>
      </c>
      <c r="J55" s="36" t="str">
        <f t="shared" si="12"/>
        <v>2030-31</v>
      </c>
      <c r="K55" s="36" t="str">
        <f t="shared" si="12"/>
        <v>2031-32</v>
      </c>
      <c r="L55" s="36" t="str">
        <f t="shared" si="12"/>
        <v>2032-33</v>
      </c>
      <c r="M55" s="36" t="str">
        <f t="shared" si="12"/>
        <v>2033-34</v>
      </c>
      <c r="N55" s="36" t="str">
        <f t="shared" si="12"/>
        <v>2034-35</v>
      </c>
      <c r="O55" s="36" t="str">
        <f t="shared" si="12"/>
        <v>2035-36</v>
      </c>
    </row>
    <row r="56" spans="1:15" ht="16.5" thickTop="1" x14ac:dyDescent="0.25">
      <c r="A56" s="30"/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5" ht="15.75" x14ac:dyDescent="0.25">
      <c r="A57" s="30" t="s">
        <v>153</v>
      </c>
      <c r="B57" s="37">
        <f>CONBS!B21+CONBS!B26</f>
        <v>305.52</v>
      </c>
      <c r="C57" s="37">
        <f>CONBS!C21+CONBS!C26+CONBS!C30-CONBS!C10</f>
        <v>421.79999999999995</v>
      </c>
      <c r="D57" s="37">
        <f>CONBS!D21+CONBS!D26+CONBS!D30-CONBS!D10</f>
        <v>1575.93</v>
      </c>
      <c r="E57" s="37">
        <f>CONBS!E21+CONBS!E26+CONBS!E30-CONBS!E10</f>
        <v>1854.13</v>
      </c>
      <c r="F57" s="37">
        <f>CONBS!F21+CONBS!F26+CONBS!F30-CONBS!F10</f>
        <v>1030.9100000000003</v>
      </c>
      <c r="G57" s="37">
        <f>CONBS!G21+CONBS!G26+CONBS!G30-CONBS!G10</f>
        <v>787.48</v>
      </c>
      <c r="H57" s="37">
        <f>CONBS!H21+CONBS!H26+CONBS!H30-CONBS!H10</f>
        <v>523.48</v>
      </c>
      <c r="I57" s="37">
        <f>CONBS!I21+CONBS!I26+CONBS!I30-CONBS!I10</f>
        <v>235.48000000000002</v>
      </c>
      <c r="J57" s="37">
        <f>CONBS!J21+CONBS!J26+CONBS!J30-CONBS!J10</f>
        <v>-76.520000000000209</v>
      </c>
      <c r="K57" s="37">
        <f>CONBS!K21+CONBS!K26+CONBS!K30-CONBS!K10</f>
        <v>-412.52000000000021</v>
      </c>
      <c r="L57" s="37">
        <f>CONBS!L21+CONBS!L26+CONBS!L30-CONBS!L10</f>
        <v>-772.52000000000021</v>
      </c>
      <c r="M57" s="37">
        <f>CONBS!M21+CONBS!M26+CONBS!M30-CONBS!M10</f>
        <v>-1132.5200000000002</v>
      </c>
      <c r="N57" s="37">
        <f>CONBS!N21+CONBS!N26+CONBS!N30-CONBS!N10</f>
        <v>-1484.52</v>
      </c>
      <c r="O57" s="37">
        <f>CONBS!O21+CONBS!O26+CONBS!O30-CONBS!O10</f>
        <v>-1484.52</v>
      </c>
    </row>
    <row r="58" spans="1:15" ht="15.75" x14ac:dyDescent="0.25">
      <c r="A58" s="30"/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5" ht="15.75" x14ac:dyDescent="0.25">
      <c r="A59" s="30" t="s">
        <v>152</v>
      </c>
      <c r="B59" s="37">
        <f>CONBS!B14</f>
        <v>808.8200000000013</v>
      </c>
      <c r="C59" s="37">
        <f ca="1">CONBS!C14</f>
        <v>1358.2694179624518</v>
      </c>
      <c r="D59" s="37">
        <f ca="1">CONBS!D14</f>
        <v>2256.6433834608815</v>
      </c>
      <c r="E59" s="37">
        <f ca="1">CONBS!E14</f>
        <v>2593.8589409930642</v>
      </c>
      <c r="F59" s="37">
        <f ca="1">CONBS!F14</f>
        <v>3892.4053284292568</v>
      </c>
      <c r="G59" s="37">
        <f ca="1">CONBS!G14</f>
        <v>4083.5294249076069</v>
      </c>
      <c r="H59" s="37">
        <f ca="1">CONBS!H14</f>
        <v>4500.8708805897968</v>
      </c>
      <c r="I59" s="37">
        <f ca="1">CONBS!I14</f>
        <v>5050.2445360841166</v>
      </c>
      <c r="J59" s="37">
        <f ca="1">CONBS!J14</f>
        <v>5445.7032054896381</v>
      </c>
      <c r="K59" s="37">
        <f ca="1">CONBS!K14</f>
        <v>6203.7824009098567</v>
      </c>
      <c r="L59" s="37">
        <f ca="1">CONBS!L14</f>
        <v>6681.1473471498648</v>
      </c>
      <c r="M59" s="37">
        <f ca="1">CONBS!M14</f>
        <v>7582.1114869862977</v>
      </c>
      <c r="N59" s="37">
        <f ca="1">CONBS!N14</f>
        <v>8475.8153191527908</v>
      </c>
      <c r="O59" s="37">
        <f ca="1">CONBS!O14</f>
        <v>9326.8374337890036</v>
      </c>
    </row>
    <row r="60" spans="1:15" ht="15.75" x14ac:dyDescent="0.25">
      <c r="A60" s="30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5" ht="16.5" thickBot="1" x14ac:dyDescent="0.3">
      <c r="A61" s="33" t="s">
        <v>154</v>
      </c>
      <c r="B61" s="36">
        <f>B57/B59</f>
        <v>0.37773546648203493</v>
      </c>
      <c r="C61" s="36">
        <f t="shared" ref="C61:O61" ca="1" si="13">C57/C59</f>
        <v>0.31054221969654938</v>
      </c>
      <c r="D61" s="36">
        <f t="shared" ca="1" si="13"/>
        <v>0.69835137069069753</v>
      </c>
      <c r="E61" s="36">
        <f t="shared" ca="1" si="13"/>
        <v>0.71481527800048472</v>
      </c>
      <c r="F61" s="36">
        <f t="shared" ca="1" si="13"/>
        <v>0.26485165675590477</v>
      </c>
      <c r="G61" s="36">
        <f t="shared" ca="1" si="13"/>
        <v>0.19284298410995712</v>
      </c>
      <c r="H61" s="36">
        <f t="shared" ca="1" si="13"/>
        <v>0.11630638022910866</v>
      </c>
      <c r="I61" s="36">
        <f t="shared" ca="1" si="13"/>
        <v>4.6627445130129806E-2</v>
      </c>
      <c r="J61" s="36">
        <f t="shared" ca="1" si="13"/>
        <v>-1.4051445169259841E-2</v>
      </c>
      <c r="K61" s="36">
        <f t="shared" ca="1" si="13"/>
        <v>-6.6494917671435311E-2</v>
      </c>
      <c r="L61" s="36">
        <f t="shared" ca="1" si="13"/>
        <v>-0.11562684668667761</v>
      </c>
      <c r="M61" s="36">
        <f t="shared" ca="1" si="13"/>
        <v>-0.14936736316048935</v>
      </c>
      <c r="N61" s="36">
        <f t="shared" ca="1" si="13"/>
        <v>-0.17514775205701236</v>
      </c>
      <c r="O61" s="36">
        <f t="shared" ca="1" si="13"/>
        <v>-0.15916649245133435</v>
      </c>
    </row>
    <row r="62" spans="1:15" ht="16.5" thickTop="1" x14ac:dyDescent="0.25">
      <c r="A62" s="30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5" ht="15.75" x14ac:dyDescent="0.25">
      <c r="A63" s="32" t="s">
        <v>155</v>
      </c>
      <c r="B63" s="39">
        <f ca="1">SUM(B61:O61)/15</f>
        <v>0.13614786559324391</v>
      </c>
      <c r="C63" s="37"/>
      <c r="D63" s="37"/>
      <c r="E63" s="37"/>
      <c r="F63" s="37"/>
      <c r="G63" s="37"/>
      <c r="H63" s="37"/>
      <c r="I63" s="37"/>
      <c r="J63" s="37"/>
      <c r="K63" s="37"/>
    </row>
    <row r="64" spans="1:15" ht="15.75" x14ac:dyDescent="0.25">
      <c r="A64" s="30"/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1:15" ht="15.75" x14ac:dyDescent="0.25">
      <c r="A65" s="32" t="s">
        <v>641</v>
      </c>
      <c r="B65" s="44" t="s">
        <v>29</v>
      </c>
      <c r="C65" s="49" t="s">
        <v>156</v>
      </c>
      <c r="D65" s="47"/>
      <c r="F65" s="37"/>
      <c r="G65" s="37"/>
      <c r="H65" s="37"/>
      <c r="I65" s="37"/>
      <c r="J65" s="37"/>
      <c r="K65" s="37"/>
    </row>
    <row r="66" spans="1:15" ht="15.75" x14ac:dyDescent="0.25">
      <c r="A66" s="30"/>
      <c r="B66" s="45"/>
      <c r="C66" s="50" t="s">
        <v>157</v>
      </c>
      <c r="D66" s="37"/>
      <c r="F66" s="37"/>
      <c r="G66" s="37"/>
      <c r="H66" s="37"/>
      <c r="I66" s="37"/>
      <c r="J66" s="37"/>
      <c r="K66" s="37"/>
    </row>
    <row r="67" spans="1:15" ht="15.75" x14ac:dyDescent="0.25">
      <c r="A67" s="30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5" ht="16.5" thickBot="1" x14ac:dyDescent="0.3">
      <c r="A68" s="31" t="s">
        <v>4</v>
      </c>
      <c r="B68" s="36" t="str">
        <f>B55</f>
        <v>2022-23</v>
      </c>
      <c r="C68" s="36" t="str">
        <f t="shared" ref="C68:O68" si="14">C55</f>
        <v>2023-24</v>
      </c>
      <c r="D68" s="36" t="str">
        <f t="shared" si="14"/>
        <v>2024-25</v>
      </c>
      <c r="E68" s="36" t="str">
        <f t="shared" si="14"/>
        <v>2025-26</v>
      </c>
      <c r="F68" s="36" t="str">
        <f t="shared" si="14"/>
        <v>2026-27</v>
      </c>
      <c r="G68" s="36" t="str">
        <f t="shared" si="14"/>
        <v>2027-28</v>
      </c>
      <c r="H68" s="36" t="str">
        <f t="shared" si="14"/>
        <v>2028-29</v>
      </c>
      <c r="I68" s="36" t="str">
        <f t="shared" si="14"/>
        <v>2029-30</v>
      </c>
      <c r="J68" s="36" t="str">
        <f t="shared" si="14"/>
        <v>2030-31</v>
      </c>
      <c r="K68" s="36" t="str">
        <f t="shared" si="14"/>
        <v>2031-32</v>
      </c>
      <c r="L68" s="36" t="str">
        <f t="shared" si="14"/>
        <v>2032-33</v>
      </c>
      <c r="M68" s="36" t="str">
        <f t="shared" si="14"/>
        <v>2033-34</v>
      </c>
      <c r="N68" s="36" t="str">
        <f t="shared" si="14"/>
        <v>2034-35</v>
      </c>
      <c r="O68" s="36" t="str">
        <f t="shared" si="14"/>
        <v>2035-36</v>
      </c>
    </row>
    <row r="69" spans="1:15" ht="16.5" thickTop="1" x14ac:dyDescent="0.25">
      <c r="A69" s="30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5" ht="15.75" x14ac:dyDescent="0.25">
      <c r="A70" s="30" t="s">
        <v>158</v>
      </c>
      <c r="B70" s="37">
        <f>CONBS!B53</f>
        <v>2370.6799999999998</v>
      </c>
      <c r="C70" s="37">
        <f>CONBS!C53</f>
        <v>2913.2799999999997</v>
      </c>
      <c r="D70" s="37">
        <f>CONBS!D53</f>
        <v>3101.8000000000006</v>
      </c>
      <c r="E70" s="37">
        <f>CONBS!E53</f>
        <v>3998.6492991500008</v>
      </c>
      <c r="F70" s="37">
        <f>CONBS!F53</f>
        <v>6374.1340240834988</v>
      </c>
      <c r="G70" s="37">
        <f>CONBS!G53</f>
        <v>6923.3393867125005</v>
      </c>
      <c r="H70" s="37">
        <f>CONBS!H53</f>
        <v>7613.8596680280507</v>
      </c>
      <c r="I70" s="37">
        <f>CONBS!I53</f>
        <v>8368.8767298548664</v>
      </c>
      <c r="J70" s="37">
        <f>CONBS!J53</f>
        <v>8971.942965976461</v>
      </c>
      <c r="K70" s="37">
        <f>CONBS!K53</f>
        <v>9929.5881447431293</v>
      </c>
      <c r="L70" s="37">
        <f>CONBS!L53</f>
        <v>10413.399059002371</v>
      </c>
      <c r="M70" s="37">
        <f>CONBS!M53</f>
        <v>11220.781648859789</v>
      </c>
      <c r="N70" s="37">
        <f>CONBS!N53</f>
        <v>12071.145636524519</v>
      </c>
      <c r="O70" s="37">
        <f>CONBS!O53</f>
        <v>12907.988009649689</v>
      </c>
    </row>
    <row r="71" spans="1:15" ht="15.75" x14ac:dyDescent="0.25">
      <c r="A71" s="30"/>
      <c r="B71" s="37"/>
      <c r="C71" s="37"/>
      <c r="D71" s="37"/>
      <c r="E71" s="37"/>
      <c r="F71" s="37"/>
      <c r="G71" s="37"/>
      <c r="H71" s="37"/>
      <c r="I71" s="37"/>
      <c r="J71" s="37"/>
      <c r="K71" s="37"/>
    </row>
    <row r="72" spans="1:15" ht="15.75" x14ac:dyDescent="0.25">
      <c r="A72" s="30" t="s">
        <v>159</v>
      </c>
      <c r="B72" s="37">
        <f>CONBS!B37</f>
        <v>2200.41</v>
      </c>
      <c r="C72" s="37">
        <f>CONBS!C37</f>
        <v>2183.15</v>
      </c>
      <c r="D72" s="37">
        <f>CONBS!D37</f>
        <v>2286.2199999999998</v>
      </c>
      <c r="E72" s="37">
        <f>CONBS!E37</f>
        <v>2984.5769025937502</v>
      </c>
      <c r="F72" s="37">
        <f>CONBS!F37</f>
        <v>4128.6852406250009</v>
      </c>
      <c r="G72" s="37">
        <f>CONBS!G37</f>
        <v>4317.4391562500014</v>
      </c>
      <c r="H72" s="37">
        <f>CONBS!H37</f>
        <v>4455.2216318750006</v>
      </c>
      <c r="I72" s="37">
        <f>CONBS!I37</f>
        <v>4654.3204755000015</v>
      </c>
      <c r="J72" s="37">
        <f>CONBS!J37</f>
        <v>4851.8993191250011</v>
      </c>
      <c r="K72" s="37">
        <f>CONBS!K37</f>
        <v>5156.5978134700017</v>
      </c>
      <c r="L72" s="37">
        <f>CONBS!L37</f>
        <v>5277.8855393990025</v>
      </c>
      <c r="M72" s="37">
        <f>CONBS!M37</f>
        <v>5380.1157592446016</v>
      </c>
      <c r="N72" s="37">
        <f>CONBS!N37</f>
        <v>5551.5223718507823</v>
      </c>
      <c r="O72" s="37">
        <f>CONBS!O37</f>
        <v>5473.4821252907532</v>
      </c>
    </row>
    <row r="73" spans="1:15" ht="15.75" x14ac:dyDescent="0.25">
      <c r="A73" s="30"/>
      <c r="B73" s="37"/>
      <c r="C73" s="37"/>
      <c r="D73" s="37"/>
      <c r="E73" s="37"/>
      <c r="F73" s="37"/>
      <c r="G73" s="37"/>
      <c r="H73" s="37"/>
      <c r="I73" s="37"/>
      <c r="J73" s="37"/>
      <c r="K73" s="37"/>
    </row>
    <row r="74" spans="1:15" ht="16.5" thickBot="1" x14ac:dyDescent="0.3">
      <c r="A74" s="33" t="s">
        <v>160</v>
      </c>
      <c r="B74" s="36">
        <f>B70/B72</f>
        <v>1.0773810335346594</v>
      </c>
      <c r="C74" s="36">
        <f t="shared" ref="C74:O74" si="15">C70/C72</f>
        <v>1.3344387696676818</v>
      </c>
      <c r="D74" s="36">
        <f t="shared" si="15"/>
        <v>1.3567373218675371</v>
      </c>
      <c r="E74" s="36">
        <f t="shared" si="15"/>
        <v>1.339770905442232</v>
      </c>
      <c r="F74" s="36">
        <f t="shared" si="15"/>
        <v>1.5438653354738618</v>
      </c>
      <c r="G74" s="36">
        <f t="shared" si="15"/>
        <v>1.6035754381599454</v>
      </c>
      <c r="H74" s="36">
        <f t="shared" si="15"/>
        <v>1.7089743894118512</v>
      </c>
      <c r="I74" s="36">
        <f t="shared" si="15"/>
        <v>1.7980877711167536</v>
      </c>
      <c r="J74" s="36">
        <f t="shared" si="15"/>
        <v>1.8491609936362972</v>
      </c>
      <c r="K74" s="36">
        <f t="shared" si="15"/>
        <v>1.9256084154566371</v>
      </c>
      <c r="L74" s="36">
        <f t="shared" si="15"/>
        <v>1.9730247996602357</v>
      </c>
      <c r="M74" s="36">
        <f t="shared" si="15"/>
        <v>2.0856022715829536</v>
      </c>
      <c r="N74" s="36">
        <f t="shared" si="15"/>
        <v>2.1743847593466881</v>
      </c>
      <c r="O74" s="36">
        <f t="shared" si="15"/>
        <v>2.3582771833687155</v>
      </c>
    </row>
    <row r="75" spans="1:15" ht="16.5" thickTop="1" x14ac:dyDescent="0.25">
      <c r="A75" s="30"/>
      <c r="B75" s="37"/>
      <c r="C75" s="37"/>
      <c r="D75" s="37"/>
      <c r="E75" s="37"/>
      <c r="F75" s="37"/>
      <c r="G75" s="37"/>
      <c r="H75" s="37"/>
      <c r="I75" s="37"/>
      <c r="J75" s="37"/>
      <c r="K75" s="37"/>
    </row>
    <row r="76" spans="1:15" ht="15.75" x14ac:dyDescent="0.25">
      <c r="A76" s="32" t="s">
        <v>161</v>
      </c>
      <c r="B76" s="37">
        <f>SUM(B74:O74)/15</f>
        <v>1.6085926258484033</v>
      </c>
      <c r="C76" s="37"/>
      <c r="D76" s="37"/>
      <c r="E76" s="37"/>
      <c r="F76" s="37"/>
      <c r="G76" s="37"/>
      <c r="H76" s="37"/>
      <c r="I76" s="37"/>
      <c r="J76" s="37"/>
      <c r="K76" s="37"/>
    </row>
    <row r="77" spans="1:15" ht="15.75" x14ac:dyDescent="0.25">
      <c r="A77" s="30"/>
      <c r="B77" s="37"/>
      <c r="C77" s="37"/>
      <c r="D77" s="37"/>
      <c r="E77" s="37"/>
      <c r="F77" s="37"/>
      <c r="G77" s="37"/>
      <c r="H77" s="37"/>
      <c r="I77" s="37"/>
      <c r="J77" s="37"/>
      <c r="K77" s="37"/>
    </row>
    <row r="78" spans="1:15" ht="15.75" x14ac:dyDescent="0.25">
      <c r="A78" s="54" t="s">
        <v>162</v>
      </c>
      <c r="B78" s="44" t="s">
        <v>29</v>
      </c>
      <c r="C78" s="49" t="s">
        <v>163</v>
      </c>
      <c r="D78" s="47"/>
      <c r="F78" s="37"/>
    </row>
    <row r="79" spans="1:15" ht="15.75" x14ac:dyDescent="0.25">
      <c r="B79" s="45"/>
      <c r="C79" s="50" t="s">
        <v>164</v>
      </c>
      <c r="D79" s="37"/>
      <c r="F79" s="37"/>
    </row>
    <row r="81" spans="1:15" ht="16.5" thickBot="1" x14ac:dyDescent="0.3">
      <c r="A81" s="31" t="s">
        <v>4</v>
      </c>
      <c r="B81" s="36" t="str">
        <f>B68</f>
        <v>2022-23</v>
      </c>
      <c r="C81" s="36" t="str">
        <f t="shared" ref="C81:O81" si="16">C68</f>
        <v>2023-24</v>
      </c>
      <c r="D81" s="36" t="str">
        <f t="shared" si="16"/>
        <v>2024-25</v>
      </c>
      <c r="E81" s="36" t="str">
        <f t="shared" si="16"/>
        <v>2025-26</v>
      </c>
      <c r="F81" s="36" t="str">
        <f t="shared" si="16"/>
        <v>2026-27</v>
      </c>
      <c r="G81" s="36" t="str">
        <f t="shared" si="16"/>
        <v>2027-28</v>
      </c>
      <c r="H81" s="36" t="str">
        <f t="shared" si="16"/>
        <v>2028-29</v>
      </c>
      <c r="I81" s="36" t="str">
        <f t="shared" si="16"/>
        <v>2029-30</v>
      </c>
      <c r="J81" s="36" t="str">
        <f t="shared" si="16"/>
        <v>2030-31</v>
      </c>
      <c r="K81" s="36" t="str">
        <f t="shared" si="16"/>
        <v>2031-32</v>
      </c>
      <c r="L81" s="36" t="str">
        <f t="shared" si="16"/>
        <v>2032-33</v>
      </c>
      <c r="M81" s="36" t="str">
        <f t="shared" si="16"/>
        <v>2033-34</v>
      </c>
      <c r="N81" s="36" t="str">
        <f t="shared" si="16"/>
        <v>2034-35</v>
      </c>
      <c r="O81" s="36" t="str">
        <f t="shared" si="16"/>
        <v>2035-36</v>
      </c>
    </row>
    <row r="82" spans="1:15" ht="13.5" thickTop="1" x14ac:dyDescent="0.2"/>
    <row r="83" spans="1:15" ht="15.75" x14ac:dyDescent="0.25">
      <c r="A83" s="30" t="s">
        <v>158</v>
      </c>
      <c r="B83" s="4">
        <f>B70</f>
        <v>2370.6799999999998</v>
      </c>
      <c r="C83" s="4">
        <f t="shared" ref="C83:O83" si="17">C70</f>
        <v>2913.2799999999997</v>
      </c>
      <c r="D83" s="4">
        <f t="shared" si="17"/>
        <v>3101.8000000000006</v>
      </c>
      <c r="E83" s="4">
        <f t="shared" si="17"/>
        <v>3998.6492991500008</v>
      </c>
      <c r="F83" s="4">
        <f t="shared" si="17"/>
        <v>6374.1340240834988</v>
      </c>
      <c r="G83" s="4">
        <f t="shared" si="17"/>
        <v>6923.3393867125005</v>
      </c>
      <c r="H83" s="4">
        <f t="shared" si="17"/>
        <v>7613.8596680280507</v>
      </c>
      <c r="I83" s="4">
        <f t="shared" si="17"/>
        <v>8368.8767298548664</v>
      </c>
      <c r="J83" s="4">
        <f t="shared" si="17"/>
        <v>8971.942965976461</v>
      </c>
      <c r="K83" s="4">
        <f t="shared" si="17"/>
        <v>9929.5881447431293</v>
      </c>
      <c r="L83" s="4">
        <f t="shared" si="17"/>
        <v>10413.399059002371</v>
      </c>
      <c r="M83" s="4">
        <f t="shared" si="17"/>
        <v>11220.781648859789</v>
      </c>
      <c r="N83" s="4">
        <f t="shared" si="17"/>
        <v>12071.145636524519</v>
      </c>
      <c r="O83" s="4">
        <f t="shared" si="17"/>
        <v>12907.988009649689</v>
      </c>
    </row>
    <row r="85" spans="1:15" x14ac:dyDescent="0.2">
      <c r="A85" s="3" t="s">
        <v>165</v>
      </c>
      <c r="B85" s="4">
        <f>CONBS!B49</f>
        <v>516.66</v>
      </c>
      <c r="C85" s="4">
        <f>CONBS!C49</f>
        <v>700</v>
      </c>
      <c r="D85" s="4">
        <f>CONBS!D49</f>
        <v>770</v>
      </c>
      <c r="E85" s="4">
        <f>CONBS!E49</f>
        <v>882.00000000000023</v>
      </c>
      <c r="F85" s="4">
        <f>CONBS!F49</f>
        <v>1690.2481925000002</v>
      </c>
      <c r="G85" s="4">
        <f>CONBS!G49</f>
        <v>2036.2675900000004</v>
      </c>
      <c r="H85" s="4">
        <f>CONBS!H49</f>
        <v>2332.6057947500008</v>
      </c>
      <c r="I85" s="4">
        <f>CONBS!I49</f>
        <v>2554.9095670000006</v>
      </c>
      <c r="J85" s="4">
        <f>CONBS!J49</f>
        <v>2569.3507647500014</v>
      </c>
      <c r="K85" s="4">
        <f>CONBS!K49</f>
        <v>2798.4724075000017</v>
      </c>
      <c r="L85" s="4">
        <f>CONBS!L49</f>
        <v>2788.3856724500015</v>
      </c>
      <c r="M85" s="4">
        <f>CONBS!M49</f>
        <v>3029.2968300700018</v>
      </c>
      <c r="N85" s="4">
        <f>CONBS!N49</f>
        <v>3286.713621527002</v>
      </c>
      <c r="O85" s="4">
        <f>CONBS!O49</f>
        <v>3562.2866102047033</v>
      </c>
    </row>
    <row r="87" spans="1:15" ht="15.75" x14ac:dyDescent="0.25">
      <c r="A87" s="30" t="s">
        <v>166</v>
      </c>
      <c r="B87" s="4">
        <f>B72</f>
        <v>2200.41</v>
      </c>
      <c r="C87" s="4">
        <f t="shared" ref="C87:O87" si="18">C72</f>
        <v>2183.15</v>
      </c>
      <c r="D87" s="4">
        <f t="shared" si="18"/>
        <v>2286.2199999999998</v>
      </c>
      <c r="E87" s="4">
        <f t="shared" si="18"/>
        <v>2984.5769025937502</v>
      </c>
      <c r="F87" s="4">
        <f t="shared" si="18"/>
        <v>4128.6852406250009</v>
      </c>
      <c r="G87" s="4">
        <f t="shared" si="18"/>
        <v>4317.4391562500014</v>
      </c>
      <c r="H87" s="4">
        <f t="shared" si="18"/>
        <v>4455.2216318750006</v>
      </c>
      <c r="I87" s="4">
        <f t="shared" si="18"/>
        <v>4654.3204755000015</v>
      </c>
      <c r="J87" s="4">
        <f t="shared" si="18"/>
        <v>4851.8993191250011</v>
      </c>
      <c r="K87" s="4">
        <f t="shared" si="18"/>
        <v>5156.5978134700017</v>
      </c>
      <c r="L87" s="4">
        <f t="shared" si="18"/>
        <v>5277.8855393990025</v>
      </c>
      <c r="M87" s="4">
        <f t="shared" si="18"/>
        <v>5380.1157592446016</v>
      </c>
      <c r="N87" s="4">
        <f t="shared" si="18"/>
        <v>5551.5223718507823</v>
      </c>
      <c r="O87" s="4">
        <f t="shared" si="18"/>
        <v>5473.4821252907532</v>
      </c>
    </row>
    <row r="89" spans="1:15" ht="13.5" thickBot="1" x14ac:dyDescent="0.25">
      <c r="A89" s="21" t="s">
        <v>167</v>
      </c>
      <c r="B89" s="25">
        <f>(B83-B85)/B87</f>
        <v>0.84257933748710467</v>
      </c>
      <c r="C89" s="25">
        <f t="shared" ref="C89:O89" si="19">(C83-C85)/C87</f>
        <v>1.0138011588759359</v>
      </c>
      <c r="D89" s="25">
        <f t="shared" si="19"/>
        <v>1.0199368389743773</v>
      </c>
      <c r="E89" s="25">
        <f t="shared" si="19"/>
        <v>1.0442516312585119</v>
      </c>
      <c r="F89" s="25">
        <f t="shared" si="19"/>
        <v>1.1344739447549776</v>
      </c>
      <c r="G89" s="25">
        <f t="shared" si="19"/>
        <v>1.1319376185389638</v>
      </c>
      <c r="H89" s="25">
        <f t="shared" si="19"/>
        <v>1.185407665354554</v>
      </c>
      <c r="I89" s="25">
        <f t="shared" si="19"/>
        <v>1.2491548859729704</v>
      </c>
      <c r="J89" s="25">
        <f t="shared" si="19"/>
        <v>1.3196053298115662</v>
      </c>
      <c r="K89" s="25">
        <f t="shared" si="19"/>
        <v>1.382910980300871</v>
      </c>
      <c r="L89" s="25">
        <f t="shared" si="19"/>
        <v>1.4447098804307599</v>
      </c>
      <c r="M89" s="25">
        <f t="shared" si="19"/>
        <v>1.5225480612967179</v>
      </c>
      <c r="N89" s="25">
        <f t="shared" si="19"/>
        <v>1.5823465036436373</v>
      </c>
      <c r="O89" s="25">
        <f t="shared" si="19"/>
        <v>1.7074507937574637</v>
      </c>
    </row>
    <row r="90" spans="1:15" ht="13.5" thickTop="1" x14ac:dyDescent="0.2"/>
    <row r="91" spans="1:15" ht="15.75" x14ac:dyDescent="0.25">
      <c r="A91" s="32" t="s">
        <v>168</v>
      </c>
      <c r="B91" s="39">
        <f>SUM(B89:O89)/15</f>
        <v>1.1720743086972274</v>
      </c>
    </row>
    <row r="93" spans="1:15" ht="15.75" x14ac:dyDescent="0.25">
      <c r="A93" s="54" t="s">
        <v>169</v>
      </c>
      <c r="C93" s="44" t="s">
        <v>29</v>
      </c>
      <c r="D93" s="49" t="s">
        <v>170</v>
      </c>
      <c r="E93" s="47"/>
      <c r="G93" s="37"/>
    </row>
    <row r="94" spans="1:15" ht="15.75" x14ac:dyDescent="0.25">
      <c r="C94" s="45"/>
      <c r="D94" s="50" t="s">
        <v>171</v>
      </c>
      <c r="E94" s="37"/>
      <c r="G94" s="37"/>
    </row>
    <row r="96" spans="1:15" ht="16.5" thickBot="1" x14ac:dyDescent="0.3">
      <c r="A96" s="31" t="s">
        <v>4</v>
      </c>
      <c r="B96" s="36" t="str">
        <f>B81</f>
        <v>2022-23</v>
      </c>
      <c r="C96" s="36" t="str">
        <f t="shared" ref="C96:O96" si="20">C81</f>
        <v>2023-24</v>
      </c>
      <c r="D96" s="36" t="str">
        <f t="shared" si="20"/>
        <v>2024-25</v>
      </c>
      <c r="E96" s="36" t="str">
        <f t="shared" si="20"/>
        <v>2025-26</v>
      </c>
      <c r="F96" s="36" t="str">
        <f t="shared" si="20"/>
        <v>2026-27</v>
      </c>
      <c r="G96" s="36" t="str">
        <f t="shared" si="20"/>
        <v>2027-28</v>
      </c>
      <c r="H96" s="36" t="str">
        <f t="shared" si="20"/>
        <v>2028-29</v>
      </c>
      <c r="I96" s="36" t="str">
        <f t="shared" si="20"/>
        <v>2029-30</v>
      </c>
      <c r="J96" s="36" t="str">
        <f t="shared" si="20"/>
        <v>2030-31</v>
      </c>
      <c r="K96" s="36" t="str">
        <f t="shared" si="20"/>
        <v>2031-32</v>
      </c>
      <c r="L96" s="36" t="str">
        <f t="shared" si="20"/>
        <v>2032-33</v>
      </c>
      <c r="M96" s="36" t="str">
        <f t="shared" si="20"/>
        <v>2033-34</v>
      </c>
      <c r="N96" s="36" t="str">
        <f t="shared" si="20"/>
        <v>2034-35</v>
      </c>
      <c r="O96" s="36" t="str">
        <f t="shared" si="20"/>
        <v>2035-36</v>
      </c>
    </row>
    <row r="97" spans="1:15" ht="13.5" thickTop="1" x14ac:dyDescent="0.2"/>
    <row r="98" spans="1:15" x14ac:dyDescent="0.2">
      <c r="A98" s="3" t="s">
        <v>172</v>
      </c>
      <c r="B98" s="4">
        <f>CONBS!B39-CONBS!B14-CONBS!B15</f>
        <v>2505.9299999999998</v>
      </c>
      <c r="C98" s="4">
        <f ca="1">CONBS!C39-CONBS!C14-CONBS!C15</f>
        <v>3234.6699999999992</v>
      </c>
      <c r="D98" s="4">
        <f ca="1">CONBS!D39-CONBS!D14-CONBS!D15</f>
        <v>4891.87</v>
      </c>
      <c r="E98" s="4">
        <f ca="1">CONBS!E39-CONBS!E14-CONBS!E15</f>
        <v>6123.2269025937503</v>
      </c>
      <c r="F98" s="4">
        <f ca="1">CONBS!F39-CONBS!F14-CONBS!F15</f>
        <v>6644.115240625003</v>
      </c>
      <c r="G98" s="4">
        <f ca="1">CONBS!G39-CONBS!G14-CONBS!G15</f>
        <v>6589.4391562500014</v>
      </c>
      <c r="H98" s="4">
        <f ca="1">CONBS!H39-CONBS!H14-CONBS!H15</f>
        <v>6463.2216318750006</v>
      </c>
      <c r="I98" s="4">
        <f ca="1">CONBS!I39-CONBS!I14-CONBS!I15</f>
        <v>6374.3204755000024</v>
      </c>
      <c r="J98" s="4">
        <f ca="1">CONBS!J39-CONBS!J14-CONBS!J15</f>
        <v>6259.8993191250011</v>
      </c>
      <c r="K98" s="4">
        <f ca="1">CONBS!K39-CONBS!K14-CONBS!K15</f>
        <v>6228.5978134700026</v>
      </c>
      <c r="L98" s="4">
        <f ca="1">CONBS!L39-CONBS!L14-CONBS!L15</f>
        <v>5989.8855393990025</v>
      </c>
      <c r="M98" s="4">
        <f ca="1">CONBS!M39-CONBS!M14-CONBS!M15</f>
        <v>5732.1157592446025</v>
      </c>
      <c r="N98" s="4">
        <f ca="1">CONBS!N39-CONBS!N14-CONBS!N15</f>
        <v>5551.5223718507832</v>
      </c>
      <c r="O98" s="4">
        <f ca="1">CONBS!O39-CONBS!O14-CONBS!O15</f>
        <v>5473.4821252907541</v>
      </c>
    </row>
    <row r="100" spans="1:15" x14ac:dyDescent="0.2">
      <c r="A100" s="3" t="s">
        <v>173</v>
      </c>
      <c r="B100" s="4">
        <f>CONBS!B14</f>
        <v>808.8200000000013</v>
      </c>
      <c r="C100" s="4">
        <f ca="1">CONBS!C14</f>
        <v>1358.2694179624518</v>
      </c>
      <c r="D100" s="4">
        <f ca="1">CONBS!D14</f>
        <v>2256.6433834608815</v>
      </c>
      <c r="E100" s="4">
        <f ca="1">CONBS!E14</f>
        <v>2593.8589409930642</v>
      </c>
      <c r="F100" s="4">
        <f ca="1">CONBS!F14</f>
        <v>3892.4053284292568</v>
      </c>
      <c r="G100" s="4">
        <f ca="1">CONBS!G14</f>
        <v>4083.5294249076069</v>
      </c>
      <c r="H100" s="4">
        <f ca="1">CONBS!H14</f>
        <v>4500.8708805897968</v>
      </c>
      <c r="I100" s="4">
        <f ca="1">CONBS!I14</f>
        <v>5050.2445360841166</v>
      </c>
      <c r="J100" s="4">
        <f ca="1">CONBS!J14</f>
        <v>5445.7032054896381</v>
      </c>
      <c r="K100" s="4">
        <f ca="1">CONBS!K14</f>
        <v>6203.7824009098567</v>
      </c>
      <c r="L100" s="4">
        <f ca="1">CONBS!L14</f>
        <v>6681.1473471498648</v>
      </c>
      <c r="M100" s="4">
        <f ca="1">CONBS!M14</f>
        <v>7582.1114869862977</v>
      </c>
      <c r="N100" s="4">
        <f ca="1">CONBS!N14</f>
        <v>8475.8153191527908</v>
      </c>
      <c r="O100" s="4">
        <f ca="1">CONBS!O14</f>
        <v>9326.8374337890036</v>
      </c>
    </row>
    <row r="102" spans="1:15" ht="13.5" thickBot="1" x14ac:dyDescent="0.25">
      <c r="A102" s="22" t="s">
        <v>169</v>
      </c>
      <c r="B102" s="25">
        <f>B98/B100</f>
        <v>3.0982542469276177</v>
      </c>
      <c r="C102" s="25">
        <f t="shared" ref="C102:O102" ca="1" si="21">C98/C100</f>
        <v>2.3814642052769965</v>
      </c>
      <c r="D102" s="25">
        <f t="shared" ca="1" si="21"/>
        <v>2.1677638725963098</v>
      </c>
      <c r="E102" s="25">
        <f t="shared" ca="1" si="21"/>
        <v>2.3606630282869046</v>
      </c>
      <c r="F102" s="25">
        <f t="shared" ca="1" si="21"/>
        <v>1.7069433114012751</v>
      </c>
      <c r="G102" s="25">
        <f t="shared" ca="1" si="21"/>
        <v>1.613662709531986</v>
      </c>
      <c r="H102" s="25">
        <f t="shared" ca="1" si="21"/>
        <v>1.4359935673222548</v>
      </c>
      <c r="I102" s="25">
        <f t="shared" ca="1" si="21"/>
        <v>1.2621805597640534</v>
      </c>
      <c r="J102" s="25">
        <f t="shared" ca="1" si="21"/>
        <v>1.1495116577074194</v>
      </c>
      <c r="K102" s="25">
        <f t="shared" ca="1" si="21"/>
        <v>1.0040000456103209</v>
      </c>
      <c r="L102" s="25">
        <f t="shared" ca="1" si="21"/>
        <v>0.89653546436964149</v>
      </c>
      <c r="M102" s="25">
        <f t="shared" ca="1" si="21"/>
        <v>0.75600520634430513</v>
      </c>
      <c r="N102" s="25">
        <f t="shared" ca="1" si="21"/>
        <v>0.65498387621849363</v>
      </c>
      <c r="O102" s="25">
        <f t="shared" ca="1" si="21"/>
        <v>0.58685295676555671</v>
      </c>
    </row>
    <row r="103" spans="1:15" ht="13.5" thickTop="1" x14ac:dyDescent="0.2"/>
    <row r="105" spans="1:15" x14ac:dyDescent="0.2">
      <c r="A105" s="54" t="s">
        <v>174</v>
      </c>
      <c r="B105" s="26">
        <f ca="1">SUM(B102:O102)/15</f>
        <v>1.4049876472082092</v>
      </c>
    </row>
  </sheetData>
  <pageMargins left="0.7" right="0.7" top="0.75" bottom="0.75" header="0.3" footer="0.3"/>
  <pageSetup scale="68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5"/>
  <sheetViews>
    <sheetView zoomScaleNormal="100" workbookViewId="0">
      <selection activeCell="A7" sqref="A7:D7"/>
    </sheetView>
  </sheetViews>
  <sheetFormatPr defaultRowHeight="12.75" x14ac:dyDescent="0.2"/>
  <cols>
    <col min="1" max="1" width="8.28515625" customWidth="1"/>
    <col min="2" max="2" width="7.5703125" customWidth="1"/>
    <col min="3" max="3" width="9" customWidth="1"/>
    <col min="4" max="5" width="8.42578125" customWidth="1"/>
    <col min="6" max="6" width="7.5703125" customWidth="1"/>
    <col min="8" max="8" width="11.85546875" customWidth="1"/>
    <col min="9" max="9" width="20" customWidth="1"/>
  </cols>
  <sheetData>
    <row r="2" spans="1:9" ht="18.75" x14ac:dyDescent="0.3">
      <c r="A2" s="697" t="s">
        <v>58</v>
      </c>
      <c r="B2" s="697"/>
      <c r="C2" s="697"/>
      <c r="D2" s="697"/>
      <c r="E2" s="697"/>
      <c r="F2" s="697"/>
      <c r="G2" s="697"/>
      <c r="H2" s="697"/>
      <c r="I2" s="697"/>
    </row>
    <row r="3" spans="1:9" x14ac:dyDescent="0.2">
      <c r="A3" s="704" t="s">
        <v>87</v>
      </c>
      <c r="B3" s="704"/>
      <c r="C3" s="704"/>
      <c r="D3" s="704"/>
      <c r="E3" s="704"/>
      <c r="F3" s="704"/>
      <c r="G3" s="704"/>
      <c r="H3" s="704"/>
      <c r="I3" s="704"/>
    </row>
    <row r="4" spans="1:9" x14ac:dyDescent="0.2">
      <c r="A4" s="23"/>
      <c r="B4" s="23"/>
      <c r="C4" s="23"/>
      <c r="D4" s="23"/>
      <c r="E4" s="23"/>
      <c r="F4" s="23"/>
      <c r="G4" s="23"/>
      <c r="H4" s="23"/>
      <c r="I4" s="23"/>
    </row>
    <row r="5" spans="1:9" ht="15.75" x14ac:dyDescent="0.25">
      <c r="A5" s="698" t="s">
        <v>111</v>
      </c>
      <c r="B5" s="699"/>
      <c r="C5" s="699"/>
      <c r="D5" s="699"/>
      <c r="E5" s="699"/>
      <c r="F5" s="699"/>
      <c r="G5" s="699"/>
      <c r="H5" s="699"/>
      <c r="I5" s="699"/>
    </row>
    <row r="6" spans="1:9" ht="15" x14ac:dyDescent="0.25">
      <c r="A6" s="5"/>
      <c r="B6" s="6"/>
      <c r="C6" s="5"/>
      <c r="D6" s="5"/>
      <c r="E6" s="5"/>
      <c r="F6" s="5"/>
      <c r="G6" s="5"/>
      <c r="H6" s="5"/>
      <c r="I6" s="5"/>
    </row>
    <row r="7" spans="1:9" ht="15" x14ac:dyDescent="0.25">
      <c r="A7" s="700" t="s">
        <v>112</v>
      </c>
      <c r="B7" s="700"/>
      <c r="C7" s="700"/>
      <c r="D7" s="700"/>
      <c r="E7" s="5"/>
      <c r="F7" s="5"/>
      <c r="G7" s="5"/>
      <c r="H7" s="5"/>
      <c r="I7" s="5"/>
    </row>
    <row r="8" spans="1:9" ht="15" x14ac:dyDescent="0.25">
      <c r="A8" s="700" t="s">
        <v>60</v>
      </c>
      <c r="B8" s="701"/>
      <c r="C8" s="701"/>
      <c r="D8" s="701"/>
      <c r="E8" s="5"/>
      <c r="F8" s="5"/>
      <c r="G8" s="5"/>
      <c r="H8" s="5"/>
      <c r="I8" s="5"/>
    </row>
    <row r="9" spans="1:9" ht="15" x14ac:dyDescent="0.25">
      <c r="A9" s="7" t="s">
        <v>113</v>
      </c>
      <c r="B9" s="8"/>
      <c r="C9" s="8"/>
      <c r="D9" s="8"/>
      <c r="E9" s="5"/>
      <c r="F9" s="5"/>
      <c r="G9" s="5"/>
      <c r="H9" s="5"/>
      <c r="I9" s="5"/>
    </row>
    <row r="10" spans="1:9" ht="15" x14ac:dyDescent="0.25">
      <c r="A10" s="700" t="s">
        <v>114</v>
      </c>
      <c r="B10" s="701"/>
      <c r="C10" s="701"/>
      <c r="D10" s="701"/>
      <c r="E10" s="5"/>
      <c r="F10" s="5"/>
      <c r="G10" s="5"/>
      <c r="H10" s="5"/>
      <c r="I10" s="5"/>
    </row>
    <row r="11" spans="1:9" ht="15" x14ac:dyDescent="0.25">
      <c r="A11" s="700" t="s">
        <v>67</v>
      </c>
      <c r="B11" s="701"/>
      <c r="C11" s="701"/>
      <c r="D11" s="701"/>
      <c r="E11" s="5"/>
      <c r="F11" s="5"/>
      <c r="G11" s="5"/>
      <c r="H11" s="5"/>
      <c r="I11" s="5"/>
    </row>
    <row r="12" spans="1:9" ht="15" x14ac:dyDescent="0.25">
      <c r="A12" s="700" t="s">
        <v>61</v>
      </c>
      <c r="B12" s="701"/>
      <c r="C12" s="701"/>
      <c r="D12" s="701"/>
      <c r="E12" s="5"/>
      <c r="F12" s="5"/>
      <c r="G12" s="5"/>
      <c r="H12" s="5"/>
      <c r="I12" s="5"/>
    </row>
    <row r="13" spans="1:9" ht="15" x14ac:dyDescent="0.25">
      <c r="A13" s="5"/>
      <c r="B13" s="6"/>
      <c r="C13" s="5"/>
      <c r="D13" s="5"/>
      <c r="E13" s="5"/>
      <c r="F13" s="5"/>
      <c r="G13" s="5"/>
      <c r="H13" s="5"/>
      <c r="I13" s="5"/>
    </row>
    <row r="14" spans="1:9" ht="30" thickBot="1" x14ac:dyDescent="0.3">
      <c r="A14" s="20" t="s">
        <v>4</v>
      </c>
      <c r="B14" s="19" t="s">
        <v>47</v>
      </c>
      <c r="C14" s="19" t="s">
        <v>27</v>
      </c>
      <c r="D14" s="19" t="s">
        <v>48</v>
      </c>
      <c r="E14" s="19" t="s">
        <v>41</v>
      </c>
      <c r="F14" s="19" t="s">
        <v>5</v>
      </c>
      <c r="G14" s="19" t="s">
        <v>43</v>
      </c>
      <c r="H14" s="19" t="s">
        <v>42</v>
      </c>
      <c r="I14" s="19" t="s">
        <v>28</v>
      </c>
    </row>
    <row r="15" spans="1:9" ht="15.75" thickTop="1" x14ac:dyDescent="0.25">
      <c r="A15" s="694" t="s">
        <v>49</v>
      </c>
      <c r="B15" s="12">
        <v>45017</v>
      </c>
      <c r="C15" s="13">
        <v>203.43</v>
      </c>
      <c r="D15" s="13">
        <v>0</v>
      </c>
      <c r="E15" s="13">
        <f>C15*9.6%/12</f>
        <v>1.62744</v>
      </c>
      <c r="F15" s="13">
        <f>C15+D15+E15</f>
        <v>205.05744000000001</v>
      </c>
      <c r="G15" s="13">
        <f>40/12</f>
        <v>3.3333333333333335</v>
      </c>
      <c r="H15" s="13">
        <f>E15+G15</f>
        <v>4.9607733333333339</v>
      </c>
      <c r="I15" s="13">
        <f>F15-H15</f>
        <v>200.09666666666669</v>
      </c>
    </row>
    <row r="16" spans="1:9" ht="15" x14ac:dyDescent="0.25">
      <c r="A16" s="695"/>
      <c r="B16" s="12">
        <v>45047</v>
      </c>
      <c r="C16" s="13">
        <f>I15</f>
        <v>200.09666666666669</v>
      </c>
      <c r="D16" s="13">
        <v>0</v>
      </c>
      <c r="E16" s="13">
        <v>0</v>
      </c>
      <c r="F16" s="13">
        <f t="shared" ref="F16:F26" si="0">C16+D16+E16</f>
        <v>200.09666666666669</v>
      </c>
      <c r="G16" s="13">
        <f t="shared" ref="G16:G26" si="1">40/12</f>
        <v>3.3333333333333335</v>
      </c>
      <c r="H16" s="13">
        <f t="shared" ref="H16:H26" si="2">E16+G16</f>
        <v>3.3333333333333335</v>
      </c>
      <c r="I16" s="13">
        <f t="shared" ref="I16:I26" si="3">F16-H16</f>
        <v>196.76333333333335</v>
      </c>
    </row>
    <row r="17" spans="1:9" ht="15" x14ac:dyDescent="0.25">
      <c r="A17" s="695"/>
      <c r="B17" s="12">
        <v>45078</v>
      </c>
      <c r="C17" s="13">
        <f t="shared" ref="C17:C26" si="4">I16</f>
        <v>196.76333333333335</v>
      </c>
      <c r="D17" s="13">
        <v>0</v>
      </c>
      <c r="E17" s="13">
        <f>(C17+D17)*10%/12</f>
        <v>1.6396944444444446</v>
      </c>
      <c r="F17" s="13">
        <f t="shared" si="0"/>
        <v>198.40302777777779</v>
      </c>
      <c r="G17" s="13">
        <f t="shared" si="1"/>
        <v>3.3333333333333335</v>
      </c>
      <c r="H17" s="13">
        <f t="shared" si="2"/>
        <v>4.9730277777777783</v>
      </c>
      <c r="I17" s="13">
        <f t="shared" si="3"/>
        <v>193.43</v>
      </c>
    </row>
    <row r="18" spans="1:9" ht="15" x14ac:dyDescent="0.25">
      <c r="A18" s="695"/>
      <c r="B18" s="12">
        <v>45108</v>
      </c>
      <c r="C18" s="13">
        <f t="shared" si="4"/>
        <v>193.43</v>
      </c>
      <c r="D18" s="13">
        <v>0</v>
      </c>
      <c r="E18" s="13">
        <f t="shared" ref="E18:E19" si="5">(C18+D18)*10%/12</f>
        <v>1.6119166666666669</v>
      </c>
      <c r="F18" s="13">
        <f t="shared" si="0"/>
        <v>195.04191666666668</v>
      </c>
      <c r="G18" s="13">
        <f t="shared" si="1"/>
        <v>3.3333333333333335</v>
      </c>
      <c r="H18" s="13">
        <f t="shared" si="2"/>
        <v>4.9452500000000006</v>
      </c>
      <c r="I18" s="13">
        <f t="shared" si="3"/>
        <v>190.09666666666669</v>
      </c>
    </row>
    <row r="19" spans="1:9" ht="15" x14ac:dyDescent="0.25">
      <c r="A19" s="695"/>
      <c r="B19" s="12">
        <v>45139</v>
      </c>
      <c r="C19" s="13">
        <f t="shared" si="4"/>
        <v>190.09666666666669</v>
      </c>
      <c r="D19" s="13">
        <v>0</v>
      </c>
      <c r="E19" s="13">
        <f t="shared" si="5"/>
        <v>1.5841388888888892</v>
      </c>
      <c r="F19" s="13">
        <f t="shared" si="0"/>
        <v>191.68080555555559</v>
      </c>
      <c r="G19" s="13">
        <f t="shared" si="1"/>
        <v>3.3333333333333335</v>
      </c>
      <c r="H19" s="13">
        <f t="shared" si="2"/>
        <v>4.9174722222222229</v>
      </c>
      <c r="I19" s="13">
        <f t="shared" si="3"/>
        <v>186.76333333333338</v>
      </c>
    </row>
    <row r="20" spans="1:9" ht="15" x14ac:dyDescent="0.25">
      <c r="A20" s="695"/>
      <c r="B20" s="12">
        <v>45170</v>
      </c>
      <c r="C20" s="13">
        <f t="shared" si="4"/>
        <v>186.76333333333338</v>
      </c>
      <c r="D20" s="13">
        <v>0</v>
      </c>
      <c r="E20" s="13">
        <f>(C20+D20)*9.6%/12</f>
        <v>1.4941066666666671</v>
      </c>
      <c r="F20" s="13">
        <f t="shared" si="0"/>
        <v>188.25744000000003</v>
      </c>
      <c r="G20" s="13">
        <f t="shared" si="1"/>
        <v>3.3333333333333335</v>
      </c>
      <c r="H20" s="13">
        <f t="shared" si="2"/>
        <v>4.8274400000000011</v>
      </c>
      <c r="I20" s="13">
        <f t="shared" si="3"/>
        <v>183.43000000000004</v>
      </c>
    </row>
    <row r="21" spans="1:9" ht="15" x14ac:dyDescent="0.25">
      <c r="A21" s="695"/>
      <c r="B21" s="12">
        <v>45200</v>
      </c>
      <c r="C21" s="13">
        <f t="shared" si="4"/>
        <v>183.43000000000004</v>
      </c>
      <c r="D21" s="13">
        <v>0</v>
      </c>
      <c r="E21" s="13">
        <f t="shared" ref="E21:E84" si="6">(C21+D21)*9.6%/12</f>
        <v>1.4674400000000005</v>
      </c>
      <c r="F21" s="13">
        <f t="shared" si="0"/>
        <v>184.89744000000005</v>
      </c>
      <c r="G21" s="13">
        <f t="shared" si="1"/>
        <v>3.3333333333333335</v>
      </c>
      <c r="H21" s="13">
        <f t="shared" si="2"/>
        <v>4.8007733333333338</v>
      </c>
      <c r="I21" s="13">
        <f t="shared" si="3"/>
        <v>180.09666666666672</v>
      </c>
    </row>
    <row r="22" spans="1:9" ht="15" x14ac:dyDescent="0.25">
      <c r="A22" s="695"/>
      <c r="B22" s="12">
        <v>45231</v>
      </c>
      <c r="C22" s="13">
        <f t="shared" si="4"/>
        <v>180.09666666666672</v>
      </c>
      <c r="D22" s="13">
        <v>0</v>
      </c>
      <c r="E22" s="13">
        <f t="shared" si="6"/>
        <v>1.4407733333333337</v>
      </c>
      <c r="F22" s="13">
        <f t="shared" si="0"/>
        <v>181.53744000000006</v>
      </c>
      <c r="G22" s="13">
        <f t="shared" si="1"/>
        <v>3.3333333333333335</v>
      </c>
      <c r="H22" s="13">
        <f t="shared" si="2"/>
        <v>4.7741066666666674</v>
      </c>
      <c r="I22" s="13">
        <f t="shared" si="3"/>
        <v>176.76333333333341</v>
      </c>
    </row>
    <row r="23" spans="1:9" ht="15" x14ac:dyDescent="0.25">
      <c r="A23" s="695"/>
      <c r="B23" s="12">
        <v>45261</v>
      </c>
      <c r="C23" s="13">
        <f t="shared" si="4"/>
        <v>176.76333333333341</v>
      </c>
      <c r="D23" s="13">
        <v>0</v>
      </c>
      <c r="E23" s="13">
        <f t="shared" si="6"/>
        <v>1.4141066666666673</v>
      </c>
      <c r="F23" s="13">
        <f t="shared" si="0"/>
        <v>178.17744000000008</v>
      </c>
      <c r="G23" s="13">
        <f t="shared" si="1"/>
        <v>3.3333333333333335</v>
      </c>
      <c r="H23" s="13">
        <f t="shared" si="2"/>
        <v>4.747440000000001</v>
      </c>
      <c r="I23" s="13">
        <f t="shared" si="3"/>
        <v>173.43000000000006</v>
      </c>
    </row>
    <row r="24" spans="1:9" ht="15" x14ac:dyDescent="0.25">
      <c r="A24" s="695"/>
      <c r="B24" s="12">
        <v>45292</v>
      </c>
      <c r="C24" s="13">
        <f t="shared" si="4"/>
        <v>173.43000000000006</v>
      </c>
      <c r="D24" s="13">
        <v>0</v>
      </c>
      <c r="E24" s="13">
        <f t="shared" si="6"/>
        <v>1.3874400000000007</v>
      </c>
      <c r="F24" s="13">
        <f t="shared" si="0"/>
        <v>174.81744000000006</v>
      </c>
      <c r="G24" s="13">
        <f t="shared" si="1"/>
        <v>3.3333333333333335</v>
      </c>
      <c r="H24" s="13">
        <f t="shared" si="2"/>
        <v>4.7207733333333337</v>
      </c>
      <c r="I24" s="13">
        <f t="shared" si="3"/>
        <v>170.09666666666672</v>
      </c>
    </row>
    <row r="25" spans="1:9" ht="15" x14ac:dyDescent="0.25">
      <c r="A25" s="695"/>
      <c r="B25" s="12">
        <v>45323</v>
      </c>
      <c r="C25" s="13">
        <f t="shared" si="4"/>
        <v>170.09666666666672</v>
      </c>
      <c r="D25" s="13">
        <v>0</v>
      </c>
      <c r="E25" s="13">
        <f t="shared" si="6"/>
        <v>1.3607733333333336</v>
      </c>
      <c r="F25" s="13">
        <f t="shared" si="0"/>
        <v>171.45744000000005</v>
      </c>
      <c r="G25" s="13">
        <f t="shared" si="1"/>
        <v>3.3333333333333335</v>
      </c>
      <c r="H25" s="13">
        <f t="shared" si="2"/>
        <v>4.6941066666666673</v>
      </c>
      <c r="I25" s="13">
        <f t="shared" si="3"/>
        <v>166.76333333333338</v>
      </c>
    </row>
    <row r="26" spans="1:9" ht="15" x14ac:dyDescent="0.25">
      <c r="A26" s="696"/>
      <c r="B26" s="12">
        <v>45352</v>
      </c>
      <c r="C26" s="13">
        <f t="shared" si="4"/>
        <v>166.76333333333338</v>
      </c>
      <c r="D26" s="13">
        <v>0</v>
      </c>
      <c r="E26" s="13">
        <f t="shared" si="6"/>
        <v>1.334106666666667</v>
      </c>
      <c r="F26" s="13">
        <f t="shared" si="0"/>
        <v>168.09744000000003</v>
      </c>
      <c r="G26" s="13">
        <f t="shared" si="1"/>
        <v>3.3333333333333335</v>
      </c>
      <c r="H26" s="13">
        <f t="shared" si="2"/>
        <v>4.6674400000000009</v>
      </c>
      <c r="I26" s="13">
        <f t="shared" si="3"/>
        <v>163.43000000000004</v>
      </c>
    </row>
    <row r="27" spans="1:9" ht="15.75" thickBot="1" x14ac:dyDescent="0.3">
      <c r="A27" s="9"/>
      <c r="B27" s="14"/>
      <c r="C27" s="15"/>
      <c r="D27" s="15">
        <f>SUM(D17:D26)</f>
        <v>0</v>
      </c>
      <c r="E27" s="15">
        <f>SUM(E17:E26)</f>
        <v>14.734496666666672</v>
      </c>
      <c r="F27" s="15"/>
      <c r="G27" s="15">
        <f>SUM(G15:G26)</f>
        <v>40</v>
      </c>
      <c r="H27" s="15">
        <f>SUM(H17:H26)</f>
        <v>48.067830000000008</v>
      </c>
      <c r="I27" s="15"/>
    </row>
    <row r="28" spans="1:9" ht="15.75" thickTop="1" x14ac:dyDescent="0.25">
      <c r="A28" s="694" t="s">
        <v>50</v>
      </c>
      <c r="B28" s="12">
        <v>45383</v>
      </c>
      <c r="C28" s="13">
        <f>I26</f>
        <v>163.43000000000004</v>
      </c>
      <c r="D28" s="13">
        <v>0</v>
      </c>
      <c r="E28" s="13">
        <f t="shared" si="6"/>
        <v>1.3074400000000004</v>
      </c>
      <c r="F28" s="13">
        <f t="shared" ref="F28:F86" si="7">C28+D28+E28</f>
        <v>164.73744000000005</v>
      </c>
      <c r="G28" s="13">
        <f t="shared" ref="G28:G39" si="8">40/12</f>
        <v>3.3333333333333335</v>
      </c>
      <c r="H28" s="13">
        <f t="shared" ref="H28:H39" si="9">E28+G28</f>
        <v>4.6407733333333336</v>
      </c>
      <c r="I28" s="13">
        <f t="shared" ref="I28:I86" si="10">F28-H28</f>
        <v>160.09666666666672</v>
      </c>
    </row>
    <row r="29" spans="1:9" ht="15" x14ac:dyDescent="0.25">
      <c r="A29" s="695"/>
      <c r="B29" s="12">
        <v>45413</v>
      </c>
      <c r="C29" s="13">
        <f t="shared" ref="C29:C87" si="11">I28</f>
        <v>160.09666666666672</v>
      </c>
      <c r="D29" s="13">
        <v>0</v>
      </c>
      <c r="E29" s="13">
        <f t="shared" si="6"/>
        <v>1.2807733333333338</v>
      </c>
      <c r="F29" s="13">
        <f t="shared" si="7"/>
        <v>161.37744000000006</v>
      </c>
      <c r="G29" s="13">
        <f t="shared" si="8"/>
        <v>3.3333333333333335</v>
      </c>
      <c r="H29" s="13">
        <f t="shared" si="9"/>
        <v>4.6141066666666672</v>
      </c>
      <c r="I29" s="13">
        <f t="shared" si="10"/>
        <v>156.76333333333341</v>
      </c>
    </row>
    <row r="30" spans="1:9" ht="15" x14ac:dyDescent="0.25">
      <c r="A30" s="695"/>
      <c r="B30" s="12">
        <v>45444</v>
      </c>
      <c r="C30" s="13">
        <f t="shared" si="11"/>
        <v>156.76333333333341</v>
      </c>
      <c r="D30" s="13">
        <v>0</v>
      </c>
      <c r="E30" s="13">
        <f t="shared" si="6"/>
        <v>1.2541066666666671</v>
      </c>
      <c r="F30" s="13">
        <f t="shared" si="7"/>
        <v>158.01744000000008</v>
      </c>
      <c r="G30" s="13">
        <f t="shared" si="8"/>
        <v>3.3333333333333335</v>
      </c>
      <c r="H30" s="13">
        <f t="shared" si="9"/>
        <v>4.5874400000000009</v>
      </c>
      <c r="I30" s="13">
        <f t="shared" si="10"/>
        <v>153.43000000000006</v>
      </c>
    </row>
    <row r="31" spans="1:9" ht="15" x14ac:dyDescent="0.25">
      <c r="A31" s="695"/>
      <c r="B31" s="12">
        <v>45474</v>
      </c>
      <c r="C31" s="13">
        <f t="shared" si="11"/>
        <v>153.43000000000006</v>
      </c>
      <c r="D31" s="13">
        <v>0</v>
      </c>
      <c r="E31" s="13">
        <f t="shared" si="6"/>
        <v>1.2274400000000005</v>
      </c>
      <c r="F31" s="13">
        <f t="shared" si="7"/>
        <v>154.65744000000007</v>
      </c>
      <c r="G31" s="13">
        <f t="shared" si="8"/>
        <v>3.3333333333333335</v>
      </c>
      <c r="H31" s="13">
        <f t="shared" si="9"/>
        <v>4.5607733333333336</v>
      </c>
      <c r="I31" s="13">
        <f t="shared" si="10"/>
        <v>150.09666666666672</v>
      </c>
    </row>
    <row r="32" spans="1:9" ht="15" x14ac:dyDescent="0.25">
      <c r="A32" s="695"/>
      <c r="B32" s="12">
        <v>45505</v>
      </c>
      <c r="C32" s="13">
        <f t="shared" si="11"/>
        <v>150.09666666666672</v>
      </c>
      <c r="D32" s="13">
        <v>0</v>
      </c>
      <c r="E32" s="13">
        <f t="shared" si="6"/>
        <v>1.2007733333333339</v>
      </c>
      <c r="F32" s="13">
        <f t="shared" si="7"/>
        <v>151.29744000000005</v>
      </c>
      <c r="G32" s="13">
        <f t="shared" si="8"/>
        <v>3.3333333333333335</v>
      </c>
      <c r="H32" s="13">
        <f t="shared" si="9"/>
        <v>4.5341066666666672</v>
      </c>
      <c r="I32" s="13">
        <f t="shared" si="10"/>
        <v>146.76333333333338</v>
      </c>
    </row>
    <row r="33" spans="1:9" ht="15" x14ac:dyDescent="0.25">
      <c r="A33" s="695"/>
      <c r="B33" s="12">
        <v>45536</v>
      </c>
      <c r="C33" s="13">
        <f t="shared" si="11"/>
        <v>146.76333333333338</v>
      </c>
      <c r="D33" s="13">
        <v>0</v>
      </c>
      <c r="E33" s="13">
        <f t="shared" si="6"/>
        <v>1.1741066666666671</v>
      </c>
      <c r="F33" s="13">
        <f t="shared" si="7"/>
        <v>147.93744000000004</v>
      </c>
      <c r="G33" s="13">
        <f t="shared" si="8"/>
        <v>3.3333333333333335</v>
      </c>
      <c r="H33" s="13">
        <f t="shared" si="9"/>
        <v>4.5074400000000008</v>
      </c>
      <c r="I33" s="13">
        <f t="shared" si="10"/>
        <v>143.43000000000004</v>
      </c>
    </row>
    <row r="34" spans="1:9" ht="15" x14ac:dyDescent="0.25">
      <c r="A34" s="695"/>
      <c r="B34" s="12">
        <v>45566</v>
      </c>
      <c r="C34" s="13">
        <f t="shared" si="11"/>
        <v>143.43000000000004</v>
      </c>
      <c r="D34" s="13">
        <v>0</v>
      </c>
      <c r="E34" s="13">
        <f t="shared" si="6"/>
        <v>1.1474400000000002</v>
      </c>
      <c r="F34" s="13">
        <f t="shared" si="7"/>
        <v>144.57744000000002</v>
      </c>
      <c r="G34" s="13">
        <f t="shared" si="8"/>
        <v>3.3333333333333335</v>
      </c>
      <c r="H34" s="13">
        <f t="shared" si="9"/>
        <v>4.4807733333333335</v>
      </c>
      <c r="I34" s="13">
        <f t="shared" si="10"/>
        <v>140.09666666666669</v>
      </c>
    </row>
    <row r="35" spans="1:9" ht="15" x14ac:dyDescent="0.25">
      <c r="A35" s="695"/>
      <c r="B35" s="12">
        <v>45597</v>
      </c>
      <c r="C35" s="13">
        <f t="shared" si="11"/>
        <v>140.09666666666669</v>
      </c>
      <c r="D35" s="13">
        <v>0</v>
      </c>
      <c r="E35" s="13">
        <f t="shared" si="6"/>
        <v>1.1207733333333336</v>
      </c>
      <c r="F35" s="13">
        <f t="shared" si="7"/>
        <v>141.21744000000004</v>
      </c>
      <c r="G35" s="13">
        <f t="shared" si="8"/>
        <v>3.3333333333333335</v>
      </c>
      <c r="H35" s="13">
        <f t="shared" si="9"/>
        <v>4.4541066666666671</v>
      </c>
      <c r="I35" s="13">
        <f t="shared" si="10"/>
        <v>136.76333333333338</v>
      </c>
    </row>
    <row r="36" spans="1:9" ht="15" x14ac:dyDescent="0.25">
      <c r="A36" s="695"/>
      <c r="B36" s="12">
        <v>45627</v>
      </c>
      <c r="C36" s="13">
        <f t="shared" si="11"/>
        <v>136.76333333333338</v>
      </c>
      <c r="D36" s="13">
        <v>0</v>
      </c>
      <c r="E36" s="13">
        <f t="shared" si="6"/>
        <v>1.094106666666667</v>
      </c>
      <c r="F36" s="13">
        <f t="shared" si="7"/>
        <v>137.85744000000005</v>
      </c>
      <c r="G36" s="13">
        <f t="shared" si="8"/>
        <v>3.3333333333333335</v>
      </c>
      <c r="H36" s="13">
        <f t="shared" si="9"/>
        <v>4.4274400000000007</v>
      </c>
      <c r="I36" s="13">
        <f t="shared" si="10"/>
        <v>133.43000000000006</v>
      </c>
    </row>
    <row r="37" spans="1:9" ht="15" x14ac:dyDescent="0.25">
      <c r="A37" s="695"/>
      <c r="B37" s="12">
        <v>45658</v>
      </c>
      <c r="C37" s="13">
        <f t="shared" si="11"/>
        <v>133.43000000000006</v>
      </c>
      <c r="D37" s="13">
        <v>0</v>
      </c>
      <c r="E37" s="13">
        <f t="shared" si="6"/>
        <v>1.0674400000000006</v>
      </c>
      <c r="F37" s="13">
        <f t="shared" si="7"/>
        <v>134.49744000000007</v>
      </c>
      <c r="G37" s="13">
        <f t="shared" si="8"/>
        <v>3.3333333333333335</v>
      </c>
      <c r="H37" s="13">
        <f t="shared" si="9"/>
        <v>4.4007733333333343</v>
      </c>
      <c r="I37" s="13">
        <f t="shared" si="10"/>
        <v>130.09666666666672</v>
      </c>
    </row>
    <row r="38" spans="1:9" ht="15" x14ac:dyDescent="0.25">
      <c r="A38" s="695"/>
      <c r="B38" s="12">
        <v>45689</v>
      </c>
      <c r="C38" s="13">
        <f t="shared" si="11"/>
        <v>130.09666666666672</v>
      </c>
      <c r="D38" s="13">
        <v>0</v>
      </c>
      <c r="E38" s="13">
        <f t="shared" si="6"/>
        <v>1.0407733333333338</v>
      </c>
      <c r="F38" s="13">
        <f t="shared" si="7"/>
        <v>131.13744000000005</v>
      </c>
      <c r="G38" s="13">
        <f t="shared" si="8"/>
        <v>3.3333333333333335</v>
      </c>
      <c r="H38" s="13">
        <f t="shared" si="9"/>
        <v>4.374106666666667</v>
      </c>
      <c r="I38" s="13">
        <f t="shared" si="10"/>
        <v>126.76333333333339</v>
      </c>
    </row>
    <row r="39" spans="1:9" ht="15" x14ac:dyDescent="0.25">
      <c r="A39" s="696"/>
      <c r="B39" s="12">
        <v>45717</v>
      </c>
      <c r="C39" s="13">
        <f t="shared" si="11"/>
        <v>126.76333333333339</v>
      </c>
      <c r="D39" s="13">
        <v>0</v>
      </c>
      <c r="E39" s="13">
        <f t="shared" si="6"/>
        <v>1.0141066666666672</v>
      </c>
      <c r="F39" s="13">
        <f t="shared" si="7"/>
        <v>127.77744000000006</v>
      </c>
      <c r="G39" s="13">
        <f t="shared" si="8"/>
        <v>3.3333333333333335</v>
      </c>
      <c r="H39" s="13">
        <f t="shared" si="9"/>
        <v>4.3474400000000006</v>
      </c>
      <c r="I39" s="13">
        <f t="shared" si="10"/>
        <v>123.43000000000005</v>
      </c>
    </row>
    <row r="40" spans="1:9" ht="15.75" thickBot="1" x14ac:dyDescent="0.3">
      <c r="A40" s="9"/>
      <c r="B40" s="14"/>
      <c r="C40" s="15"/>
      <c r="D40" s="15">
        <f>SUM(D28:D39)</f>
        <v>0</v>
      </c>
      <c r="E40" s="15">
        <f>SUM(E28:E39)</f>
        <v>13.929280000000006</v>
      </c>
      <c r="F40" s="15"/>
      <c r="G40" s="15">
        <f>SUM(G28:G39)</f>
        <v>40</v>
      </c>
      <c r="H40" s="15">
        <f>SUM(H28:H39)</f>
        <v>53.929280000000006</v>
      </c>
      <c r="I40" s="15"/>
    </row>
    <row r="41" spans="1:9" ht="15.75" thickTop="1" x14ac:dyDescent="0.25">
      <c r="A41" s="694" t="s">
        <v>51</v>
      </c>
      <c r="B41" s="12">
        <v>45748</v>
      </c>
      <c r="C41" s="13">
        <f>I39</f>
        <v>123.43000000000005</v>
      </c>
      <c r="D41" s="13">
        <v>0</v>
      </c>
      <c r="E41" s="13">
        <f t="shared" si="6"/>
        <v>0.98744000000000043</v>
      </c>
      <c r="F41" s="13">
        <f t="shared" si="7"/>
        <v>124.41744000000006</v>
      </c>
      <c r="G41" s="13">
        <f t="shared" ref="G41:G52" si="12">40/12</f>
        <v>3.3333333333333335</v>
      </c>
      <c r="H41" s="13">
        <f t="shared" ref="H41:H52" si="13">E41+G41</f>
        <v>4.3207733333333342</v>
      </c>
      <c r="I41" s="13">
        <f t="shared" si="10"/>
        <v>120.09666666666672</v>
      </c>
    </row>
    <row r="42" spans="1:9" ht="15" x14ac:dyDescent="0.25">
      <c r="A42" s="695"/>
      <c r="B42" s="12">
        <v>45778</v>
      </c>
      <c r="C42" s="13">
        <f t="shared" si="11"/>
        <v>120.09666666666672</v>
      </c>
      <c r="D42" s="13">
        <v>0</v>
      </c>
      <c r="E42" s="13">
        <f t="shared" si="6"/>
        <v>0.96077333333333381</v>
      </c>
      <c r="F42" s="13">
        <f t="shared" si="7"/>
        <v>121.05744000000006</v>
      </c>
      <c r="G42" s="13">
        <f t="shared" si="12"/>
        <v>3.3333333333333335</v>
      </c>
      <c r="H42" s="13">
        <f t="shared" si="13"/>
        <v>4.294106666666667</v>
      </c>
      <c r="I42" s="13">
        <f t="shared" si="10"/>
        <v>116.76333333333339</v>
      </c>
    </row>
    <row r="43" spans="1:9" ht="15" x14ac:dyDescent="0.25">
      <c r="A43" s="695"/>
      <c r="B43" s="12">
        <v>45809</v>
      </c>
      <c r="C43" s="13">
        <f t="shared" si="11"/>
        <v>116.76333333333339</v>
      </c>
      <c r="D43" s="13">
        <v>0</v>
      </c>
      <c r="E43" s="13">
        <f t="shared" si="6"/>
        <v>0.93410666666666708</v>
      </c>
      <c r="F43" s="13">
        <f t="shared" si="7"/>
        <v>117.69744000000006</v>
      </c>
      <c r="G43" s="13">
        <f t="shared" si="12"/>
        <v>3.3333333333333335</v>
      </c>
      <c r="H43" s="13">
        <f t="shared" si="13"/>
        <v>4.2674400000000006</v>
      </c>
      <c r="I43" s="13">
        <f t="shared" si="10"/>
        <v>113.43000000000006</v>
      </c>
    </row>
    <row r="44" spans="1:9" ht="15" x14ac:dyDescent="0.25">
      <c r="A44" s="695"/>
      <c r="B44" s="12">
        <v>45839</v>
      </c>
      <c r="C44" s="13">
        <f t="shared" si="11"/>
        <v>113.43000000000006</v>
      </c>
      <c r="D44" s="13">
        <v>0</v>
      </c>
      <c r="E44" s="13">
        <f t="shared" si="6"/>
        <v>0.90744000000000058</v>
      </c>
      <c r="F44" s="13">
        <f t="shared" si="7"/>
        <v>114.33744000000006</v>
      </c>
      <c r="G44" s="13">
        <f t="shared" si="12"/>
        <v>3.3333333333333335</v>
      </c>
      <c r="H44" s="13">
        <f t="shared" si="13"/>
        <v>4.2407733333333342</v>
      </c>
      <c r="I44" s="13">
        <f t="shared" si="10"/>
        <v>110.09666666666672</v>
      </c>
    </row>
    <row r="45" spans="1:9" ht="15" x14ac:dyDescent="0.25">
      <c r="A45" s="695"/>
      <c r="B45" s="12">
        <v>45870</v>
      </c>
      <c r="C45" s="13">
        <f t="shared" si="11"/>
        <v>110.09666666666672</v>
      </c>
      <c r="D45" s="13">
        <v>0</v>
      </c>
      <c r="E45" s="13">
        <f t="shared" si="6"/>
        <v>0.88077333333333385</v>
      </c>
      <c r="F45" s="13">
        <f t="shared" si="7"/>
        <v>110.97744000000006</v>
      </c>
      <c r="G45" s="13">
        <f t="shared" si="12"/>
        <v>3.3333333333333335</v>
      </c>
      <c r="H45" s="13">
        <f t="shared" si="13"/>
        <v>4.2141066666666678</v>
      </c>
      <c r="I45" s="13">
        <f t="shared" si="10"/>
        <v>106.76333333333339</v>
      </c>
    </row>
    <row r="46" spans="1:9" ht="15" x14ac:dyDescent="0.25">
      <c r="A46" s="695"/>
      <c r="B46" s="12">
        <v>45901</v>
      </c>
      <c r="C46" s="13">
        <f t="shared" si="11"/>
        <v>106.76333333333339</v>
      </c>
      <c r="D46" s="13">
        <v>0</v>
      </c>
      <c r="E46" s="13">
        <f t="shared" si="6"/>
        <v>0.85410666666666712</v>
      </c>
      <c r="F46" s="13">
        <f t="shared" si="7"/>
        <v>107.61744000000006</v>
      </c>
      <c r="G46" s="13">
        <f t="shared" si="12"/>
        <v>3.3333333333333335</v>
      </c>
      <c r="H46" s="13">
        <f t="shared" si="13"/>
        <v>4.1874400000000005</v>
      </c>
      <c r="I46" s="13">
        <f t="shared" si="10"/>
        <v>103.43000000000006</v>
      </c>
    </row>
    <row r="47" spans="1:9" ht="15" x14ac:dyDescent="0.25">
      <c r="A47" s="695"/>
      <c r="B47" s="12">
        <v>45931</v>
      </c>
      <c r="C47" s="13">
        <f t="shared" si="11"/>
        <v>103.43000000000006</v>
      </c>
      <c r="D47" s="13">
        <v>0</v>
      </c>
      <c r="E47" s="13">
        <f t="shared" si="6"/>
        <v>0.82744000000000051</v>
      </c>
      <c r="F47" s="13">
        <f t="shared" si="7"/>
        <v>104.25744000000006</v>
      </c>
      <c r="G47" s="13">
        <f t="shared" si="12"/>
        <v>3.3333333333333335</v>
      </c>
      <c r="H47" s="13">
        <f t="shared" si="13"/>
        <v>4.1607733333333341</v>
      </c>
      <c r="I47" s="13">
        <f t="shared" si="10"/>
        <v>100.09666666666672</v>
      </c>
    </row>
    <row r="48" spans="1:9" ht="15" x14ac:dyDescent="0.25">
      <c r="A48" s="695"/>
      <c r="B48" s="12">
        <v>45962</v>
      </c>
      <c r="C48" s="13">
        <f t="shared" si="11"/>
        <v>100.09666666666672</v>
      </c>
      <c r="D48" s="13">
        <v>0</v>
      </c>
      <c r="E48" s="13">
        <f t="shared" si="6"/>
        <v>0.80077333333333378</v>
      </c>
      <c r="F48" s="13">
        <f t="shared" si="7"/>
        <v>100.89744000000006</v>
      </c>
      <c r="G48" s="13">
        <f t="shared" si="12"/>
        <v>3.3333333333333335</v>
      </c>
      <c r="H48" s="13">
        <f t="shared" si="13"/>
        <v>4.1341066666666677</v>
      </c>
      <c r="I48" s="13">
        <f t="shared" si="10"/>
        <v>96.763333333333392</v>
      </c>
    </row>
    <row r="49" spans="1:9" ht="15" x14ac:dyDescent="0.25">
      <c r="A49" s="695"/>
      <c r="B49" s="12">
        <v>45992</v>
      </c>
      <c r="C49" s="13">
        <f t="shared" si="11"/>
        <v>96.763333333333392</v>
      </c>
      <c r="D49" s="13">
        <v>0</v>
      </c>
      <c r="E49" s="13">
        <f t="shared" si="6"/>
        <v>0.77410666666666705</v>
      </c>
      <c r="F49" s="13">
        <f t="shared" si="7"/>
        <v>97.537440000000061</v>
      </c>
      <c r="G49" s="13">
        <f t="shared" si="12"/>
        <v>3.3333333333333335</v>
      </c>
      <c r="H49" s="13">
        <f t="shared" si="13"/>
        <v>4.1074400000000004</v>
      </c>
      <c r="I49" s="13">
        <f t="shared" si="10"/>
        <v>93.430000000000064</v>
      </c>
    </row>
    <row r="50" spans="1:9" ht="15" x14ac:dyDescent="0.25">
      <c r="A50" s="695"/>
      <c r="B50" s="12">
        <v>46023</v>
      </c>
      <c r="C50" s="13">
        <f t="shared" si="11"/>
        <v>93.430000000000064</v>
      </c>
      <c r="D50" s="13">
        <v>0</v>
      </c>
      <c r="E50" s="13">
        <f t="shared" si="6"/>
        <v>0.74744000000000055</v>
      </c>
      <c r="F50" s="13">
        <f t="shared" si="7"/>
        <v>94.177440000000061</v>
      </c>
      <c r="G50" s="13">
        <f t="shared" si="12"/>
        <v>3.3333333333333335</v>
      </c>
      <c r="H50" s="13">
        <f t="shared" si="13"/>
        <v>4.080773333333334</v>
      </c>
      <c r="I50" s="13">
        <f t="shared" si="10"/>
        <v>90.096666666666721</v>
      </c>
    </row>
    <row r="51" spans="1:9" ht="15" x14ac:dyDescent="0.25">
      <c r="A51" s="695"/>
      <c r="B51" s="12">
        <v>46054</v>
      </c>
      <c r="C51" s="13">
        <f t="shared" si="11"/>
        <v>90.096666666666721</v>
      </c>
      <c r="D51" s="13">
        <v>0</v>
      </c>
      <c r="E51" s="13">
        <f t="shared" si="6"/>
        <v>0.72077333333333371</v>
      </c>
      <c r="F51" s="13">
        <f t="shared" si="7"/>
        <v>90.817440000000062</v>
      </c>
      <c r="G51" s="13">
        <f t="shared" si="12"/>
        <v>3.3333333333333335</v>
      </c>
      <c r="H51" s="13">
        <f t="shared" si="13"/>
        <v>4.0541066666666676</v>
      </c>
      <c r="I51" s="13">
        <f t="shared" si="10"/>
        <v>86.763333333333392</v>
      </c>
    </row>
    <row r="52" spans="1:9" ht="15" x14ac:dyDescent="0.25">
      <c r="A52" s="696"/>
      <c r="B52" s="12">
        <v>46082</v>
      </c>
      <c r="C52" s="13">
        <f t="shared" si="11"/>
        <v>86.763333333333392</v>
      </c>
      <c r="D52" s="13">
        <v>0</v>
      </c>
      <c r="E52" s="13">
        <f t="shared" si="6"/>
        <v>0.6941066666666672</v>
      </c>
      <c r="F52" s="13">
        <f t="shared" si="7"/>
        <v>87.457440000000062</v>
      </c>
      <c r="G52" s="13">
        <f t="shared" si="12"/>
        <v>3.3333333333333335</v>
      </c>
      <c r="H52" s="13">
        <f t="shared" si="13"/>
        <v>4.0274400000000004</v>
      </c>
      <c r="I52" s="13">
        <f t="shared" si="10"/>
        <v>83.430000000000064</v>
      </c>
    </row>
    <row r="53" spans="1:9" ht="15.75" thickBot="1" x14ac:dyDescent="0.3">
      <c r="A53" s="9"/>
      <c r="B53" s="14"/>
      <c r="C53" s="15"/>
      <c r="D53" s="15">
        <f>SUM(D41:D52)</f>
        <v>0</v>
      </c>
      <c r="E53" s="15">
        <f>SUM(E41:E52)</f>
        <v>10.089280000000006</v>
      </c>
      <c r="F53" s="15"/>
      <c r="G53" s="15">
        <f>SUM(G41:G52)</f>
        <v>40</v>
      </c>
      <c r="H53" s="15">
        <f>SUM(H41:H52)</f>
        <v>50.089280000000009</v>
      </c>
      <c r="I53" s="15"/>
    </row>
    <row r="54" spans="1:9" ht="15.75" thickTop="1" x14ac:dyDescent="0.25">
      <c r="A54" s="694" t="s">
        <v>52</v>
      </c>
      <c r="B54" s="12">
        <v>46113</v>
      </c>
      <c r="C54" s="13">
        <f>I52</f>
        <v>83.430000000000064</v>
      </c>
      <c r="D54" s="13">
        <v>0</v>
      </c>
      <c r="E54" s="13">
        <f t="shared" si="6"/>
        <v>0.66744000000000048</v>
      </c>
      <c r="F54" s="13">
        <f t="shared" si="7"/>
        <v>84.097440000000063</v>
      </c>
      <c r="G54" s="13">
        <f t="shared" ref="G54:G65" si="14">40/12</f>
        <v>3.3333333333333335</v>
      </c>
      <c r="H54" s="13">
        <f t="shared" ref="H54:H65" si="15">E54+G54</f>
        <v>4.000773333333334</v>
      </c>
      <c r="I54" s="13">
        <f t="shared" si="10"/>
        <v>80.096666666666735</v>
      </c>
    </row>
    <row r="55" spans="1:9" ht="15" x14ac:dyDescent="0.25">
      <c r="A55" s="695"/>
      <c r="B55" s="12">
        <v>46143</v>
      </c>
      <c r="C55" s="13">
        <f t="shared" si="11"/>
        <v>80.096666666666735</v>
      </c>
      <c r="D55" s="13">
        <v>0</v>
      </c>
      <c r="E55" s="13">
        <f t="shared" si="6"/>
        <v>0.64077333333333386</v>
      </c>
      <c r="F55" s="13">
        <f t="shared" si="7"/>
        <v>80.737440000000063</v>
      </c>
      <c r="G55" s="13">
        <f t="shared" si="14"/>
        <v>3.3333333333333335</v>
      </c>
      <c r="H55" s="13">
        <f t="shared" si="15"/>
        <v>3.9741066666666676</v>
      </c>
      <c r="I55" s="13">
        <f t="shared" si="10"/>
        <v>76.763333333333392</v>
      </c>
    </row>
    <row r="56" spans="1:9" ht="15" x14ac:dyDescent="0.25">
      <c r="A56" s="695"/>
      <c r="B56" s="12">
        <v>46174</v>
      </c>
      <c r="C56" s="13">
        <f t="shared" si="11"/>
        <v>76.763333333333392</v>
      </c>
      <c r="D56" s="13">
        <v>0</v>
      </c>
      <c r="E56" s="13">
        <f t="shared" si="6"/>
        <v>0.61410666666666713</v>
      </c>
      <c r="F56" s="13">
        <f t="shared" si="7"/>
        <v>77.377440000000064</v>
      </c>
      <c r="G56" s="13">
        <f t="shared" si="14"/>
        <v>3.3333333333333335</v>
      </c>
      <c r="H56" s="13">
        <f t="shared" si="15"/>
        <v>3.9474400000000007</v>
      </c>
      <c r="I56" s="13">
        <f t="shared" si="10"/>
        <v>73.430000000000064</v>
      </c>
    </row>
    <row r="57" spans="1:9" ht="15" x14ac:dyDescent="0.25">
      <c r="A57" s="695"/>
      <c r="B57" s="12">
        <v>46204</v>
      </c>
      <c r="C57" s="13">
        <f t="shared" si="11"/>
        <v>73.430000000000064</v>
      </c>
      <c r="D57" s="13">
        <v>0</v>
      </c>
      <c r="E57" s="13">
        <f t="shared" si="6"/>
        <v>0.58744000000000052</v>
      </c>
      <c r="F57" s="13">
        <f t="shared" si="7"/>
        <v>74.017440000000065</v>
      </c>
      <c r="G57" s="13">
        <f t="shared" si="14"/>
        <v>3.3333333333333335</v>
      </c>
      <c r="H57" s="13">
        <f t="shared" si="15"/>
        <v>3.9207733333333339</v>
      </c>
      <c r="I57" s="13">
        <f t="shared" si="10"/>
        <v>70.096666666666735</v>
      </c>
    </row>
    <row r="58" spans="1:9" ht="15" x14ac:dyDescent="0.25">
      <c r="A58" s="695"/>
      <c r="B58" s="12">
        <v>46235</v>
      </c>
      <c r="C58" s="13">
        <f t="shared" si="11"/>
        <v>70.096666666666735</v>
      </c>
      <c r="D58" s="13">
        <v>0</v>
      </c>
      <c r="E58" s="13">
        <f t="shared" si="6"/>
        <v>0.5607733333333339</v>
      </c>
      <c r="F58" s="13">
        <f t="shared" si="7"/>
        <v>70.657440000000065</v>
      </c>
      <c r="G58" s="13">
        <f t="shared" si="14"/>
        <v>3.3333333333333335</v>
      </c>
      <c r="H58" s="13">
        <f t="shared" si="15"/>
        <v>3.8941066666666675</v>
      </c>
      <c r="I58" s="13">
        <f t="shared" si="10"/>
        <v>66.763333333333392</v>
      </c>
    </row>
    <row r="59" spans="1:9" ht="15" x14ac:dyDescent="0.25">
      <c r="A59" s="695"/>
      <c r="B59" s="12">
        <v>46266</v>
      </c>
      <c r="C59" s="13">
        <f t="shared" si="11"/>
        <v>66.763333333333392</v>
      </c>
      <c r="D59" s="13">
        <v>0</v>
      </c>
      <c r="E59" s="13">
        <f t="shared" si="6"/>
        <v>0.53410666666666717</v>
      </c>
      <c r="F59" s="13">
        <f t="shared" si="7"/>
        <v>67.297440000000066</v>
      </c>
      <c r="G59" s="13">
        <f t="shared" si="14"/>
        <v>3.3333333333333335</v>
      </c>
      <c r="H59" s="13">
        <f t="shared" si="15"/>
        <v>3.8674400000000007</v>
      </c>
      <c r="I59" s="13">
        <f t="shared" si="10"/>
        <v>63.430000000000064</v>
      </c>
    </row>
    <row r="60" spans="1:9" ht="15" x14ac:dyDescent="0.25">
      <c r="A60" s="695"/>
      <c r="B60" s="12">
        <v>46296</v>
      </c>
      <c r="C60" s="13">
        <f t="shared" si="11"/>
        <v>63.430000000000064</v>
      </c>
      <c r="D60" s="13">
        <v>0</v>
      </c>
      <c r="E60" s="13">
        <f t="shared" si="6"/>
        <v>0.50744000000000045</v>
      </c>
      <c r="F60" s="13">
        <f t="shared" si="7"/>
        <v>63.937440000000066</v>
      </c>
      <c r="G60" s="13">
        <f t="shared" si="14"/>
        <v>3.3333333333333335</v>
      </c>
      <c r="H60" s="13">
        <f t="shared" si="15"/>
        <v>3.8407733333333338</v>
      </c>
      <c r="I60" s="13">
        <f t="shared" si="10"/>
        <v>60.096666666666735</v>
      </c>
    </row>
    <row r="61" spans="1:9" ht="15" x14ac:dyDescent="0.25">
      <c r="A61" s="695"/>
      <c r="B61" s="12">
        <v>46327</v>
      </c>
      <c r="C61" s="13">
        <f t="shared" si="11"/>
        <v>60.096666666666735</v>
      </c>
      <c r="D61" s="13">
        <v>0</v>
      </c>
      <c r="E61" s="13">
        <f t="shared" si="6"/>
        <v>0.48077333333333389</v>
      </c>
      <c r="F61" s="13">
        <f t="shared" si="7"/>
        <v>60.577440000000067</v>
      </c>
      <c r="G61" s="13">
        <f t="shared" si="14"/>
        <v>3.3333333333333335</v>
      </c>
      <c r="H61" s="13">
        <f t="shared" si="15"/>
        <v>3.8141066666666674</v>
      </c>
      <c r="I61" s="13">
        <f t="shared" si="10"/>
        <v>56.763333333333399</v>
      </c>
    </row>
    <row r="62" spans="1:9" ht="15" x14ac:dyDescent="0.25">
      <c r="A62" s="695"/>
      <c r="B62" s="12">
        <v>46357</v>
      </c>
      <c r="C62" s="13">
        <f t="shared" si="11"/>
        <v>56.763333333333399</v>
      </c>
      <c r="D62" s="13">
        <v>0</v>
      </c>
      <c r="E62" s="13">
        <f t="shared" si="6"/>
        <v>0.45410666666666716</v>
      </c>
      <c r="F62" s="13">
        <f t="shared" si="7"/>
        <v>57.217440000000067</v>
      </c>
      <c r="G62" s="13">
        <f t="shared" si="14"/>
        <v>3.3333333333333335</v>
      </c>
      <c r="H62" s="13">
        <f t="shared" si="15"/>
        <v>3.7874400000000006</v>
      </c>
      <c r="I62" s="13">
        <f t="shared" si="10"/>
        <v>53.430000000000064</v>
      </c>
    </row>
    <row r="63" spans="1:9" ht="15" x14ac:dyDescent="0.25">
      <c r="A63" s="695"/>
      <c r="B63" s="12">
        <v>46388</v>
      </c>
      <c r="C63" s="13">
        <f t="shared" si="11"/>
        <v>53.430000000000064</v>
      </c>
      <c r="D63" s="13">
        <v>0</v>
      </c>
      <c r="E63" s="13">
        <f t="shared" si="6"/>
        <v>0.42744000000000049</v>
      </c>
      <c r="F63" s="13">
        <f t="shared" si="7"/>
        <v>53.857440000000061</v>
      </c>
      <c r="G63" s="13">
        <f t="shared" si="14"/>
        <v>3.3333333333333335</v>
      </c>
      <c r="H63" s="13">
        <f t="shared" si="15"/>
        <v>3.7607733333333337</v>
      </c>
      <c r="I63" s="13">
        <f t="shared" si="10"/>
        <v>50.096666666666728</v>
      </c>
    </row>
    <row r="64" spans="1:9" ht="15" x14ac:dyDescent="0.25">
      <c r="A64" s="695"/>
      <c r="B64" s="12">
        <v>46419</v>
      </c>
      <c r="C64" s="13">
        <f t="shared" si="11"/>
        <v>50.096666666666728</v>
      </c>
      <c r="D64" s="13">
        <v>0</v>
      </c>
      <c r="E64" s="13">
        <f t="shared" si="6"/>
        <v>0.40077333333333381</v>
      </c>
      <c r="F64" s="13">
        <f t="shared" si="7"/>
        <v>50.497440000000061</v>
      </c>
      <c r="G64" s="13">
        <f t="shared" si="14"/>
        <v>3.3333333333333335</v>
      </c>
      <c r="H64" s="13">
        <f t="shared" si="15"/>
        <v>3.7341066666666674</v>
      </c>
      <c r="I64" s="13">
        <f t="shared" si="10"/>
        <v>46.763333333333392</v>
      </c>
    </row>
    <row r="65" spans="1:9" ht="15" x14ac:dyDescent="0.25">
      <c r="A65" s="696"/>
      <c r="B65" s="12">
        <v>46447</v>
      </c>
      <c r="C65" s="13">
        <f t="shared" si="11"/>
        <v>46.763333333333392</v>
      </c>
      <c r="D65" s="13">
        <v>0</v>
      </c>
      <c r="E65" s="13">
        <f t="shared" si="6"/>
        <v>0.3741066666666672</v>
      </c>
      <c r="F65" s="13">
        <f t="shared" si="7"/>
        <v>47.137440000000062</v>
      </c>
      <c r="G65" s="13">
        <f t="shared" si="14"/>
        <v>3.3333333333333335</v>
      </c>
      <c r="H65" s="13">
        <f t="shared" si="15"/>
        <v>3.7074400000000005</v>
      </c>
      <c r="I65" s="13">
        <f t="shared" si="10"/>
        <v>43.430000000000064</v>
      </c>
    </row>
    <row r="66" spans="1:9" ht="15.75" thickBot="1" x14ac:dyDescent="0.3">
      <c r="A66" s="9"/>
      <c r="B66" s="14"/>
      <c r="C66" s="15"/>
      <c r="D66" s="15">
        <f t="shared" ref="D66:E66" si="16">SUM(D54:D65)</f>
        <v>0</v>
      </c>
      <c r="E66" s="15">
        <f t="shared" si="16"/>
        <v>6.2492800000000051</v>
      </c>
      <c r="F66" s="15"/>
      <c r="G66" s="15">
        <f>SUM(G54:G65)</f>
        <v>40</v>
      </c>
      <c r="H66" s="15">
        <f>SUM(H54:H65)</f>
        <v>46.249280000000006</v>
      </c>
      <c r="I66" s="15"/>
    </row>
    <row r="67" spans="1:9" ht="15.75" thickTop="1" x14ac:dyDescent="0.25">
      <c r="A67" s="694" t="s">
        <v>53</v>
      </c>
      <c r="B67" s="12">
        <v>46478</v>
      </c>
      <c r="C67" s="13">
        <f>I65</f>
        <v>43.430000000000064</v>
      </c>
      <c r="D67" s="13">
        <v>0</v>
      </c>
      <c r="E67" s="13">
        <f t="shared" si="6"/>
        <v>0.34744000000000047</v>
      </c>
      <c r="F67" s="13">
        <f t="shared" si="7"/>
        <v>43.777440000000063</v>
      </c>
      <c r="G67" s="13">
        <f t="shared" ref="G67:G78" si="17">40/12</f>
        <v>3.3333333333333335</v>
      </c>
      <c r="H67" s="13">
        <f t="shared" ref="H67:H78" si="18">E67+G67</f>
        <v>3.6807733333333341</v>
      </c>
      <c r="I67" s="13">
        <f t="shared" si="10"/>
        <v>40.096666666666728</v>
      </c>
    </row>
    <row r="68" spans="1:9" ht="15" x14ac:dyDescent="0.25">
      <c r="A68" s="695"/>
      <c r="B68" s="12">
        <v>46508</v>
      </c>
      <c r="C68" s="13">
        <f t="shared" si="11"/>
        <v>40.096666666666728</v>
      </c>
      <c r="D68" s="13">
        <v>0</v>
      </c>
      <c r="E68" s="13">
        <f t="shared" si="6"/>
        <v>0.32077333333333385</v>
      </c>
      <c r="F68" s="13">
        <f t="shared" si="7"/>
        <v>40.417440000000063</v>
      </c>
      <c r="G68" s="13">
        <f t="shared" si="17"/>
        <v>3.3333333333333335</v>
      </c>
      <c r="H68" s="13">
        <f t="shared" si="18"/>
        <v>3.6541066666666673</v>
      </c>
      <c r="I68" s="13">
        <f t="shared" si="10"/>
        <v>36.763333333333392</v>
      </c>
    </row>
    <row r="69" spans="1:9" ht="15" x14ac:dyDescent="0.25">
      <c r="A69" s="695"/>
      <c r="B69" s="12">
        <v>46539</v>
      </c>
      <c r="C69" s="13">
        <f t="shared" si="11"/>
        <v>36.763333333333392</v>
      </c>
      <c r="D69" s="13">
        <v>0</v>
      </c>
      <c r="E69" s="13">
        <f t="shared" si="6"/>
        <v>0.29410666666666713</v>
      </c>
      <c r="F69" s="13">
        <f t="shared" si="7"/>
        <v>37.057440000000057</v>
      </c>
      <c r="G69" s="13">
        <f t="shared" si="17"/>
        <v>3.3333333333333335</v>
      </c>
      <c r="H69" s="13">
        <f t="shared" si="18"/>
        <v>3.6274400000000004</v>
      </c>
      <c r="I69" s="13">
        <f t="shared" si="10"/>
        <v>33.430000000000057</v>
      </c>
    </row>
    <row r="70" spans="1:9" ht="15" x14ac:dyDescent="0.25">
      <c r="A70" s="695"/>
      <c r="B70" s="12">
        <v>46569</v>
      </c>
      <c r="C70" s="13">
        <f t="shared" si="11"/>
        <v>33.430000000000057</v>
      </c>
      <c r="D70" s="13">
        <v>0</v>
      </c>
      <c r="E70" s="13">
        <f t="shared" si="6"/>
        <v>0.26744000000000046</v>
      </c>
      <c r="F70" s="13">
        <f t="shared" si="7"/>
        <v>33.697440000000057</v>
      </c>
      <c r="G70" s="13">
        <f t="shared" si="17"/>
        <v>3.3333333333333335</v>
      </c>
      <c r="H70" s="13">
        <f t="shared" si="18"/>
        <v>3.600773333333334</v>
      </c>
      <c r="I70" s="13">
        <f t="shared" si="10"/>
        <v>30.096666666666724</v>
      </c>
    </row>
    <row r="71" spans="1:9" ht="15" x14ac:dyDescent="0.25">
      <c r="A71" s="695"/>
      <c r="B71" s="12">
        <v>46600</v>
      </c>
      <c r="C71" s="13">
        <f t="shared" si="11"/>
        <v>30.096666666666724</v>
      </c>
      <c r="D71" s="13">
        <v>0</v>
      </c>
      <c r="E71" s="13">
        <f t="shared" si="6"/>
        <v>0.24077333333333381</v>
      </c>
      <c r="F71" s="13">
        <f t="shared" si="7"/>
        <v>30.337440000000058</v>
      </c>
      <c r="G71" s="13">
        <f t="shared" si="17"/>
        <v>3.3333333333333335</v>
      </c>
      <c r="H71" s="13">
        <f t="shared" si="18"/>
        <v>3.5741066666666672</v>
      </c>
      <c r="I71" s="13">
        <f t="shared" si="10"/>
        <v>26.763333333333392</v>
      </c>
    </row>
    <row r="72" spans="1:9" ht="15" x14ac:dyDescent="0.25">
      <c r="A72" s="695"/>
      <c r="B72" s="12">
        <v>46631</v>
      </c>
      <c r="C72" s="13">
        <f t="shared" si="11"/>
        <v>26.763333333333392</v>
      </c>
      <c r="D72" s="13">
        <v>0</v>
      </c>
      <c r="E72" s="13">
        <f t="shared" si="6"/>
        <v>0.21410666666666714</v>
      </c>
      <c r="F72" s="13">
        <f t="shared" si="7"/>
        <v>26.977440000000058</v>
      </c>
      <c r="G72" s="13">
        <f t="shared" si="17"/>
        <v>3.3333333333333335</v>
      </c>
      <c r="H72" s="13">
        <f t="shared" si="18"/>
        <v>3.5474400000000008</v>
      </c>
      <c r="I72" s="13">
        <f t="shared" si="10"/>
        <v>23.430000000000057</v>
      </c>
    </row>
    <row r="73" spans="1:9" ht="15" x14ac:dyDescent="0.25">
      <c r="A73" s="695"/>
      <c r="B73" s="12">
        <v>46661</v>
      </c>
      <c r="C73" s="13">
        <f t="shared" si="11"/>
        <v>23.430000000000057</v>
      </c>
      <c r="D73" s="13">
        <v>0</v>
      </c>
      <c r="E73" s="13">
        <f t="shared" si="6"/>
        <v>0.18744000000000047</v>
      </c>
      <c r="F73" s="13">
        <f t="shared" si="7"/>
        <v>23.617440000000055</v>
      </c>
      <c r="G73" s="13">
        <f t="shared" si="17"/>
        <v>3.3333333333333335</v>
      </c>
      <c r="H73" s="13">
        <f t="shared" si="18"/>
        <v>3.520773333333334</v>
      </c>
      <c r="I73" s="13">
        <f t="shared" si="10"/>
        <v>20.096666666666721</v>
      </c>
    </row>
    <row r="74" spans="1:9" ht="15" x14ac:dyDescent="0.25">
      <c r="A74" s="695"/>
      <c r="B74" s="12">
        <v>46692</v>
      </c>
      <c r="C74" s="13">
        <f t="shared" si="11"/>
        <v>20.096666666666721</v>
      </c>
      <c r="D74" s="13">
        <v>0</v>
      </c>
      <c r="E74" s="13">
        <f t="shared" si="6"/>
        <v>0.16077333333333377</v>
      </c>
      <c r="F74" s="13">
        <f t="shared" si="7"/>
        <v>20.257440000000056</v>
      </c>
      <c r="G74" s="13">
        <f t="shared" si="17"/>
        <v>3.3333333333333335</v>
      </c>
      <c r="H74" s="13">
        <f t="shared" si="18"/>
        <v>3.4941066666666671</v>
      </c>
      <c r="I74" s="13">
        <f t="shared" si="10"/>
        <v>16.763333333333389</v>
      </c>
    </row>
    <row r="75" spans="1:9" ht="15" x14ac:dyDescent="0.25">
      <c r="A75" s="695"/>
      <c r="B75" s="12">
        <v>46722</v>
      </c>
      <c r="C75" s="13">
        <f t="shared" si="11"/>
        <v>16.763333333333389</v>
      </c>
      <c r="D75" s="13">
        <v>0</v>
      </c>
      <c r="E75" s="13">
        <f t="shared" si="6"/>
        <v>0.13410666666666712</v>
      </c>
      <c r="F75" s="13">
        <f t="shared" si="7"/>
        <v>16.897440000000056</v>
      </c>
      <c r="G75" s="13">
        <f t="shared" si="17"/>
        <v>3.3333333333333335</v>
      </c>
      <c r="H75" s="13">
        <f t="shared" si="18"/>
        <v>3.4674400000000007</v>
      </c>
      <c r="I75" s="13">
        <f t="shared" si="10"/>
        <v>13.430000000000057</v>
      </c>
    </row>
    <row r="76" spans="1:9" ht="15" x14ac:dyDescent="0.25">
      <c r="A76" s="695"/>
      <c r="B76" s="12">
        <v>46753</v>
      </c>
      <c r="C76" s="13">
        <f t="shared" si="11"/>
        <v>13.430000000000057</v>
      </c>
      <c r="D76" s="13">
        <v>0</v>
      </c>
      <c r="E76" s="13">
        <f t="shared" si="6"/>
        <v>0.10744000000000047</v>
      </c>
      <c r="F76" s="13">
        <f t="shared" si="7"/>
        <v>13.537440000000057</v>
      </c>
      <c r="G76" s="13">
        <f t="shared" si="17"/>
        <v>3.3333333333333335</v>
      </c>
      <c r="H76" s="13">
        <f t="shared" si="18"/>
        <v>3.4407733333333339</v>
      </c>
      <c r="I76" s="13">
        <f t="shared" si="10"/>
        <v>10.096666666666723</v>
      </c>
    </row>
    <row r="77" spans="1:9" ht="15" x14ac:dyDescent="0.25">
      <c r="A77" s="695"/>
      <c r="B77" s="12">
        <v>46784</v>
      </c>
      <c r="C77" s="13">
        <f t="shared" si="11"/>
        <v>10.096666666666723</v>
      </c>
      <c r="D77" s="13">
        <v>0</v>
      </c>
      <c r="E77" s="13">
        <f t="shared" si="6"/>
        <v>8.077333333333378E-2</v>
      </c>
      <c r="F77" s="13">
        <f t="shared" si="7"/>
        <v>10.177440000000056</v>
      </c>
      <c r="G77" s="13">
        <f t="shared" si="17"/>
        <v>3.3333333333333335</v>
      </c>
      <c r="H77" s="13">
        <f t="shared" si="18"/>
        <v>3.4141066666666671</v>
      </c>
      <c r="I77" s="13">
        <f t="shared" si="10"/>
        <v>6.7633333333333887</v>
      </c>
    </row>
    <row r="78" spans="1:9" ht="15" x14ac:dyDescent="0.25">
      <c r="A78" s="696"/>
      <c r="B78" s="12">
        <v>46813</v>
      </c>
      <c r="C78" s="13">
        <f t="shared" si="11"/>
        <v>6.7633333333333887</v>
      </c>
      <c r="D78" s="13">
        <v>0</v>
      </c>
      <c r="E78" s="13">
        <f t="shared" si="6"/>
        <v>5.4106666666667108E-2</v>
      </c>
      <c r="F78" s="13">
        <f t="shared" si="7"/>
        <v>6.8174400000000555</v>
      </c>
      <c r="G78" s="13">
        <f t="shared" si="17"/>
        <v>3.3333333333333335</v>
      </c>
      <c r="H78" s="13">
        <f t="shared" si="18"/>
        <v>3.3874400000000007</v>
      </c>
      <c r="I78" s="13">
        <f t="shared" si="10"/>
        <v>3.4300000000000548</v>
      </c>
    </row>
    <row r="79" spans="1:9" ht="15.75" thickBot="1" x14ac:dyDescent="0.3">
      <c r="A79" s="9"/>
      <c r="B79" s="16"/>
      <c r="C79" s="17"/>
      <c r="D79" s="15">
        <f t="shared" ref="D79:E79" si="19">SUM(D67:D78)</f>
        <v>0</v>
      </c>
      <c r="E79" s="15">
        <f t="shared" si="19"/>
        <v>2.4092800000000056</v>
      </c>
      <c r="F79" s="17"/>
      <c r="G79" s="15">
        <f>SUM(G67:G78)</f>
        <v>40</v>
      </c>
      <c r="H79" s="15">
        <f t="shared" ref="H79" si="20">SUM(H67:H78)</f>
        <v>42.40928000000001</v>
      </c>
      <c r="I79" s="17"/>
    </row>
    <row r="80" spans="1:9" ht="15.75" thickTop="1" x14ac:dyDescent="0.25">
      <c r="A80" s="694" t="s">
        <v>54</v>
      </c>
      <c r="B80" s="12">
        <v>46844</v>
      </c>
      <c r="C80" s="13">
        <f>I78</f>
        <v>3.4300000000000548</v>
      </c>
      <c r="D80" s="13">
        <v>0</v>
      </c>
      <c r="E80" s="13">
        <f t="shared" si="6"/>
        <v>2.744000000000044E-2</v>
      </c>
      <c r="F80" s="13">
        <f t="shared" si="7"/>
        <v>3.4574400000000551</v>
      </c>
      <c r="G80" s="13">
        <v>3.43</v>
      </c>
      <c r="H80" s="13">
        <f t="shared" ref="H80:H91" si="21">E80+G80</f>
        <v>3.4574400000000005</v>
      </c>
      <c r="I80" s="13">
        <f t="shared" si="10"/>
        <v>5.4622972811557702E-14</v>
      </c>
    </row>
    <row r="81" spans="1:9" ht="15" x14ac:dyDescent="0.25">
      <c r="A81" s="695"/>
      <c r="B81" s="12">
        <v>46874</v>
      </c>
      <c r="C81" s="13">
        <f t="shared" si="11"/>
        <v>5.4622972811557702E-14</v>
      </c>
      <c r="D81" s="13">
        <v>0</v>
      </c>
      <c r="E81" s="13">
        <f t="shared" si="6"/>
        <v>4.3698378249246161E-16</v>
      </c>
      <c r="F81" s="13">
        <f t="shared" si="7"/>
        <v>5.5059956594050161E-14</v>
      </c>
      <c r="G81" s="13">
        <v>0</v>
      </c>
      <c r="H81" s="13">
        <f t="shared" si="21"/>
        <v>4.3698378249246161E-16</v>
      </c>
      <c r="I81" s="13">
        <f t="shared" si="10"/>
        <v>5.4622972811557702E-14</v>
      </c>
    </row>
    <row r="82" spans="1:9" ht="15" x14ac:dyDescent="0.25">
      <c r="A82" s="695"/>
      <c r="B82" s="12">
        <v>46905</v>
      </c>
      <c r="C82" s="13">
        <f t="shared" si="11"/>
        <v>5.4622972811557702E-14</v>
      </c>
      <c r="D82" s="13">
        <v>0</v>
      </c>
      <c r="E82" s="13">
        <f t="shared" si="6"/>
        <v>4.3698378249246161E-16</v>
      </c>
      <c r="F82" s="13">
        <f t="shared" si="7"/>
        <v>5.5059956594050161E-14</v>
      </c>
      <c r="G82" s="13">
        <v>0</v>
      </c>
      <c r="H82" s="13">
        <f t="shared" si="21"/>
        <v>4.3698378249246161E-16</v>
      </c>
      <c r="I82" s="13">
        <f t="shared" si="10"/>
        <v>5.4622972811557702E-14</v>
      </c>
    </row>
    <row r="83" spans="1:9" ht="15" x14ac:dyDescent="0.25">
      <c r="A83" s="695"/>
      <c r="B83" s="12">
        <v>46935</v>
      </c>
      <c r="C83" s="13">
        <f t="shared" si="11"/>
        <v>5.4622972811557702E-14</v>
      </c>
      <c r="D83" s="13">
        <v>0</v>
      </c>
      <c r="E83" s="13">
        <f t="shared" si="6"/>
        <v>4.3698378249246161E-16</v>
      </c>
      <c r="F83" s="13">
        <f t="shared" si="7"/>
        <v>5.5059956594050161E-14</v>
      </c>
      <c r="G83" s="13">
        <v>0</v>
      </c>
      <c r="H83" s="13">
        <f t="shared" si="21"/>
        <v>4.3698378249246161E-16</v>
      </c>
      <c r="I83" s="13">
        <f t="shared" si="10"/>
        <v>5.4622972811557702E-14</v>
      </c>
    </row>
    <row r="84" spans="1:9" ht="15" x14ac:dyDescent="0.25">
      <c r="A84" s="695"/>
      <c r="B84" s="12">
        <v>46966</v>
      </c>
      <c r="C84" s="13">
        <f t="shared" si="11"/>
        <v>5.4622972811557702E-14</v>
      </c>
      <c r="D84" s="13">
        <v>0</v>
      </c>
      <c r="E84" s="13">
        <f t="shared" si="6"/>
        <v>4.3698378249246161E-16</v>
      </c>
      <c r="F84" s="13">
        <f t="shared" si="7"/>
        <v>5.5059956594050161E-14</v>
      </c>
      <c r="G84" s="13">
        <v>0</v>
      </c>
      <c r="H84" s="13">
        <f t="shared" si="21"/>
        <v>4.3698378249246161E-16</v>
      </c>
      <c r="I84" s="13">
        <f t="shared" si="10"/>
        <v>5.4622972811557702E-14</v>
      </c>
    </row>
    <row r="85" spans="1:9" ht="15" x14ac:dyDescent="0.25">
      <c r="A85" s="695"/>
      <c r="B85" s="12">
        <v>46997</v>
      </c>
      <c r="C85" s="13">
        <f t="shared" si="11"/>
        <v>5.4622972811557702E-14</v>
      </c>
      <c r="D85" s="13">
        <v>0</v>
      </c>
      <c r="E85" s="13">
        <f t="shared" ref="E85:E91" si="22">(C85+D85)*9.6%/12</f>
        <v>4.3698378249246161E-16</v>
      </c>
      <c r="F85" s="13">
        <f t="shared" si="7"/>
        <v>5.5059956594050161E-14</v>
      </c>
      <c r="G85" s="13">
        <v>0</v>
      </c>
      <c r="H85" s="13">
        <f t="shared" si="21"/>
        <v>4.3698378249246161E-16</v>
      </c>
      <c r="I85" s="13">
        <f t="shared" si="10"/>
        <v>5.4622972811557702E-14</v>
      </c>
    </row>
    <row r="86" spans="1:9" ht="15" x14ac:dyDescent="0.25">
      <c r="A86" s="695"/>
      <c r="B86" s="12">
        <v>47027</v>
      </c>
      <c r="C86" s="13">
        <f t="shared" si="11"/>
        <v>5.4622972811557702E-14</v>
      </c>
      <c r="D86" s="13">
        <v>0</v>
      </c>
      <c r="E86" s="13">
        <f t="shared" si="22"/>
        <v>4.3698378249246161E-16</v>
      </c>
      <c r="F86" s="13">
        <f t="shared" si="7"/>
        <v>5.5059956594050161E-14</v>
      </c>
      <c r="G86" s="13">
        <v>0</v>
      </c>
      <c r="H86" s="13">
        <f t="shared" si="21"/>
        <v>4.3698378249246161E-16</v>
      </c>
      <c r="I86" s="13">
        <f t="shared" si="10"/>
        <v>5.4622972811557702E-14</v>
      </c>
    </row>
    <row r="87" spans="1:9" ht="15" x14ac:dyDescent="0.25">
      <c r="A87" s="695"/>
      <c r="B87" s="12">
        <v>47058</v>
      </c>
      <c r="C87" s="13">
        <f t="shared" si="11"/>
        <v>5.4622972811557702E-14</v>
      </c>
      <c r="D87" s="13">
        <v>0</v>
      </c>
      <c r="E87" s="13">
        <f t="shared" si="22"/>
        <v>4.3698378249246161E-16</v>
      </c>
      <c r="F87" s="13">
        <f t="shared" ref="F87:F91" si="23">C87+D87+E87</f>
        <v>5.5059956594050161E-14</v>
      </c>
      <c r="G87" s="13">
        <v>0</v>
      </c>
      <c r="H87" s="13">
        <f t="shared" si="21"/>
        <v>4.3698378249246161E-16</v>
      </c>
      <c r="I87" s="13">
        <f t="shared" ref="I87:I91" si="24">F87-H87</f>
        <v>5.4622972811557702E-14</v>
      </c>
    </row>
    <row r="88" spans="1:9" ht="15" x14ac:dyDescent="0.25">
      <c r="A88" s="695"/>
      <c r="B88" s="12">
        <v>47088</v>
      </c>
      <c r="C88" s="13">
        <f t="shared" ref="C88:C91" si="25">I87</f>
        <v>5.4622972811557702E-14</v>
      </c>
      <c r="D88" s="13">
        <v>0</v>
      </c>
      <c r="E88" s="13">
        <f t="shared" si="22"/>
        <v>4.3698378249246161E-16</v>
      </c>
      <c r="F88" s="13">
        <f t="shared" si="23"/>
        <v>5.5059956594050161E-14</v>
      </c>
      <c r="G88" s="13">
        <v>0</v>
      </c>
      <c r="H88" s="13">
        <f t="shared" si="21"/>
        <v>4.3698378249246161E-16</v>
      </c>
      <c r="I88" s="13">
        <f t="shared" si="24"/>
        <v>5.4622972811557702E-14</v>
      </c>
    </row>
    <row r="89" spans="1:9" ht="15" x14ac:dyDescent="0.25">
      <c r="A89" s="695"/>
      <c r="B89" s="12">
        <v>47119</v>
      </c>
      <c r="C89" s="13">
        <f t="shared" si="25"/>
        <v>5.4622972811557702E-14</v>
      </c>
      <c r="D89" s="13">
        <v>0</v>
      </c>
      <c r="E89" s="13">
        <f t="shared" si="22"/>
        <v>4.3698378249246161E-16</v>
      </c>
      <c r="F89" s="13">
        <f t="shared" si="23"/>
        <v>5.5059956594050161E-14</v>
      </c>
      <c r="G89" s="13">
        <v>0</v>
      </c>
      <c r="H89" s="13">
        <f t="shared" si="21"/>
        <v>4.3698378249246161E-16</v>
      </c>
      <c r="I89" s="13">
        <f t="shared" si="24"/>
        <v>5.4622972811557702E-14</v>
      </c>
    </row>
    <row r="90" spans="1:9" ht="15" x14ac:dyDescent="0.25">
      <c r="A90" s="695"/>
      <c r="B90" s="12">
        <v>47150</v>
      </c>
      <c r="C90" s="13">
        <f t="shared" si="25"/>
        <v>5.4622972811557702E-14</v>
      </c>
      <c r="D90" s="13">
        <v>0</v>
      </c>
      <c r="E90" s="13">
        <f t="shared" si="22"/>
        <v>4.3698378249246161E-16</v>
      </c>
      <c r="F90" s="13">
        <f t="shared" si="23"/>
        <v>5.5059956594050161E-14</v>
      </c>
      <c r="G90" s="13">
        <v>0</v>
      </c>
      <c r="H90" s="13">
        <f t="shared" si="21"/>
        <v>4.3698378249246161E-16</v>
      </c>
      <c r="I90" s="13">
        <f t="shared" si="24"/>
        <v>5.4622972811557702E-14</v>
      </c>
    </row>
    <row r="91" spans="1:9" ht="15" x14ac:dyDescent="0.25">
      <c r="A91" s="696"/>
      <c r="B91" s="12">
        <v>47178</v>
      </c>
      <c r="C91" s="13">
        <f t="shared" si="25"/>
        <v>5.4622972811557702E-14</v>
      </c>
      <c r="D91" s="13">
        <v>0</v>
      </c>
      <c r="E91" s="13">
        <f t="shared" si="22"/>
        <v>4.3698378249246161E-16</v>
      </c>
      <c r="F91" s="13">
        <f t="shared" si="23"/>
        <v>5.5059956594050161E-14</v>
      </c>
      <c r="G91" s="13">
        <v>0</v>
      </c>
      <c r="H91" s="13">
        <f t="shared" si="21"/>
        <v>4.3698378249246161E-16</v>
      </c>
      <c r="I91" s="13">
        <f t="shared" si="24"/>
        <v>5.4622972811557702E-14</v>
      </c>
    </row>
    <row r="92" spans="1:9" ht="15.75" thickBot="1" x14ac:dyDescent="0.3">
      <c r="A92" s="9"/>
      <c r="B92" s="16"/>
      <c r="C92" s="17"/>
      <c r="D92" s="15">
        <f t="shared" ref="D92:E92" si="26">SUM(D80:D91)</f>
        <v>0</v>
      </c>
      <c r="E92" s="15">
        <f t="shared" si="26"/>
        <v>2.7440000000005248E-2</v>
      </c>
      <c r="F92" s="17"/>
      <c r="G92" s="15">
        <f>SUM(G80:G91)</f>
        <v>3.43</v>
      </c>
      <c r="H92" s="15">
        <f t="shared" ref="H92" si="27">SUM(H80:H91)</f>
        <v>3.4574400000000054</v>
      </c>
      <c r="I92" s="17"/>
    </row>
    <row r="93" spans="1:9" ht="13.5" thickTop="1" x14ac:dyDescent="0.2"/>
    <row r="94" spans="1:9" ht="13.5" thickBot="1" x14ac:dyDescent="0.25">
      <c r="A94" s="693" t="s">
        <v>70</v>
      </c>
      <c r="B94" s="693"/>
      <c r="C94" s="693"/>
      <c r="D94" s="18" t="e">
        <f>#REF!+#REF!+#REF!+#REF!+#REF!+#REF!+#REF!+#REF!+D92+D79+D66+D53+D40+D27</f>
        <v>#REF!</v>
      </c>
      <c r="E94" s="18" t="e">
        <f>#REF!+#REF!+#REF!+#REF!+#REF!+#REF!+#REF!+#REF!+E92+E79+E66+E53+E40+E27</f>
        <v>#REF!</v>
      </c>
      <c r="F94" s="18" t="e">
        <f>#REF!+#REF!+#REF!+#REF!+#REF!+#REF!+#REF!+#REF!+F92+F79+F66+F53+F40+F27</f>
        <v>#REF!</v>
      </c>
      <c r="G94" s="18" t="e">
        <f>#REF!+#REF!+#REF!+#REF!+#REF!+#REF!+#REF!+#REF!+G92+G79+G66+G53+G40+G27</f>
        <v>#REF!</v>
      </c>
      <c r="H94" s="18" t="e">
        <f>#REF!+#REF!+#REF!+#REF!+#REF!+#REF!+#REF!+#REF!+H92+H79+H66+H53+H40+H27</f>
        <v>#REF!</v>
      </c>
      <c r="I94" s="18"/>
    </row>
    <row r="95" spans="1:9" ht="13.5" thickTop="1" x14ac:dyDescent="0.2"/>
  </sheetData>
  <mergeCells count="15">
    <mergeCell ref="A10:D10"/>
    <mergeCell ref="A2:I2"/>
    <mergeCell ref="A3:I3"/>
    <mergeCell ref="A5:I5"/>
    <mergeCell ref="A7:D7"/>
    <mergeCell ref="A8:D8"/>
    <mergeCell ref="A94:C94"/>
    <mergeCell ref="A67:A78"/>
    <mergeCell ref="A80:A91"/>
    <mergeCell ref="A11:D11"/>
    <mergeCell ref="A12:D12"/>
    <mergeCell ref="A15:A26"/>
    <mergeCell ref="A28:A39"/>
    <mergeCell ref="A41:A52"/>
    <mergeCell ref="A54:A65"/>
  </mergeCells>
  <pageMargins left="0.7" right="0.7" top="0.75" bottom="0.75" header="0.3" footer="0.3"/>
  <pageSetup paperSize="9" scale="9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zoomScaleNormal="100" workbookViewId="0">
      <selection activeCell="I25" sqref="I25"/>
    </sheetView>
  </sheetViews>
  <sheetFormatPr defaultRowHeight="12.75" x14ac:dyDescent="0.2"/>
  <sheetData>
    <row r="1" spans="1:9" ht="18.75" x14ac:dyDescent="0.3">
      <c r="A1" s="697" t="s">
        <v>58</v>
      </c>
      <c r="B1" s="697"/>
      <c r="C1" s="697"/>
      <c r="D1" s="697"/>
      <c r="E1" s="697"/>
      <c r="F1" s="697"/>
      <c r="G1" s="697"/>
      <c r="H1" s="697"/>
      <c r="I1" s="697"/>
    </row>
    <row r="2" spans="1:9" x14ac:dyDescent="0.2">
      <c r="A2" s="704" t="s">
        <v>87</v>
      </c>
      <c r="B2" s="704"/>
      <c r="C2" s="704"/>
      <c r="D2" s="704"/>
      <c r="E2" s="704"/>
      <c r="F2" s="704"/>
      <c r="G2" s="704"/>
      <c r="H2" s="704"/>
      <c r="I2" s="704"/>
    </row>
    <row r="3" spans="1:9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ht="15.75" x14ac:dyDescent="0.25">
      <c r="A4" s="698" t="s">
        <v>111</v>
      </c>
      <c r="B4" s="699"/>
      <c r="C4" s="699"/>
      <c r="D4" s="699"/>
      <c r="E4" s="699"/>
      <c r="F4" s="699"/>
      <c r="G4" s="699"/>
      <c r="H4" s="699"/>
      <c r="I4" s="699"/>
    </row>
    <row r="5" spans="1:9" ht="15" x14ac:dyDescent="0.25">
      <c r="A5" s="5"/>
      <c r="B5" s="6"/>
      <c r="C5" s="5"/>
      <c r="D5" s="5"/>
      <c r="E5" s="5"/>
      <c r="F5" s="5"/>
      <c r="G5" s="5"/>
      <c r="H5" s="5"/>
      <c r="I5" s="5"/>
    </row>
    <row r="6" spans="1:9" ht="15" x14ac:dyDescent="0.25">
      <c r="A6" s="700" t="s">
        <v>115</v>
      </c>
      <c r="B6" s="700"/>
      <c r="C6" s="700"/>
      <c r="D6" s="700"/>
      <c r="E6" s="5"/>
      <c r="F6" s="5"/>
      <c r="G6" s="5"/>
      <c r="H6" s="5"/>
      <c r="I6" s="5"/>
    </row>
    <row r="7" spans="1:9" ht="15" x14ac:dyDescent="0.25">
      <c r="A7" s="700" t="s">
        <v>60</v>
      </c>
      <c r="B7" s="701"/>
      <c r="C7" s="701"/>
      <c r="D7" s="701"/>
      <c r="E7" s="5"/>
      <c r="F7" s="5"/>
      <c r="G7" s="5"/>
      <c r="H7" s="5"/>
      <c r="I7" s="5"/>
    </row>
    <row r="8" spans="1:9" ht="15" x14ac:dyDescent="0.25">
      <c r="A8" s="7" t="s">
        <v>113</v>
      </c>
      <c r="B8" s="8"/>
      <c r="C8" s="8"/>
      <c r="D8" s="8"/>
      <c r="E8" s="5"/>
      <c r="F8" s="5"/>
      <c r="G8" s="5"/>
      <c r="H8" s="5"/>
      <c r="I8" s="5"/>
    </row>
    <row r="9" spans="1:9" ht="15" x14ac:dyDescent="0.25">
      <c r="A9" s="700" t="s">
        <v>114</v>
      </c>
      <c r="B9" s="701"/>
      <c r="C9" s="701"/>
      <c r="D9" s="701"/>
      <c r="E9" s="5"/>
      <c r="F9" s="5"/>
      <c r="G9" s="5"/>
      <c r="H9" s="5"/>
      <c r="I9" s="5"/>
    </row>
    <row r="10" spans="1:9" ht="15" x14ac:dyDescent="0.25">
      <c r="A10" s="700" t="s">
        <v>67</v>
      </c>
      <c r="B10" s="701"/>
      <c r="C10" s="701"/>
      <c r="D10" s="701"/>
      <c r="E10" s="5"/>
      <c r="F10" s="5"/>
      <c r="G10" s="5"/>
      <c r="H10" s="5"/>
      <c r="I10" s="5"/>
    </row>
    <row r="11" spans="1:9" ht="15" x14ac:dyDescent="0.25">
      <c r="A11" s="700" t="s">
        <v>61</v>
      </c>
      <c r="B11" s="701"/>
      <c r="C11" s="701"/>
      <c r="D11" s="701"/>
      <c r="E11" s="5"/>
      <c r="F11" s="5"/>
      <c r="G11" s="5"/>
      <c r="H11" s="5"/>
      <c r="I11" s="5"/>
    </row>
    <row r="12" spans="1:9" ht="15" x14ac:dyDescent="0.25">
      <c r="A12" s="5"/>
      <c r="B12" s="6"/>
      <c r="C12" s="5"/>
      <c r="D12" s="5"/>
      <c r="E12" s="5"/>
      <c r="F12" s="5"/>
      <c r="G12" s="5"/>
      <c r="H12" s="5"/>
      <c r="I12" s="5"/>
    </row>
    <row r="13" spans="1:9" ht="30" thickBot="1" x14ac:dyDescent="0.3">
      <c r="A13" s="20" t="s">
        <v>4</v>
      </c>
      <c r="B13" s="19" t="s">
        <v>47</v>
      </c>
      <c r="C13" s="19" t="s">
        <v>27</v>
      </c>
      <c r="D13" s="19" t="s">
        <v>48</v>
      </c>
      <c r="E13" s="19" t="s">
        <v>41</v>
      </c>
      <c r="F13" s="19" t="s">
        <v>5</v>
      </c>
      <c r="G13" s="19" t="s">
        <v>43</v>
      </c>
      <c r="H13" s="19" t="s">
        <v>42</v>
      </c>
      <c r="I13" s="19" t="s">
        <v>28</v>
      </c>
    </row>
    <row r="14" spans="1:9" ht="15.75" thickTop="1" x14ac:dyDescent="0.25">
      <c r="A14" s="694" t="s">
        <v>49</v>
      </c>
      <c r="B14" s="12">
        <v>45017</v>
      </c>
      <c r="C14" s="13">
        <v>124.22</v>
      </c>
      <c r="D14" s="13">
        <v>0</v>
      </c>
      <c r="E14" s="13">
        <f>C14*9.6%/12</f>
        <v>0.99375999999999998</v>
      </c>
      <c r="F14" s="13">
        <f>C14+D14+E14</f>
        <v>125.21375999999999</v>
      </c>
      <c r="G14" s="13">
        <v>2.5</v>
      </c>
      <c r="H14" s="13">
        <f>E14+G14</f>
        <v>3.49376</v>
      </c>
      <c r="I14" s="13">
        <f>F14-H14</f>
        <v>121.72</v>
      </c>
    </row>
    <row r="15" spans="1:9" ht="15" x14ac:dyDescent="0.25">
      <c r="A15" s="695"/>
      <c r="B15" s="12">
        <v>45047</v>
      </c>
      <c r="C15" s="13">
        <f>I14</f>
        <v>121.72</v>
      </c>
      <c r="D15" s="13">
        <v>0</v>
      </c>
      <c r="E15" s="13">
        <v>0</v>
      </c>
      <c r="F15" s="13">
        <f t="shared" ref="F15:F25" si="0">C15+D15+E15</f>
        <v>121.72</v>
      </c>
      <c r="G15" s="13">
        <v>2.5</v>
      </c>
      <c r="H15" s="13">
        <f t="shared" ref="H15:H25" si="1">E15+G15</f>
        <v>2.5</v>
      </c>
      <c r="I15" s="13">
        <f t="shared" ref="I15:I25" si="2">F15-H15</f>
        <v>119.22</v>
      </c>
    </row>
    <row r="16" spans="1:9" ht="15" x14ac:dyDescent="0.25">
      <c r="A16" s="695"/>
      <c r="B16" s="12">
        <v>45078</v>
      </c>
      <c r="C16" s="13">
        <f t="shared" ref="C16:C25" si="3">I15</f>
        <v>119.22</v>
      </c>
      <c r="D16" s="13">
        <v>0</v>
      </c>
      <c r="E16" s="13">
        <f>(C16+D16)*10%/12</f>
        <v>0.99350000000000005</v>
      </c>
      <c r="F16" s="13">
        <f t="shared" si="0"/>
        <v>120.2135</v>
      </c>
      <c r="G16" s="13">
        <v>2.5</v>
      </c>
      <c r="H16" s="13">
        <f t="shared" si="1"/>
        <v>3.4935</v>
      </c>
      <c r="I16" s="13">
        <f t="shared" si="2"/>
        <v>116.72</v>
      </c>
    </row>
    <row r="17" spans="1:9" ht="15" x14ac:dyDescent="0.25">
      <c r="A17" s="695"/>
      <c r="B17" s="12">
        <v>45108</v>
      </c>
      <c r="C17" s="13">
        <f t="shared" si="3"/>
        <v>116.72</v>
      </c>
      <c r="D17" s="13">
        <v>0</v>
      </c>
      <c r="E17" s="13">
        <f t="shared" ref="E17:E18" si="4">(C17+D17)*10%/12</f>
        <v>0.97266666666666668</v>
      </c>
      <c r="F17" s="13">
        <f t="shared" si="0"/>
        <v>117.69266666666667</v>
      </c>
      <c r="G17" s="13">
        <v>2.5</v>
      </c>
      <c r="H17" s="13">
        <f t="shared" si="1"/>
        <v>3.4726666666666666</v>
      </c>
      <c r="I17" s="13">
        <f t="shared" si="2"/>
        <v>114.22</v>
      </c>
    </row>
    <row r="18" spans="1:9" ht="15" x14ac:dyDescent="0.25">
      <c r="A18" s="695"/>
      <c r="B18" s="12">
        <v>45139</v>
      </c>
      <c r="C18" s="13">
        <f t="shared" si="3"/>
        <v>114.22</v>
      </c>
      <c r="D18" s="13">
        <v>0</v>
      </c>
      <c r="E18" s="13">
        <f t="shared" si="4"/>
        <v>0.95183333333333342</v>
      </c>
      <c r="F18" s="13">
        <f t="shared" si="0"/>
        <v>115.17183333333334</v>
      </c>
      <c r="G18" s="13">
        <v>2.5</v>
      </c>
      <c r="H18" s="13">
        <f t="shared" si="1"/>
        <v>3.4518333333333335</v>
      </c>
      <c r="I18" s="13">
        <f t="shared" si="2"/>
        <v>111.72</v>
      </c>
    </row>
    <row r="19" spans="1:9" ht="15" x14ac:dyDescent="0.25">
      <c r="A19" s="695"/>
      <c r="B19" s="12">
        <v>45170</v>
      </c>
      <c r="C19" s="13">
        <f t="shared" si="3"/>
        <v>111.72</v>
      </c>
      <c r="D19" s="13">
        <v>0</v>
      </c>
      <c r="E19" s="13">
        <f>(C19+D19)*9.6%/12</f>
        <v>0.89376</v>
      </c>
      <c r="F19" s="13">
        <f t="shared" si="0"/>
        <v>112.61376</v>
      </c>
      <c r="G19" s="13">
        <v>2.5</v>
      </c>
      <c r="H19" s="13">
        <f t="shared" si="1"/>
        <v>3.3937599999999999</v>
      </c>
      <c r="I19" s="13">
        <f t="shared" si="2"/>
        <v>109.22</v>
      </c>
    </row>
    <row r="20" spans="1:9" ht="15" x14ac:dyDescent="0.25">
      <c r="A20" s="695"/>
      <c r="B20" s="12">
        <v>45200</v>
      </c>
      <c r="C20" s="13">
        <f t="shared" si="3"/>
        <v>109.22</v>
      </c>
      <c r="D20" s="13">
        <v>0</v>
      </c>
      <c r="E20" s="13">
        <f t="shared" ref="E20:E77" si="5">(C20+D20)*9.6%/12</f>
        <v>0.87375999999999998</v>
      </c>
      <c r="F20" s="13">
        <f t="shared" si="0"/>
        <v>110.09376</v>
      </c>
      <c r="G20" s="13">
        <v>2.5</v>
      </c>
      <c r="H20" s="13">
        <f t="shared" si="1"/>
        <v>3.3737599999999999</v>
      </c>
      <c r="I20" s="13">
        <f t="shared" si="2"/>
        <v>106.72</v>
      </c>
    </row>
    <row r="21" spans="1:9" ht="15" x14ac:dyDescent="0.25">
      <c r="A21" s="695"/>
      <c r="B21" s="12">
        <v>45231</v>
      </c>
      <c r="C21" s="13">
        <f t="shared" si="3"/>
        <v>106.72</v>
      </c>
      <c r="D21" s="13">
        <v>0</v>
      </c>
      <c r="E21" s="13">
        <f t="shared" si="5"/>
        <v>0.85375999999999996</v>
      </c>
      <c r="F21" s="13">
        <f t="shared" si="0"/>
        <v>107.57375999999999</v>
      </c>
      <c r="G21" s="13">
        <v>2.5</v>
      </c>
      <c r="H21" s="13">
        <f t="shared" si="1"/>
        <v>3.3537599999999999</v>
      </c>
      <c r="I21" s="13">
        <f t="shared" si="2"/>
        <v>104.22</v>
      </c>
    </row>
    <row r="22" spans="1:9" ht="15" x14ac:dyDescent="0.25">
      <c r="A22" s="695"/>
      <c r="B22" s="12">
        <v>45261</v>
      </c>
      <c r="C22" s="13">
        <f t="shared" si="3"/>
        <v>104.22</v>
      </c>
      <c r="D22" s="13">
        <v>0</v>
      </c>
      <c r="E22" s="13">
        <f t="shared" si="5"/>
        <v>0.83375999999999995</v>
      </c>
      <c r="F22" s="13">
        <f t="shared" si="0"/>
        <v>105.05376</v>
      </c>
      <c r="G22" s="13">
        <v>2.5</v>
      </c>
      <c r="H22" s="13">
        <f t="shared" si="1"/>
        <v>3.3337599999999998</v>
      </c>
      <c r="I22" s="13">
        <f t="shared" si="2"/>
        <v>101.72</v>
      </c>
    </row>
    <row r="23" spans="1:9" ht="15" x14ac:dyDescent="0.25">
      <c r="A23" s="695"/>
      <c r="B23" s="12">
        <v>45292</v>
      </c>
      <c r="C23" s="13">
        <f t="shared" si="3"/>
        <v>101.72</v>
      </c>
      <c r="D23" s="13">
        <v>0</v>
      </c>
      <c r="E23" s="13">
        <f t="shared" si="5"/>
        <v>0.81375999999999993</v>
      </c>
      <c r="F23" s="13">
        <f t="shared" si="0"/>
        <v>102.53376</v>
      </c>
      <c r="G23" s="13">
        <v>2.5</v>
      </c>
      <c r="H23" s="13">
        <f t="shared" si="1"/>
        <v>3.3137599999999998</v>
      </c>
      <c r="I23" s="13">
        <f t="shared" si="2"/>
        <v>99.22</v>
      </c>
    </row>
    <row r="24" spans="1:9" ht="15" x14ac:dyDescent="0.25">
      <c r="A24" s="695"/>
      <c r="B24" s="12">
        <v>45323</v>
      </c>
      <c r="C24" s="13">
        <f t="shared" si="3"/>
        <v>99.22</v>
      </c>
      <c r="D24" s="13">
        <v>0</v>
      </c>
      <c r="E24" s="13">
        <f t="shared" si="5"/>
        <v>0.79375999999999991</v>
      </c>
      <c r="F24" s="13">
        <f t="shared" si="0"/>
        <v>100.01376</v>
      </c>
      <c r="G24" s="13">
        <v>2.5</v>
      </c>
      <c r="H24" s="13">
        <f t="shared" si="1"/>
        <v>3.2937599999999998</v>
      </c>
      <c r="I24" s="13">
        <f t="shared" si="2"/>
        <v>96.72</v>
      </c>
    </row>
    <row r="25" spans="1:9" ht="15" x14ac:dyDescent="0.25">
      <c r="A25" s="696"/>
      <c r="B25" s="12">
        <v>45352</v>
      </c>
      <c r="C25" s="13">
        <f t="shared" si="3"/>
        <v>96.72</v>
      </c>
      <c r="D25" s="13">
        <v>0</v>
      </c>
      <c r="E25" s="13">
        <f t="shared" si="5"/>
        <v>0.77376000000000011</v>
      </c>
      <c r="F25" s="13">
        <f t="shared" si="0"/>
        <v>97.493759999999995</v>
      </c>
      <c r="G25" s="13">
        <v>2.5</v>
      </c>
      <c r="H25" s="13">
        <f t="shared" si="1"/>
        <v>3.2737600000000002</v>
      </c>
      <c r="I25" s="13">
        <f t="shared" si="2"/>
        <v>94.22</v>
      </c>
    </row>
    <row r="26" spans="1:9" ht="15.75" thickBot="1" x14ac:dyDescent="0.3">
      <c r="A26" s="9"/>
      <c r="B26" s="14"/>
      <c r="C26" s="15"/>
      <c r="D26" s="15">
        <f>SUM(D16:D25)</f>
        <v>0</v>
      </c>
      <c r="E26" s="15">
        <f>SUM(E16:E25)</f>
        <v>8.7543199999999999</v>
      </c>
      <c r="F26" s="15"/>
      <c r="G26" s="15">
        <f>SUM(G14:G25)</f>
        <v>30</v>
      </c>
      <c r="H26" s="15">
        <f>SUM(H16:H25)</f>
        <v>33.75432</v>
      </c>
      <c r="I26" s="15"/>
    </row>
    <row r="27" spans="1:9" ht="15.75" thickTop="1" x14ac:dyDescent="0.25">
      <c r="A27" s="694" t="s">
        <v>50</v>
      </c>
      <c r="B27" s="12">
        <v>45383</v>
      </c>
      <c r="C27" s="13">
        <f>I25</f>
        <v>94.22</v>
      </c>
      <c r="D27" s="13">
        <v>0</v>
      </c>
      <c r="E27" s="13">
        <f t="shared" si="5"/>
        <v>0.7537600000000001</v>
      </c>
      <c r="F27" s="13">
        <f t="shared" ref="F27:F77" si="6">C27+D27+E27</f>
        <v>94.973759999999999</v>
      </c>
      <c r="G27" s="13">
        <v>2.5</v>
      </c>
      <c r="H27" s="13">
        <f t="shared" ref="H27:H38" si="7">E27+G27</f>
        <v>3.2537600000000002</v>
      </c>
      <c r="I27" s="13">
        <f t="shared" ref="I27:I77" si="8">F27-H27</f>
        <v>91.72</v>
      </c>
    </row>
    <row r="28" spans="1:9" ht="15" x14ac:dyDescent="0.25">
      <c r="A28" s="695"/>
      <c r="B28" s="12">
        <v>45413</v>
      </c>
      <c r="C28" s="13">
        <f t="shared" ref="C28:C77" si="9">I27</f>
        <v>91.72</v>
      </c>
      <c r="D28" s="13">
        <v>0</v>
      </c>
      <c r="E28" s="13">
        <f t="shared" si="5"/>
        <v>0.73376000000000008</v>
      </c>
      <c r="F28" s="13">
        <f t="shared" si="6"/>
        <v>92.453760000000003</v>
      </c>
      <c r="G28" s="13">
        <v>2.5</v>
      </c>
      <c r="H28" s="13">
        <f t="shared" si="7"/>
        <v>3.2337600000000002</v>
      </c>
      <c r="I28" s="13">
        <f t="shared" si="8"/>
        <v>89.22</v>
      </c>
    </row>
    <row r="29" spans="1:9" ht="15" x14ac:dyDescent="0.25">
      <c r="A29" s="695"/>
      <c r="B29" s="12">
        <v>45444</v>
      </c>
      <c r="C29" s="13">
        <f t="shared" si="9"/>
        <v>89.22</v>
      </c>
      <c r="D29" s="13">
        <v>0</v>
      </c>
      <c r="E29" s="13">
        <f t="shared" si="5"/>
        <v>0.71376000000000006</v>
      </c>
      <c r="F29" s="13">
        <f t="shared" si="6"/>
        <v>89.933759999999992</v>
      </c>
      <c r="G29" s="13">
        <v>2.5</v>
      </c>
      <c r="H29" s="13">
        <f t="shared" si="7"/>
        <v>3.2137600000000002</v>
      </c>
      <c r="I29" s="13">
        <f t="shared" si="8"/>
        <v>86.72</v>
      </c>
    </row>
    <row r="30" spans="1:9" ht="15" x14ac:dyDescent="0.25">
      <c r="A30" s="695"/>
      <c r="B30" s="12">
        <v>45474</v>
      </c>
      <c r="C30" s="13">
        <f t="shared" si="9"/>
        <v>86.72</v>
      </c>
      <c r="D30" s="13">
        <v>0</v>
      </c>
      <c r="E30" s="13">
        <f t="shared" si="5"/>
        <v>0.69376000000000004</v>
      </c>
      <c r="F30" s="13">
        <f t="shared" si="6"/>
        <v>87.413759999999996</v>
      </c>
      <c r="G30" s="13">
        <v>2.5</v>
      </c>
      <c r="H30" s="13">
        <f t="shared" si="7"/>
        <v>3.1937600000000002</v>
      </c>
      <c r="I30" s="13">
        <f t="shared" si="8"/>
        <v>84.22</v>
      </c>
    </row>
    <row r="31" spans="1:9" ht="15" x14ac:dyDescent="0.25">
      <c r="A31" s="695"/>
      <c r="B31" s="12">
        <v>45505</v>
      </c>
      <c r="C31" s="13">
        <f t="shared" si="9"/>
        <v>84.22</v>
      </c>
      <c r="D31" s="13">
        <v>0</v>
      </c>
      <c r="E31" s="13">
        <f t="shared" si="5"/>
        <v>0.67376000000000003</v>
      </c>
      <c r="F31" s="13">
        <f t="shared" si="6"/>
        <v>84.89376</v>
      </c>
      <c r="G31" s="13">
        <v>2.5</v>
      </c>
      <c r="H31" s="13">
        <f t="shared" si="7"/>
        <v>3.1737600000000001</v>
      </c>
      <c r="I31" s="13">
        <f t="shared" si="8"/>
        <v>81.72</v>
      </c>
    </row>
    <row r="32" spans="1:9" ht="15" x14ac:dyDescent="0.25">
      <c r="A32" s="695"/>
      <c r="B32" s="12">
        <v>45536</v>
      </c>
      <c r="C32" s="13">
        <f t="shared" si="9"/>
        <v>81.72</v>
      </c>
      <c r="D32" s="13">
        <v>0</v>
      </c>
      <c r="E32" s="13">
        <f t="shared" si="5"/>
        <v>0.65376000000000001</v>
      </c>
      <c r="F32" s="13">
        <f t="shared" si="6"/>
        <v>82.373760000000004</v>
      </c>
      <c r="G32" s="13">
        <v>2.5</v>
      </c>
      <c r="H32" s="13">
        <f t="shared" si="7"/>
        <v>3.1537600000000001</v>
      </c>
      <c r="I32" s="13">
        <f t="shared" si="8"/>
        <v>79.22</v>
      </c>
    </row>
    <row r="33" spans="1:9" ht="15" x14ac:dyDescent="0.25">
      <c r="A33" s="695"/>
      <c r="B33" s="12">
        <v>45566</v>
      </c>
      <c r="C33" s="13">
        <f t="shared" si="9"/>
        <v>79.22</v>
      </c>
      <c r="D33" s="13">
        <v>0</v>
      </c>
      <c r="E33" s="13">
        <f t="shared" si="5"/>
        <v>0.63375999999999999</v>
      </c>
      <c r="F33" s="13">
        <f t="shared" si="6"/>
        <v>79.853759999999994</v>
      </c>
      <c r="G33" s="13">
        <v>2.5</v>
      </c>
      <c r="H33" s="13">
        <f t="shared" si="7"/>
        <v>3.1337600000000001</v>
      </c>
      <c r="I33" s="13">
        <f t="shared" si="8"/>
        <v>76.72</v>
      </c>
    </row>
    <row r="34" spans="1:9" ht="15" x14ac:dyDescent="0.25">
      <c r="A34" s="695"/>
      <c r="B34" s="12">
        <v>45597</v>
      </c>
      <c r="C34" s="13">
        <f t="shared" si="9"/>
        <v>76.72</v>
      </c>
      <c r="D34" s="13">
        <v>0</v>
      </c>
      <c r="E34" s="13">
        <f t="shared" si="5"/>
        <v>0.61375999999999997</v>
      </c>
      <c r="F34" s="13">
        <f t="shared" si="6"/>
        <v>77.333759999999998</v>
      </c>
      <c r="G34" s="13">
        <v>2.5</v>
      </c>
      <c r="H34" s="13">
        <f t="shared" si="7"/>
        <v>3.1137600000000001</v>
      </c>
      <c r="I34" s="13">
        <f t="shared" si="8"/>
        <v>74.22</v>
      </c>
    </row>
    <row r="35" spans="1:9" ht="15" x14ac:dyDescent="0.25">
      <c r="A35" s="695"/>
      <c r="B35" s="12">
        <v>45627</v>
      </c>
      <c r="C35" s="13">
        <f t="shared" si="9"/>
        <v>74.22</v>
      </c>
      <c r="D35" s="13">
        <v>0</v>
      </c>
      <c r="E35" s="13">
        <f t="shared" si="5"/>
        <v>0.59375999999999995</v>
      </c>
      <c r="F35" s="13">
        <f t="shared" si="6"/>
        <v>74.813760000000002</v>
      </c>
      <c r="G35" s="13">
        <v>2.5</v>
      </c>
      <c r="H35" s="13">
        <f t="shared" si="7"/>
        <v>3.0937600000000001</v>
      </c>
      <c r="I35" s="13">
        <f t="shared" si="8"/>
        <v>71.72</v>
      </c>
    </row>
    <row r="36" spans="1:9" ht="15" x14ac:dyDescent="0.25">
      <c r="A36" s="695"/>
      <c r="B36" s="12">
        <v>45658</v>
      </c>
      <c r="C36" s="13">
        <f t="shared" si="9"/>
        <v>71.72</v>
      </c>
      <c r="D36" s="13">
        <v>0</v>
      </c>
      <c r="E36" s="13">
        <f t="shared" si="5"/>
        <v>0.57375999999999994</v>
      </c>
      <c r="F36" s="13">
        <f t="shared" si="6"/>
        <v>72.293759999999992</v>
      </c>
      <c r="G36" s="13">
        <v>2.5</v>
      </c>
      <c r="H36" s="13">
        <f t="shared" si="7"/>
        <v>3.07376</v>
      </c>
      <c r="I36" s="13">
        <f t="shared" si="8"/>
        <v>69.22</v>
      </c>
    </row>
    <row r="37" spans="1:9" ht="15" x14ac:dyDescent="0.25">
      <c r="A37" s="695"/>
      <c r="B37" s="12">
        <v>45689</v>
      </c>
      <c r="C37" s="13">
        <f t="shared" si="9"/>
        <v>69.22</v>
      </c>
      <c r="D37" s="13">
        <v>0</v>
      </c>
      <c r="E37" s="13">
        <f t="shared" si="5"/>
        <v>0.55376000000000003</v>
      </c>
      <c r="F37" s="13">
        <f t="shared" si="6"/>
        <v>69.773759999999996</v>
      </c>
      <c r="G37" s="13">
        <v>2.5</v>
      </c>
      <c r="H37" s="13">
        <f t="shared" si="7"/>
        <v>3.05376</v>
      </c>
      <c r="I37" s="13">
        <f t="shared" si="8"/>
        <v>66.72</v>
      </c>
    </row>
    <row r="38" spans="1:9" ht="15" x14ac:dyDescent="0.25">
      <c r="A38" s="696"/>
      <c r="B38" s="12">
        <v>45717</v>
      </c>
      <c r="C38" s="13">
        <f t="shared" si="9"/>
        <v>66.72</v>
      </c>
      <c r="D38" s="13">
        <v>0</v>
      </c>
      <c r="E38" s="13">
        <f t="shared" si="5"/>
        <v>0.53376000000000001</v>
      </c>
      <c r="F38" s="13">
        <f t="shared" si="6"/>
        <v>67.25376</v>
      </c>
      <c r="G38" s="13">
        <v>2.5</v>
      </c>
      <c r="H38" s="13">
        <f t="shared" si="7"/>
        <v>3.03376</v>
      </c>
      <c r="I38" s="13">
        <f t="shared" si="8"/>
        <v>64.22</v>
      </c>
    </row>
    <row r="39" spans="1:9" ht="15.75" thickBot="1" x14ac:dyDescent="0.3">
      <c r="A39" s="9"/>
      <c r="B39" s="14"/>
      <c r="C39" s="15"/>
      <c r="D39" s="15">
        <f>SUM(D27:D38)</f>
        <v>0</v>
      </c>
      <c r="E39" s="15">
        <f>SUM(E27:E38)</f>
        <v>7.7251199999999995</v>
      </c>
      <c r="F39" s="15"/>
      <c r="G39" s="15">
        <f>SUM(G27:G38)</f>
        <v>30</v>
      </c>
      <c r="H39" s="15">
        <f>SUM(H27:H38)</f>
        <v>37.725119999999997</v>
      </c>
      <c r="I39" s="15"/>
    </row>
    <row r="40" spans="1:9" ht="15.75" thickTop="1" x14ac:dyDescent="0.25">
      <c r="A40" s="694" t="s">
        <v>51</v>
      </c>
      <c r="B40" s="12">
        <v>45748</v>
      </c>
      <c r="C40" s="13">
        <f>I38</f>
        <v>64.22</v>
      </c>
      <c r="D40" s="13">
        <v>0</v>
      </c>
      <c r="E40" s="13">
        <f t="shared" si="5"/>
        <v>0.51375999999999999</v>
      </c>
      <c r="F40" s="13">
        <f t="shared" si="6"/>
        <v>64.733760000000004</v>
      </c>
      <c r="G40" s="13">
        <v>2.5</v>
      </c>
      <c r="H40" s="13">
        <f t="shared" ref="H40:H51" si="10">E40+G40</f>
        <v>3.01376</v>
      </c>
      <c r="I40" s="13">
        <f t="shared" si="8"/>
        <v>61.720000000000006</v>
      </c>
    </row>
    <row r="41" spans="1:9" ht="15" x14ac:dyDescent="0.25">
      <c r="A41" s="695"/>
      <c r="B41" s="12">
        <v>45778</v>
      </c>
      <c r="C41" s="13">
        <f t="shared" si="9"/>
        <v>61.720000000000006</v>
      </c>
      <c r="D41" s="13">
        <v>0</v>
      </c>
      <c r="E41" s="13">
        <f t="shared" si="5"/>
        <v>0.49376000000000003</v>
      </c>
      <c r="F41" s="13">
        <f t="shared" si="6"/>
        <v>62.213760000000008</v>
      </c>
      <c r="G41" s="13">
        <v>2.5</v>
      </c>
      <c r="H41" s="13">
        <f t="shared" si="10"/>
        <v>2.99376</v>
      </c>
      <c r="I41" s="13">
        <f t="shared" si="8"/>
        <v>59.220000000000006</v>
      </c>
    </row>
    <row r="42" spans="1:9" ht="15" x14ac:dyDescent="0.25">
      <c r="A42" s="695"/>
      <c r="B42" s="12">
        <v>45809</v>
      </c>
      <c r="C42" s="13">
        <f t="shared" si="9"/>
        <v>59.220000000000006</v>
      </c>
      <c r="D42" s="13">
        <v>0</v>
      </c>
      <c r="E42" s="13">
        <f t="shared" si="5"/>
        <v>0.47376000000000001</v>
      </c>
      <c r="F42" s="13">
        <f t="shared" si="6"/>
        <v>59.693760000000005</v>
      </c>
      <c r="G42" s="13">
        <v>2.5</v>
      </c>
      <c r="H42" s="13">
        <f t="shared" si="10"/>
        <v>2.97376</v>
      </c>
      <c r="I42" s="13">
        <f t="shared" si="8"/>
        <v>56.720000000000006</v>
      </c>
    </row>
    <row r="43" spans="1:9" ht="15" x14ac:dyDescent="0.25">
      <c r="A43" s="695"/>
      <c r="B43" s="12">
        <v>45839</v>
      </c>
      <c r="C43" s="13">
        <f t="shared" si="9"/>
        <v>56.720000000000006</v>
      </c>
      <c r="D43" s="13">
        <v>0</v>
      </c>
      <c r="E43" s="13">
        <f t="shared" si="5"/>
        <v>0.45376000000000011</v>
      </c>
      <c r="F43" s="13">
        <f t="shared" si="6"/>
        <v>57.173760000000009</v>
      </c>
      <c r="G43" s="13">
        <v>2.5</v>
      </c>
      <c r="H43" s="13">
        <f t="shared" si="10"/>
        <v>2.9537599999999999</v>
      </c>
      <c r="I43" s="13">
        <f t="shared" si="8"/>
        <v>54.220000000000006</v>
      </c>
    </row>
    <row r="44" spans="1:9" ht="15" x14ac:dyDescent="0.25">
      <c r="A44" s="695"/>
      <c r="B44" s="12">
        <v>45870</v>
      </c>
      <c r="C44" s="13">
        <f t="shared" si="9"/>
        <v>54.220000000000006</v>
      </c>
      <c r="D44" s="13">
        <v>0</v>
      </c>
      <c r="E44" s="13">
        <f t="shared" si="5"/>
        <v>0.43376000000000009</v>
      </c>
      <c r="F44" s="13">
        <f t="shared" si="6"/>
        <v>54.653760000000005</v>
      </c>
      <c r="G44" s="13">
        <v>2.5</v>
      </c>
      <c r="H44" s="13">
        <f t="shared" si="10"/>
        <v>2.9337599999999999</v>
      </c>
      <c r="I44" s="13">
        <f t="shared" si="8"/>
        <v>51.720000000000006</v>
      </c>
    </row>
    <row r="45" spans="1:9" ht="15" x14ac:dyDescent="0.25">
      <c r="A45" s="695"/>
      <c r="B45" s="12">
        <v>45901</v>
      </c>
      <c r="C45" s="13">
        <f t="shared" si="9"/>
        <v>51.720000000000006</v>
      </c>
      <c r="D45" s="13">
        <v>0</v>
      </c>
      <c r="E45" s="13">
        <f t="shared" si="5"/>
        <v>0.41376000000000007</v>
      </c>
      <c r="F45" s="13">
        <f t="shared" si="6"/>
        <v>52.133760000000009</v>
      </c>
      <c r="G45" s="13">
        <v>2.5</v>
      </c>
      <c r="H45" s="13">
        <f t="shared" si="10"/>
        <v>2.9137599999999999</v>
      </c>
      <c r="I45" s="13">
        <f t="shared" si="8"/>
        <v>49.220000000000013</v>
      </c>
    </row>
    <row r="46" spans="1:9" ht="15" x14ac:dyDescent="0.25">
      <c r="A46" s="695"/>
      <c r="B46" s="12">
        <v>45931</v>
      </c>
      <c r="C46" s="13">
        <f t="shared" si="9"/>
        <v>49.220000000000013</v>
      </c>
      <c r="D46" s="13">
        <v>0</v>
      </c>
      <c r="E46" s="13">
        <f t="shared" si="5"/>
        <v>0.39376000000000011</v>
      </c>
      <c r="F46" s="13">
        <f t="shared" si="6"/>
        <v>49.613760000000013</v>
      </c>
      <c r="G46" s="13">
        <v>2.5</v>
      </c>
      <c r="H46" s="13">
        <f t="shared" si="10"/>
        <v>2.8937600000000003</v>
      </c>
      <c r="I46" s="13">
        <f t="shared" si="8"/>
        <v>46.720000000000013</v>
      </c>
    </row>
    <row r="47" spans="1:9" ht="15" x14ac:dyDescent="0.25">
      <c r="A47" s="695"/>
      <c r="B47" s="12">
        <v>45962</v>
      </c>
      <c r="C47" s="13">
        <f t="shared" si="9"/>
        <v>46.720000000000013</v>
      </c>
      <c r="D47" s="13">
        <v>0</v>
      </c>
      <c r="E47" s="13">
        <f t="shared" si="5"/>
        <v>0.37376000000000009</v>
      </c>
      <c r="F47" s="13">
        <f t="shared" si="6"/>
        <v>47.09376000000001</v>
      </c>
      <c r="G47" s="13">
        <v>2.5</v>
      </c>
      <c r="H47" s="13">
        <f t="shared" si="10"/>
        <v>2.8737599999999999</v>
      </c>
      <c r="I47" s="13">
        <f t="shared" si="8"/>
        <v>44.220000000000013</v>
      </c>
    </row>
    <row r="48" spans="1:9" ht="15" x14ac:dyDescent="0.25">
      <c r="A48" s="695"/>
      <c r="B48" s="12">
        <v>45992</v>
      </c>
      <c r="C48" s="13">
        <f t="shared" si="9"/>
        <v>44.220000000000013</v>
      </c>
      <c r="D48" s="13">
        <v>0</v>
      </c>
      <c r="E48" s="13">
        <f t="shared" si="5"/>
        <v>0.35376000000000013</v>
      </c>
      <c r="F48" s="13">
        <f t="shared" si="6"/>
        <v>44.573760000000014</v>
      </c>
      <c r="G48" s="13">
        <v>2.5</v>
      </c>
      <c r="H48" s="13">
        <f t="shared" si="10"/>
        <v>2.8537600000000003</v>
      </c>
      <c r="I48" s="13">
        <f t="shared" si="8"/>
        <v>41.720000000000013</v>
      </c>
    </row>
    <row r="49" spans="1:9" ht="15" x14ac:dyDescent="0.25">
      <c r="A49" s="695"/>
      <c r="B49" s="12">
        <v>46023</v>
      </c>
      <c r="C49" s="13">
        <f t="shared" si="9"/>
        <v>41.720000000000013</v>
      </c>
      <c r="D49" s="13">
        <v>0</v>
      </c>
      <c r="E49" s="13">
        <f t="shared" si="5"/>
        <v>0.33376000000000011</v>
      </c>
      <c r="F49" s="13">
        <f t="shared" si="6"/>
        <v>42.053760000000011</v>
      </c>
      <c r="G49" s="13">
        <v>2.5</v>
      </c>
      <c r="H49" s="13">
        <f t="shared" si="10"/>
        <v>2.8337600000000003</v>
      </c>
      <c r="I49" s="13">
        <f t="shared" si="8"/>
        <v>39.220000000000013</v>
      </c>
    </row>
    <row r="50" spans="1:9" ht="15" x14ac:dyDescent="0.25">
      <c r="A50" s="695"/>
      <c r="B50" s="12">
        <v>46054</v>
      </c>
      <c r="C50" s="13">
        <f t="shared" si="9"/>
        <v>39.220000000000013</v>
      </c>
      <c r="D50" s="13">
        <v>0</v>
      </c>
      <c r="E50" s="13">
        <f t="shared" si="5"/>
        <v>0.31376000000000009</v>
      </c>
      <c r="F50" s="13">
        <f t="shared" si="6"/>
        <v>39.533760000000015</v>
      </c>
      <c r="G50" s="13">
        <v>2.5</v>
      </c>
      <c r="H50" s="13">
        <f t="shared" si="10"/>
        <v>2.8137600000000003</v>
      </c>
      <c r="I50" s="13">
        <f t="shared" si="8"/>
        <v>36.720000000000013</v>
      </c>
    </row>
    <row r="51" spans="1:9" ht="15" x14ac:dyDescent="0.25">
      <c r="A51" s="696"/>
      <c r="B51" s="12">
        <v>46082</v>
      </c>
      <c r="C51" s="13">
        <f t="shared" si="9"/>
        <v>36.720000000000013</v>
      </c>
      <c r="D51" s="13">
        <v>0</v>
      </c>
      <c r="E51" s="13">
        <f t="shared" si="5"/>
        <v>0.29376000000000008</v>
      </c>
      <c r="F51" s="13">
        <f t="shared" si="6"/>
        <v>37.013760000000012</v>
      </c>
      <c r="G51" s="13">
        <v>2.5</v>
      </c>
      <c r="H51" s="13">
        <f t="shared" si="10"/>
        <v>2.7937600000000002</v>
      </c>
      <c r="I51" s="13">
        <f t="shared" si="8"/>
        <v>34.220000000000013</v>
      </c>
    </row>
    <row r="52" spans="1:9" ht="15.75" thickBot="1" x14ac:dyDescent="0.3">
      <c r="A52" s="9"/>
      <c r="B52" s="14"/>
      <c r="C52" s="15"/>
      <c r="D52" s="15">
        <f>SUM(D40:D51)</f>
        <v>0</v>
      </c>
      <c r="E52" s="15">
        <f>SUM(E40:E51)</f>
        <v>4.8451200000000005</v>
      </c>
      <c r="F52" s="15"/>
      <c r="G52" s="15">
        <f>SUM(G40:G51)</f>
        <v>30</v>
      </c>
      <c r="H52" s="15">
        <f>SUM(H40:H51)</f>
        <v>34.845120000000001</v>
      </c>
      <c r="I52" s="15"/>
    </row>
    <row r="53" spans="1:9" ht="15.75" thickTop="1" x14ac:dyDescent="0.25">
      <c r="A53" s="694" t="s">
        <v>52</v>
      </c>
      <c r="B53" s="12">
        <v>46113</v>
      </c>
      <c r="C53" s="13">
        <f>I51</f>
        <v>34.220000000000013</v>
      </c>
      <c r="D53" s="13">
        <v>0</v>
      </c>
      <c r="E53" s="13">
        <f t="shared" si="5"/>
        <v>0.27376000000000011</v>
      </c>
      <c r="F53" s="13">
        <f t="shared" si="6"/>
        <v>34.493760000000016</v>
      </c>
      <c r="G53" s="13">
        <v>2.5</v>
      </c>
      <c r="H53" s="13">
        <f t="shared" ref="H53:H64" si="11">E53+G53</f>
        <v>2.7737600000000002</v>
      </c>
      <c r="I53" s="13">
        <f t="shared" si="8"/>
        <v>31.720000000000017</v>
      </c>
    </row>
    <row r="54" spans="1:9" ht="15" x14ac:dyDescent="0.25">
      <c r="A54" s="695"/>
      <c r="B54" s="12">
        <v>46143</v>
      </c>
      <c r="C54" s="13">
        <f t="shared" si="9"/>
        <v>31.720000000000017</v>
      </c>
      <c r="D54" s="13">
        <v>0</v>
      </c>
      <c r="E54" s="13">
        <f t="shared" si="5"/>
        <v>0.25376000000000015</v>
      </c>
      <c r="F54" s="13">
        <f t="shared" si="6"/>
        <v>31.973760000000016</v>
      </c>
      <c r="G54" s="13">
        <v>2.5</v>
      </c>
      <c r="H54" s="13">
        <f t="shared" si="11"/>
        <v>2.7537600000000002</v>
      </c>
      <c r="I54" s="13">
        <f t="shared" si="8"/>
        <v>29.220000000000017</v>
      </c>
    </row>
    <row r="55" spans="1:9" ht="15" x14ac:dyDescent="0.25">
      <c r="A55" s="695"/>
      <c r="B55" s="12">
        <v>46174</v>
      </c>
      <c r="C55" s="13">
        <f t="shared" si="9"/>
        <v>29.220000000000017</v>
      </c>
      <c r="D55" s="13">
        <v>0</v>
      </c>
      <c r="E55" s="13">
        <f t="shared" si="5"/>
        <v>0.23376000000000016</v>
      </c>
      <c r="F55" s="13">
        <f t="shared" si="6"/>
        <v>29.453760000000017</v>
      </c>
      <c r="G55" s="13">
        <v>2.5</v>
      </c>
      <c r="H55" s="13">
        <f t="shared" si="11"/>
        <v>2.7337600000000002</v>
      </c>
      <c r="I55" s="13">
        <f t="shared" si="8"/>
        <v>26.720000000000017</v>
      </c>
    </row>
    <row r="56" spans="1:9" ht="15" x14ac:dyDescent="0.25">
      <c r="A56" s="695"/>
      <c r="B56" s="12">
        <v>46204</v>
      </c>
      <c r="C56" s="13">
        <f t="shared" si="9"/>
        <v>26.720000000000017</v>
      </c>
      <c r="D56" s="13">
        <v>0</v>
      </c>
      <c r="E56" s="13">
        <f t="shared" si="5"/>
        <v>0.21376000000000014</v>
      </c>
      <c r="F56" s="13">
        <f t="shared" si="6"/>
        <v>26.933760000000017</v>
      </c>
      <c r="G56" s="13">
        <v>2.5</v>
      </c>
      <c r="H56" s="13">
        <f t="shared" si="11"/>
        <v>2.7137600000000002</v>
      </c>
      <c r="I56" s="13">
        <f t="shared" si="8"/>
        <v>24.220000000000017</v>
      </c>
    </row>
    <row r="57" spans="1:9" ht="15" x14ac:dyDescent="0.25">
      <c r="A57" s="695"/>
      <c r="B57" s="12">
        <v>46235</v>
      </c>
      <c r="C57" s="13">
        <f t="shared" si="9"/>
        <v>24.220000000000017</v>
      </c>
      <c r="D57" s="13">
        <v>0</v>
      </c>
      <c r="E57" s="13">
        <f t="shared" si="5"/>
        <v>0.19376000000000015</v>
      </c>
      <c r="F57" s="13">
        <f t="shared" si="6"/>
        <v>24.413760000000018</v>
      </c>
      <c r="G57" s="13">
        <v>2.5</v>
      </c>
      <c r="H57" s="13">
        <f t="shared" si="11"/>
        <v>2.6937600000000002</v>
      </c>
      <c r="I57" s="13">
        <f t="shared" si="8"/>
        <v>21.720000000000017</v>
      </c>
    </row>
    <row r="58" spans="1:9" ht="15" x14ac:dyDescent="0.25">
      <c r="A58" s="695"/>
      <c r="B58" s="12">
        <v>46266</v>
      </c>
      <c r="C58" s="13">
        <f t="shared" si="9"/>
        <v>21.720000000000017</v>
      </c>
      <c r="D58" s="13">
        <v>0</v>
      </c>
      <c r="E58" s="13">
        <f t="shared" si="5"/>
        <v>0.17376000000000014</v>
      </c>
      <c r="F58" s="13">
        <f t="shared" si="6"/>
        <v>21.893760000000018</v>
      </c>
      <c r="G58" s="13">
        <v>2.5</v>
      </c>
      <c r="H58" s="13">
        <f t="shared" si="11"/>
        <v>2.6737600000000001</v>
      </c>
      <c r="I58" s="13">
        <f t="shared" si="8"/>
        <v>19.220000000000017</v>
      </c>
    </row>
    <row r="59" spans="1:9" ht="15" x14ac:dyDescent="0.25">
      <c r="A59" s="695"/>
      <c r="B59" s="12">
        <v>46296</v>
      </c>
      <c r="C59" s="13">
        <f t="shared" si="9"/>
        <v>19.220000000000017</v>
      </c>
      <c r="D59" s="13">
        <v>0</v>
      </c>
      <c r="E59" s="13">
        <f t="shared" si="5"/>
        <v>0.15376000000000015</v>
      </c>
      <c r="F59" s="13">
        <f t="shared" si="6"/>
        <v>19.373760000000019</v>
      </c>
      <c r="G59" s="13">
        <v>2.5</v>
      </c>
      <c r="H59" s="13">
        <f t="shared" si="11"/>
        <v>2.6537600000000001</v>
      </c>
      <c r="I59" s="13">
        <f t="shared" si="8"/>
        <v>16.72000000000002</v>
      </c>
    </row>
    <row r="60" spans="1:9" ht="15" x14ac:dyDescent="0.25">
      <c r="A60" s="695"/>
      <c r="B60" s="12">
        <v>46327</v>
      </c>
      <c r="C60" s="13">
        <f t="shared" si="9"/>
        <v>16.72000000000002</v>
      </c>
      <c r="D60" s="13">
        <v>0</v>
      </c>
      <c r="E60" s="13">
        <f t="shared" si="5"/>
        <v>0.13376000000000016</v>
      </c>
      <c r="F60" s="13">
        <f t="shared" si="6"/>
        <v>16.853760000000019</v>
      </c>
      <c r="G60" s="13">
        <v>2.5</v>
      </c>
      <c r="H60" s="13">
        <f t="shared" si="11"/>
        <v>2.6337600000000001</v>
      </c>
      <c r="I60" s="13">
        <f t="shared" si="8"/>
        <v>14.220000000000018</v>
      </c>
    </row>
    <row r="61" spans="1:9" ht="15" x14ac:dyDescent="0.25">
      <c r="A61" s="695"/>
      <c r="B61" s="12">
        <v>46357</v>
      </c>
      <c r="C61" s="13">
        <f t="shared" si="9"/>
        <v>14.220000000000018</v>
      </c>
      <c r="D61" s="13">
        <v>0</v>
      </c>
      <c r="E61" s="13">
        <f t="shared" si="5"/>
        <v>0.11376000000000015</v>
      </c>
      <c r="F61" s="13">
        <f t="shared" si="6"/>
        <v>14.333760000000019</v>
      </c>
      <c r="G61" s="13">
        <v>2.5</v>
      </c>
      <c r="H61" s="13">
        <f t="shared" si="11"/>
        <v>2.6137600000000001</v>
      </c>
      <c r="I61" s="13">
        <f t="shared" si="8"/>
        <v>11.72000000000002</v>
      </c>
    </row>
    <row r="62" spans="1:9" ht="15" x14ac:dyDescent="0.25">
      <c r="A62" s="695"/>
      <c r="B62" s="12">
        <v>46388</v>
      </c>
      <c r="C62" s="13">
        <f t="shared" si="9"/>
        <v>11.72000000000002</v>
      </c>
      <c r="D62" s="13">
        <v>0</v>
      </c>
      <c r="E62" s="13">
        <f t="shared" si="5"/>
        <v>9.3760000000000163E-2</v>
      </c>
      <c r="F62" s="13">
        <f t="shared" si="6"/>
        <v>11.81376000000002</v>
      </c>
      <c r="G62" s="13">
        <v>2.5</v>
      </c>
      <c r="H62" s="13">
        <f t="shared" si="11"/>
        <v>2.5937600000000001</v>
      </c>
      <c r="I62" s="13">
        <f t="shared" si="8"/>
        <v>9.2200000000000202</v>
      </c>
    </row>
    <row r="63" spans="1:9" ht="15" x14ac:dyDescent="0.25">
      <c r="A63" s="695"/>
      <c r="B63" s="12">
        <v>46419</v>
      </c>
      <c r="C63" s="13">
        <f t="shared" si="9"/>
        <v>9.2200000000000202</v>
      </c>
      <c r="D63" s="13">
        <v>0</v>
      </c>
      <c r="E63" s="13">
        <f t="shared" si="5"/>
        <v>7.3760000000000159E-2</v>
      </c>
      <c r="F63" s="13">
        <f t="shared" si="6"/>
        <v>9.2937600000000202</v>
      </c>
      <c r="G63" s="13">
        <v>2.5</v>
      </c>
      <c r="H63" s="13">
        <f t="shared" si="11"/>
        <v>2.57376</v>
      </c>
      <c r="I63" s="13">
        <f t="shared" si="8"/>
        <v>6.7200000000000202</v>
      </c>
    </row>
    <row r="64" spans="1:9" ht="15" x14ac:dyDescent="0.25">
      <c r="A64" s="696"/>
      <c r="B64" s="12">
        <v>46447</v>
      </c>
      <c r="C64" s="13">
        <f t="shared" si="9"/>
        <v>6.7200000000000202</v>
      </c>
      <c r="D64" s="13">
        <v>0</v>
      </c>
      <c r="E64" s="13">
        <f t="shared" si="5"/>
        <v>5.3760000000000162E-2</v>
      </c>
      <c r="F64" s="13">
        <f t="shared" si="6"/>
        <v>6.7737600000000207</v>
      </c>
      <c r="G64" s="13">
        <v>2.5</v>
      </c>
      <c r="H64" s="13">
        <f t="shared" si="11"/>
        <v>2.55376</v>
      </c>
      <c r="I64" s="13">
        <f t="shared" si="8"/>
        <v>4.2200000000000202</v>
      </c>
    </row>
    <row r="65" spans="1:9" ht="15.75" thickBot="1" x14ac:dyDescent="0.3">
      <c r="A65" s="9"/>
      <c r="B65" s="14"/>
      <c r="C65" s="15"/>
      <c r="D65" s="15">
        <f t="shared" ref="D65:E65" si="12">SUM(D53:D64)</f>
        <v>0</v>
      </c>
      <c r="E65" s="15">
        <f t="shared" si="12"/>
        <v>1.9651200000000018</v>
      </c>
      <c r="F65" s="15"/>
      <c r="G65" s="15">
        <f>SUM(G53:G64)</f>
        <v>30</v>
      </c>
      <c r="H65" s="15">
        <f>SUM(H53:H64)</f>
        <v>31.965120000000002</v>
      </c>
      <c r="I65" s="15"/>
    </row>
    <row r="66" spans="1:9" ht="15.75" thickTop="1" x14ac:dyDescent="0.25">
      <c r="A66" s="694" t="s">
        <v>53</v>
      </c>
      <c r="B66" s="12">
        <v>46478</v>
      </c>
      <c r="C66" s="13">
        <f>I64</f>
        <v>4.2200000000000202</v>
      </c>
      <c r="D66" s="13">
        <v>0</v>
      </c>
      <c r="E66" s="13">
        <f t="shared" si="5"/>
        <v>3.3760000000000158E-2</v>
      </c>
      <c r="F66" s="13">
        <f t="shared" si="6"/>
        <v>4.2537600000000202</v>
      </c>
      <c r="G66" s="13">
        <v>2.5</v>
      </c>
      <c r="H66" s="13">
        <f t="shared" ref="H66:H77" si="13">E66+G66</f>
        <v>2.53376</v>
      </c>
      <c r="I66" s="13">
        <f t="shared" si="8"/>
        <v>1.7200000000000202</v>
      </c>
    </row>
    <row r="67" spans="1:9" ht="15" x14ac:dyDescent="0.25">
      <c r="A67" s="695"/>
      <c r="B67" s="12">
        <v>46508</v>
      </c>
      <c r="C67" s="13">
        <f t="shared" si="9"/>
        <v>1.7200000000000202</v>
      </c>
      <c r="D67" s="13">
        <v>0</v>
      </c>
      <c r="E67" s="13">
        <f t="shared" si="5"/>
        <v>1.3760000000000161E-2</v>
      </c>
      <c r="F67" s="13">
        <f t="shared" si="6"/>
        <v>1.7337600000000204</v>
      </c>
      <c r="G67" s="13">
        <v>1.72</v>
      </c>
      <c r="H67" s="13">
        <f t="shared" si="13"/>
        <v>1.7337600000000002</v>
      </c>
      <c r="I67" s="13">
        <f t="shared" si="8"/>
        <v>2.0206059048177849E-14</v>
      </c>
    </row>
    <row r="68" spans="1:9" ht="15" x14ac:dyDescent="0.25">
      <c r="A68" s="695"/>
      <c r="B68" s="12">
        <v>46539</v>
      </c>
      <c r="C68" s="13">
        <f t="shared" si="9"/>
        <v>2.0206059048177849E-14</v>
      </c>
      <c r="D68" s="13">
        <v>0</v>
      </c>
      <c r="E68" s="13">
        <f t="shared" si="5"/>
        <v>1.6164847238542281E-16</v>
      </c>
      <c r="F68" s="13">
        <f t="shared" si="6"/>
        <v>2.0367707520563271E-14</v>
      </c>
      <c r="G68" s="13">
        <v>0</v>
      </c>
      <c r="H68" s="13">
        <f t="shared" si="13"/>
        <v>1.6164847238542281E-16</v>
      </c>
      <c r="I68" s="13">
        <f t="shared" si="8"/>
        <v>2.0206059048177849E-14</v>
      </c>
    </row>
    <row r="69" spans="1:9" ht="15" x14ac:dyDescent="0.25">
      <c r="A69" s="695"/>
      <c r="B69" s="12">
        <v>46569</v>
      </c>
      <c r="C69" s="13">
        <f t="shared" si="9"/>
        <v>2.0206059048177849E-14</v>
      </c>
      <c r="D69" s="13">
        <v>0</v>
      </c>
      <c r="E69" s="13">
        <f t="shared" si="5"/>
        <v>1.6164847238542281E-16</v>
      </c>
      <c r="F69" s="13">
        <f t="shared" si="6"/>
        <v>2.0367707520563271E-14</v>
      </c>
      <c r="G69" s="13">
        <v>0</v>
      </c>
      <c r="H69" s="13">
        <f t="shared" si="13"/>
        <v>1.6164847238542281E-16</v>
      </c>
      <c r="I69" s="13">
        <f t="shared" si="8"/>
        <v>2.0206059048177849E-14</v>
      </c>
    </row>
    <row r="70" spans="1:9" ht="15" x14ac:dyDescent="0.25">
      <c r="A70" s="695"/>
      <c r="B70" s="12">
        <v>46600</v>
      </c>
      <c r="C70" s="13">
        <f t="shared" si="9"/>
        <v>2.0206059048177849E-14</v>
      </c>
      <c r="D70" s="13">
        <v>0</v>
      </c>
      <c r="E70" s="13">
        <f t="shared" si="5"/>
        <v>1.6164847238542281E-16</v>
      </c>
      <c r="F70" s="13">
        <f t="shared" si="6"/>
        <v>2.0367707520563271E-14</v>
      </c>
      <c r="G70" s="13">
        <v>0</v>
      </c>
      <c r="H70" s="13">
        <f t="shared" si="13"/>
        <v>1.6164847238542281E-16</v>
      </c>
      <c r="I70" s="13">
        <f t="shared" si="8"/>
        <v>2.0206059048177849E-14</v>
      </c>
    </row>
    <row r="71" spans="1:9" ht="15" x14ac:dyDescent="0.25">
      <c r="A71" s="695"/>
      <c r="B71" s="12">
        <v>46631</v>
      </c>
      <c r="C71" s="13">
        <f t="shared" si="9"/>
        <v>2.0206059048177849E-14</v>
      </c>
      <c r="D71" s="13">
        <v>0</v>
      </c>
      <c r="E71" s="13">
        <f t="shared" si="5"/>
        <v>1.6164847238542281E-16</v>
      </c>
      <c r="F71" s="13">
        <f t="shared" si="6"/>
        <v>2.0367707520563271E-14</v>
      </c>
      <c r="G71" s="13">
        <v>0</v>
      </c>
      <c r="H71" s="13">
        <f t="shared" si="13"/>
        <v>1.6164847238542281E-16</v>
      </c>
      <c r="I71" s="13">
        <f t="shared" si="8"/>
        <v>2.0206059048177849E-14</v>
      </c>
    </row>
    <row r="72" spans="1:9" ht="15" x14ac:dyDescent="0.25">
      <c r="A72" s="695"/>
      <c r="B72" s="12">
        <v>46661</v>
      </c>
      <c r="C72" s="13">
        <f t="shared" si="9"/>
        <v>2.0206059048177849E-14</v>
      </c>
      <c r="D72" s="13">
        <v>0</v>
      </c>
      <c r="E72" s="13">
        <f t="shared" si="5"/>
        <v>1.6164847238542281E-16</v>
      </c>
      <c r="F72" s="13">
        <f t="shared" si="6"/>
        <v>2.0367707520563271E-14</v>
      </c>
      <c r="G72" s="13">
        <v>0</v>
      </c>
      <c r="H72" s="13">
        <f t="shared" si="13"/>
        <v>1.6164847238542281E-16</v>
      </c>
      <c r="I72" s="13">
        <f t="shared" si="8"/>
        <v>2.0206059048177849E-14</v>
      </c>
    </row>
    <row r="73" spans="1:9" ht="15" x14ac:dyDescent="0.25">
      <c r="A73" s="695"/>
      <c r="B73" s="12">
        <v>46692</v>
      </c>
      <c r="C73" s="13">
        <f t="shared" si="9"/>
        <v>2.0206059048177849E-14</v>
      </c>
      <c r="D73" s="13">
        <v>0</v>
      </c>
      <c r="E73" s="13">
        <f t="shared" si="5"/>
        <v>1.6164847238542281E-16</v>
      </c>
      <c r="F73" s="13">
        <f t="shared" si="6"/>
        <v>2.0367707520563271E-14</v>
      </c>
      <c r="G73" s="13">
        <v>0</v>
      </c>
      <c r="H73" s="13">
        <f t="shared" si="13"/>
        <v>1.6164847238542281E-16</v>
      </c>
      <c r="I73" s="13">
        <f t="shared" si="8"/>
        <v>2.0206059048177849E-14</v>
      </c>
    </row>
    <row r="74" spans="1:9" ht="15" x14ac:dyDescent="0.25">
      <c r="A74" s="695"/>
      <c r="B74" s="12">
        <v>46722</v>
      </c>
      <c r="C74" s="13">
        <f t="shared" si="9"/>
        <v>2.0206059048177849E-14</v>
      </c>
      <c r="D74" s="13">
        <v>0</v>
      </c>
      <c r="E74" s="13">
        <f t="shared" si="5"/>
        <v>1.6164847238542281E-16</v>
      </c>
      <c r="F74" s="13">
        <f t="shared" si="6"/>
        <v>2.0367707520563271E-14</v>
      </c>
      <c r="G74" s="13">
        <v>0</v>
      </c>
      <c r="H74" s="13">
        <f t="shared" si="13"/>
        <v>1.6164847238542281E-16</v>
      </c>
      <c r="I74" s="13">
        <f t="shared" si="8"/>
        <v>2.0206059048177849E-14</v>
      </c>
    </row>
    <row r="75" spans="1:9" ht="15" x14ac:dyDescent="0.25">
      <c r="A75" s="695"/>
      <c r="B75" s="12">
        <v>46753</v>
      </c>
      <c r="C75" s="13">
        <f t="shared" si="9"/>
        <v>2.0206059048177849E-14</v>
      </c>
      <c r="D75" s="13">
        <v>0</v>
      </c>
      <c r="E75" s="13">
        <f t="shared" si="5"/>
        <v>1.6164847238542281E-16</v>
      </c>
      <c r="F75" s="13">
        <f t="shared" si="6"/>
        <v>2.0367707520563271E-14</v>
      </c>
      <c r="G75" s="13">
        <v>0</v>
      </c>
      <c r="H75" s="13">
        <f t="shared" si="13"/>
        <v>1.6164847238542281E-16</v>
      </c>
      <c r="I75" s="13">
        <f t="shared" si="8"/>
        <v>2.0206059048177849E-14</v>
      </c>
    </row>
    <row r="76" spans="1:9" ht="15" x14ac:dyDescent="0.25">
      <c r="A76" s="695"/>
      <c r="B76" s="12">
        <v>46784</v>
      </c>
      <c r="C76" s="13">
        <f t="shared" si="9"/>
        <v>2.0206059048177849E-14</v>
      </c>
      <c r="D76" s="13">
        <v>0</v>
      </c>
      <c r="E76" s="13">
        <f t="shared" si="5"/>
        <v>1.6164847238542281E-16</v>
      </c>
      <c r="F76" s="13">
        <f t="shared" si="6"/>
        <v>2.0367707520563271E-14</v>
      </c>
      <c r="G76" s="13">
        <v>0</v>
      </c>
      <c r="H76" s="13">
        <f t="shared" si="13"/>
        <v>1.6164847238542281E-16</v>
      </c>
      <c r="I76" s="13">
        <f t="shared" si="8"/>
        <v>2.0206059048177849E-14</v>
      </c>
    </row>
    <row r="77" spans="1:9" ht="15" x14ac:dyDescent="0.25">
      <c r="A77" s="696"/>
      <c r="B77" s="12">
        <v>46813</v>
      </c>
      <c r="C77" s="13">
        <f t="shared" si="9"/>
        <v>2.0206059048177849E-14</v>
      </c>
      <c r="D77" s="13">
        <v>0</v>
      </c>
      <c r="E77" s="13">
        <f t="shared" si="5"/>
        <v>1.6164847238542281E-16</v>
      </c>
      <c r="F77" s="13">
        <f t="shared" si="6"/>
        <v>2.0367707520563271E-14</v>
      </c>
      <c r="G77" s="13">
        <v>0</v>
      </c>
      <c r="H77" s="13">
        <f t="shared" si="13"/>
        <v>1.6164847238542281E-16</v>
      </c>
      <c r="I77" s="13">
        <f t="shared" si="8"/>
        <v>2.0206059048177849E-14</v>
      </c>
    </row>
    <row r="78" spans="1:9" ht="15.75" thickBot="1" x14ac:dyDescent="0.3">
      <c r="A78" s="9"/>
      <c r="B78" s="16"/>
      <c r="C78" s="17"/>
      <c r="D78" s="15">
        <f t="shared" ref="D78:E78" si="14">SUM(D66:D77)</f>
        <v>0</v>
      </c>
      <c r="E78" s="15">
        <f t="shared" si="14"/>
        <v>4.7520000000001915E-2</v>
      </c>
      <c r="F78" s="17"/>
      <c r="G78" s="15">
        <f>SUM(G66:G77)</f>
        <v>4.22</v>
      </c>
      <c r="H78" s="15">
        <f t="shared" ref="H78" si="15">SUM(H66:H77)</f>
        <v>4.2675200000000002</v>
      </c>
      <c r="I78" s="17"/>
    </row>
    <row r="79" spans="1:9" ht="13.5" thickTop="1" x14ac:dyDescent="0.2"/>
    <row r="80" spans="1:9" ht="13.5" thickBot="1" x14ac:dyDescent="0.25">
      <c r="A80" s="693" t="s">
        <v>70</v>
      </c>
      <c r="B80" s="693"/>
      <c r="C80" s="693"/>
      <c r="D80" s="18" t="e">
        <f>#REF!+#REF!+#REF!+#REF!+#REF!+#REF!+#REF!+#REF!+#REF!+D78+D65+D52+D39+D26</f>
        <v>#REF!</v>
      </c>
      <c r="E80" s="18" t="e">
        <f>#REF!+#REF!+#REF!+#REF!+#REF!+#REF!+#REF!+#REF!+#REF!+E78+E65+E52+E39+E26</f>
        <v>#REF!</v>
      </c>
      <c r="F80" s="18" t="e">
        <f>#REF!+#REF!+#REF!+#REF!+#REF!+#REF!+#REF!+#REF!+#REF!+F78+F65+F52+F39+F26</f>
        <v>#REF!</v>
      </c>
      <c r="G80" s="18" t="e">
        <f>#REF!+#REF!+#REF!+#REF!+#REF!+#REF!+#REF!+#REF!+#REF!+G78+G65+G52+G39+G26</f>
        <v>#REF!</v>
      </c>
      <c r="H80" s="18" t="e">
        <f>#REF!+#REF!+#REF!+#REF!+#REF!+#REF!+#REF!+#REF!+#REF!+H78+H65+H52+H39+H26</f>
        <v>#REF!</v>
      </c>
      <c r="I80" s="18"/>
    </row>
    <row r="81" ht="13.5" thickTop="1" x14ac:dyDescent="0.2"/>
  </sheetData>
  <mergeCells count="14">
    <mergeCell ref="A9:D9"/>
    <mergeCell ref="A1:I1"/>
    <mergeCell ref="A2:I2"/>
    <mergeCell ref="A4:I4"/>
    <mergeCell ref="A6:D6"/>
    <mergeCell ref="A7:D7"/>
    <mergeCell ref="A66:A77"/>
    <mergeCell ref="A80:C80"/>
    <mergeCell ref="A10:D10"/>
    <mergeCell ref="A11:D11"/>
    <mergeCell ref="A14:A25"/>
    <mergeCell ref="A27:A38"/>
    <mergeCell ref="A40:A51"/>
    <mergeCell ref="A53:A6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A7" sqref="A7:D7"/>
    </sheetView>
  </sheetViews>
  <sheetFormatPr defaultRowHeight="12.75" x14ac:dyDescent="0.2"/>
  <sheetData>
    <row r="1" spans="1:9" ht="18.75" x14ac:dyDescent="0.3">
      <c r="A1" s="697" t="s">
        <v>58</v>
      </c>
      <c r="B1" s="697"/>
      <c r="C1" s="697"/>
      <c r="D1" s="697"/>
      <c r="E1" s="697"/>
      <c r="F1" s="697"/>
      <c r="G1" s="697"/>
      <c r="H1" s="697"/>
      <c r="I1" s="697"/>
    </row>
    <row r="2" spans="1:9" x14ac:dyDescent="0.2">
      <c r="A2" s="704" t="s">
        <v>87</v>
      </c>
      <c r="B2" s="704"/>
      <c r="C2" s="704"/>
      <c r="D2" s="704"/>
      <c r="E2" s="704"/>
      <c r="F2" s="704"/>
      <c r="G2" s="704"/>
      <c r="H2" s="704"/>
      <c r="I2" s="704"/>
    </row>
    <row r="3" spans="1:9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ht="15.75" x14ac:dyDescent="0.25">
      <c r="A4" s="698" t="s">
        <v>111</v>
      </c>
      <c r="B4" s="699"/>
      <c r="C4" s="699"/>
      <c r="D4" s="699"/>
      <c r="E4" s="699"/>
      <c r="F4" s="699"/>
      <c r="G4" s="699"/>
      <c r="H4" s="699"/>
      <c r="I4" s="699"/>
    </row>
    <row r="5" spans="1:9" ht="15" x14ac:dyDescent="0.25">
      <c r="A5" s="5"/>
      <c r="B5" s="6"/>
      <c r="C5" s="5"/>
      <c r="D5" s="5"/>
      <c r="E5" s="5"/>
      <c r="F5" s="5"/>
      <c r="G5" s="5"/>
      <c r="H5" s="5"/>
      <c r="I5" s="5"/>
    </row>
    <row r="6" spans="1:9" ht="15" x14ac:dyDescent="0.25">
      <c r="A6" s="700" t="s">
        <v>116</v>
      </c>
      <c r="B6" s="700"/>
      <c r="C6" s="700"/>
      <c r="D6" s="700"/>
      <c r="E6" s="5"/>
      <c r="F6" s="5"/>
      <c r="G6" s="5"/>
      <c r="H6" s="5"/>
      <c r="I6" s="5"/>
    </row>
    <row r="7" spans="1:9" ht="15" x14ac:dyDescent="0.25">
      <c r="A7" s="700" t="s">
        <v>60</v>
      </c>
      <c r="B7" s="701"/>
      <c r="C7" s="701"/>
      <c r="D7" s="701"/>
      <c r="E7" s="5"/>
      <c r="F7" s="5"/>
      <c r="G7" s="5"/>
      <c r="H7" s="5"/>
      <c r="I7" s="5"/>
    </row>
    <row r="8" spans="1:9" ht="15" x14ac:dyDescent="0.25">
      <c r="A8" s="7" t="s">
        <v>113</v>
      </c>
      <c r="B8" s="8"/>
      <c r="C8" s="8"/>
      <c r="D8" s="8"/>
      <c r="E8" s="5"/>
      <c r="F8" s="5"/>
      <c r="G8" s="5"/>
      <c r="H8" s="5"/>
      <c r="I8" s="5"/>
    </row>
    <row r="9" spans="1:9" ht="15" x14ac:dyDescent="0.25">
      <c r="A9" s="700" t="s">
        <v>114</v>
      </c>
      <c r="B9" s="701"/>
      <c r="C9" s="701"/>
      <c r="D9" s="701"/>
      <c r="E9" s="5"/>
      <c r="F9" s="5"/>
      <c r="G9" s="5"/>
      <c r="H9" s="5"/>
      <c r="I9" s="5"/>
    </row>
    <row r="10" spans="1:9" ht="15" x14ac:dyDescent="0.25">
      <c r="A10" s="700" t="s">
        <v>67</v>
      </c>
      <c r="B10" s="701"/>
      <c r="C10" s="701"/>
      <c r="D10" s="701"/>
      <c r="E10" s="5"/>
      <c r="F10" s="5"/>
      <c r="G10" s="5"/>
      <c r="H10" s="5"/>
      <c r="I10" s="5"/>
    </row>
    <row r="11" spans="1:9" ht="15" x14ac:dyDescent="0.25">
      <c r="A11" s="700" t="s">
        <v>61</v>
      </c>
      <c r="B11" s="701"/>
      <c r="C11" s="701"/>
      <c r="D11" s="701"/>
      <c r="E11" s="5"/>
      <c r="F11" s="5"/>
      <c r="G11" s="5"/>
      <c r="H11" s="5"/>
      <c r="I11" s="5"/>
    </row>
    <row r="12" spans="1:9" ht="15" x14ac:dyDescent="0.25">
      <c r="A12" s="5"/>
      <c r="B12" s="6"/>
      <c r="C12" s="5"/>
      <c r="D12" s="5"/>
      <c r="E12" s="5"/>
      <c r="F12" s="5"/>
      <c r="G12" s="5"/>
      <c r="H12" s="5"/>
      <c r="I12" s="5"/>
    </row>
    <row r="13" spans="1:9" ht="30" thickBot="1" x14ac:dyDescent="0.3">
      <c r="A13" s="20" t="s">
        <v>4</v>
      </c>
      <c r="B13" s="19" t="s">
        <v>47</v>
      </c>
      <c r="C13" s="19" t="s">
        <v>27</v>
      </c>
      <c r="D13" s="19" t="s">
        <v>48</v>
      </c>
      <c r="E13" s="19" t="s">
        <v>41</v>
      </c>
      <c r="F13" s="19" t="s">
        <v>5</v>
      </c>
      <c r="G13" s="19" t="s">
        <v>43</v>
      </c>
      <c r="H13" s="19" t="s">
        <v>42</v>
      </c>
      <c r="I13" s="19" t="s">
        <v>28</v>
      </c>
    </row>
    <row r="14" spans="1:9" ht="15.75" thickTop="1" x14ac:dyDescent="0.25">
      <c r="A14" s="694" t="s">
        <v>49</v>
      </c>
      <c r="B14" s="12">
        <v>45017</v>
      </c>
      <c r="C14" s="13">
        <v>71.87</v>
      </c>
      <c r="D14" s="13">
        <v>0</v>
      </c>
      <c r="E14" s="13">
        <f>C14*8.5%/12</f>
        <v>0.50907916666666675</v>
      </c>
      <c r="F14" s="13">
        <f>C14+D14+E14</f>
        <v>72.379079166666671</v>
      </c>
      <c r="G14" s="13">
        <v>2</v>
      </c>
      <c r="H14" s="13">
        <f>E14+G14</f>
        <v>2.509079166666667</v>
      </c>
      <c r="I14" s="13">
        <f>F14-H14</f>
        <v>69.87</v>
      </c>
    </row>
    <row r="15" spans="1:9" ht="15" x14ac:dyDescent="0.25">
      <c r="A15" s="695"/>
      <c r="B15" s="12">
        <v>45047</v>
      </c>
      <c r="C15" s="13">
        <f>I14</f>
        <v>69.87</v>
      </c>
      <c r="D15" s="13">
        <v>0</v>
      </c>
      <c r="E15" s="13">
        <f t="shared" ref="E15:E51" si="0">C15*8.5%/12</f>
        <v>0.49491250000000009</v>
      </c>
      <c r="F15" s="13">
        <f t="shared" ref="F15:F25" si="1">C15+D15+E15</f>
        <v>70.364912500000003</v>
      </c>
      <c r="G15" s="13">
        <v>2</v>
      </c>
      <c r="H15" s="13">
        <f t="shared" ref="H15:H25" si="2">E15+G15</f>
        <v>2.4949124999999999</v>
      </c>
      <c r="I15" s="13">
        <f t="shared" ref="I15:I25" si="3">F15-H15</f>
        <v>67.87</v>
      </c>
    </row>
    <row r="16" spans="1:9" ht="15" x14ac:dyDescent="0.25">
      <c r="A16" s="695"/>
      <c r="B16" s="12">
        <v>45078</v>
      </c>
      <c r="C16" s="13">
        <f t="shared" ref="C16:C25" si="4">I15</f>
        <v>67.87</v>
      </c>
      <c r="D16" s="13">
        <v>0</v>
      </c>
      <c r="E16" s="13">
        <f t="shared" si="0"/>
        <v>0.48074583333333343</v>
      </c>
      <c r="F16" s="13">
        <f t="shared" si="1"/>
        <v>68.350745833333335</v>
      </c>
      <c r="G16" s="13">
        <v>2</v>
      </c>
      <c r="H16" s="13">
        <f t="shared" si="2"/>
        <v>2.4807458333333336</v>
      </c>
      <c r="I16" s="13">
        <f t="shared" si="3"/>
        <v>65.87</v>
      </c>
    </row>
    <row r="17" spans="1:9" ht="15" x14ac:dyDescent="0.25">
      <c r="A17" s="695"/>
      <c r="B17" s="12">
        <v>45108</v>
      </c>
      <c r="C17" s="13">
        <f t="shared" si="4"/>
        <v>65.87</v>
      </c>
      <c r="D17" s="13">
        <v>0</v>
      </c>
      <c r="E17" s="13">
        <f t="shared" si="0"/>
        <v>0.46657916666666677</v>
      </c>
      <c r="F17" s="13">
        <f t="shared" si="1"/>
        <v>66.336579166666667</v>
      </c>
      <c r="G17" s="13">
        <v>2</v>
      </c>
      <c r="H17" s="13">
        <f t="shared" si="2"/>
        <v>2.4665791666666665</v>
      </c>
      <c r="I17" s="13">
        <f t="shared" si="3"/>
        <v>63.87</v>
      </c>
    </row>
    <row r="18" spans="1:9" ht="15" x14ac:dyDescent="0.25">
      <c r="A18" s="695"/>
      <c r="B18" s="12">
        <v>45139</v>
      </c>
      <c r="C18" s="13">
        <f t="shared" si="4"/>
        <v>63.87</v>
      </c>
      <c r="D18" s="13">
        <v>0</v>
      </c>
      <c r="E18" s="13">
        <f t="shared" si="0"/>
        <v>0.45241250000000005</v>
      </c>
      <c r="F18" s="13">
        <f t="shared" si="1"/>
        <v>64.322412499999999</v>
      </c>
      <c r="G18" s="13">
        <v>2</v>
      </c>
      <c r="H18" s="13">
        <f t="shared" si="2"/>
        <v>2.4524124999999999</v>
      </c>
      <c r="I18" s="13">
        <f t="shared" si="3"/>
        <v>61.87</v>
      </c>
    </row>
    <row r="19" spans="1:9" ht="15" x14ac:dyDescent="0.25">
      <c r="A19" s="695"/>
      <c r="B19" s="12">
        <v>45170</v>
      </c>
      <c r="C19" s="13">
        <f t="shared" si="4"/>
        <v>61.87</v>
      </c>
      <c r="D19" s="13">
        <v>0</v>
      </c>
      <c r="E19" s="13">
        <f t="shared" si="0"/>
        <v>0.43824583333333339</v>
      </c>
      <c r="F19" s="13">
        <f t="shared" si="1"/>
        <v>62.308245833333331</v>
      </c>
      <c r="G19" s="13">
        <v>2</v>
      </c>
      <c r="H19" s="13">
        <f t="shared" si="2"/>
        <v>2.4382458333333332</v>
      </c>
      <c r="I19" s="13">
        <f t="shared" si="3"/>
        <v>59.87</v>
      </c>
    </row>
    <row r="20" spans="1:9" ht="15" x14ac:dyDescent="0.25">
      <c r="A20" s="695"/>
      <c r="B20" s="12">
        <v>45200</v>
      </c>
      <c r="C20" s="13">
        <f t="shared" si="4"/>
        <v>59.87</v>
      </c>
      <c r="D20" s="13">
        <v>0</v>
      </c>
      <c r="E20" s="13">
        <f t="shared" si="0"/>
        <v>0.42407916666666673</v>
      </c>
      <c r="F20" s="13">
        <f t="shared" si="1"/>
        <v>60.294079166666663</v>
      </c>
      <c r="G20" s="13">
        <v>2</v>
      </c>
      <c r="H20" s="13">
        <f t="shared" si="2"/>
        <v>2.4240791666666666</v>
      </c>
      <c r="I20" s="13">
        <f t="shared" si="3"/>
        <v>57.87</v>
      </c>
    </row>
    <row r="21" spans="1:9" ht="15" x14ac:dyDescent="0.25">
      <c r="A21" s="695"/>
      <c r="B21" s="12">
        <v>45231</v>
      </c>
      <c r="C21" s="13">
        <f t="shared" si="4"/>
        <v>57.87</v>
      </c>
      <c r="D21" s="13">
        <v>0</v>
      </c>
      <c r="E21" s="13">
        <f t="shared" si="0"/>
        <v>0.40991249999999996</v>
      </c>
      <c r="F21" s="13">
        <f t="shared" si="1"/>
        <v>58.279912499999995</v>
      </c>
      <c r="G21" s="13">
        <v>2</v>
      </c>
      <c r="H21" s="13">
        <f t="shared" si="2"/>
        <v>2.4099124999999999</v>
      </c>
      <c r="I21" s="13">
        <f t="shared" si="3"/>
        <v>55.87</v>
      </c>
    </row>
    <row r="22" spans="1:9" ht="15" x14ac:dyDescent="0.25">
      <c r="A22" s="695"/>
      <c r="B22" s="12">
        <v>45261</v>
      </c>
      <c r="C22" s="13">
        <f t="shared" si="4"/>
        <v>55.87</v>
      </c>
      <c r="D22" s="13">
        <v>0</v>
      </c>
      <c r="E22" s="13">
        <f t="shared" si="0"/>
        <v>0.3957458333333333</v>
      </c>
      <c r="F22" s="13">
        <f t="shared" si="1"/>
        <v>56.265745833333334</v>
      </c>
      <c r="G22" s="13">
        <v>2</v>
      </c>
      <c r="H22" s="13">
        <f t="shared" si="2"/>
        <v>2.3957458333333332</v>
      </c>
      <c r="I22" s="13">
        <f t="shared" si="3"/>
        <v>53.87</v>
      </c>
    </row>
    <row r="23" spans="1:9" ht="15" x14ac:dyDescent="0.25">
      <c r="A23" s="695"/>
      <c r="B23" s="12">
        <v>45292</v>
      </c>
      <c r="C23" s="13">
        <f t="shared" si="4"/>
        <v>53.87</v>
      </c>
      <c r="D23" s="13">
        <v>0</v>
      </c>
      <c r="E23" s="13">
        <f t="shared" si="0"/>
        <v>0.38157916666666664</v>
      </c>
      <c r="F23" s="13">
        <f t="shared" si="1"/>
        <v>54.251579166666666</v>
      </c>
      <c r="G23" s="13">
        <v>2</v>
      </c>
      <c r="H23" s="13">
        <f t="shared" si="2"/>
        <v>2.3815791666666666</v>
      </c>
      <c r="I23" s="13">
        <f t="shared" si="3"/>
        <v>51.87</v>
      </c>
    </row>
    <row r="24" spans="1:9" ht="15" x14ac:dyDescent="0.25">
      <c r="A24" s="695"/>
      <c r="B24" s="12">
        <v>45323</v>
      </c>
      <c r="C24" s="13">
        <f t="shared" si="4"/>
        <v>51.87</v>
      </c>
      <c r="D24" s="13">
        <v>0</v>
      </c>
      <c r="E24" s="13">
        <f t="shared" si="0"/>
        <v>0.36741249999999998</v>
      </c>
      <c r="F24" s="13">
        <f t="shared" si="1"/>
        <v>52.237412499999998</v>
      </c>
      <c r="G24" s="13">
        <v>2</v>
      </c>
      <c r="H24" s="13">
        <f t="shared" si="2"/>
        <v>2.3674124999999999</v>
      </c>
      <c r="I24" s="13">
        <f t="shared" si="3"/>
        <v>49.87</v>
      </c>
    </row>
    <row r="25" spans="1:9" ht="15" x14ac:dyDescent="0.25">
      <c r="A25" s="696"/>
      <c r="B25" s="12">
        <v>45352</v>
      </c>
      <c r="C25" s="13">
        <f t="shared" si="4"/>
        <v>49.87</v>
      </c>
      <c r="D25" s="13">
        <v>0</v>
      </c>
      <c r="E25" s="13">
        <f t="shared" si="0"/>
        <v>0.35324583333333331</v>
      </c>
      <c r="F25" s="13">
        <f t="shared" si="1"/>
        <v>50.22324583333333</v>
      </c>
      <c r="G25" s="13">
        <v>2</v>
      </c>
      <c r="H25" s="13">
        <f t="shared" si="2"/>
        <v>2.3532458333333333</v>
      </c>
      <c r="I25" s="13">
        <f t="shared" si="3"/>
        <v>47.87</v>
      </c>
    </row>
    <row r="26" spans="1:9" ht="15.75" thickBot="1" x14ac:dyDescent="0.3">
      <c r="A26" s="9"/>
      <c r="B26" s="14"/>
      <c r="C26" s="15"/>
      <c r="D26" s="15">
        <f>SUM(D16:D25)</f>
        <v>0</v>
      </c>
      <c r="E26" s="15">
        <f>SUM(E16:E25)</f>
        <v>4.1699583333333337</v>
      </c>
      <c r="F26" s="15"/>
      <c r="G26" s="15">
        <f>SUM(G14:G25)</f>
        <v>24</v>
      </c>
      <c r="H26" s="15">
        <f>SUM(H16:H25)</f>
        <v>24.169958333333334</v>
      </c>
      <c r="I26" s="15"/>
    </row>
    <row r="27" spans="1:9" ht="15.75" thickTop="1" x14ac:dyDescent="0.25">
      <c r="A27" s="694" t="s">
        <v>50</v>
      </c>
      <c r="B27" s="12">
        <v>45383</v>
      </c>
      <c r="C27" s="13">
        <f>I25</f>
        <v>47.87</v>
      </c>
      <c r="D27" s="13">
        <v>0</v>
      </c>
      <c r="E27" s="13">
        <f t="shared" si="0"/>
        <v>0.33907916666666665</v>
      </c>
      <c r="F27" s="13">
        <f t="shared" ref="F27:F51" si="5">C27+D27+E27</f>
        <v>48.209079166666662</v>
      </c>
      <c r="G27" s="13">
        <v>2</v>
      </c>
      <c r="H27" s="13">
        <f t="shared" ref="H27:H38" si="6">E27+G27</f>
        <v>2.3390791666666666</v>
      </c>
      <c r="I27" s="13">
        <f t="shared" ref="I27:I51" si="7">F27-H27</f>
        <v>45.87</v>
      </c>
    </row>
    <row r="28" spans="1:9" ht="15" x14ac:dyDescent="0.25">
      <c r="A28" s="695"/>
      <c r="B28" s="12">
        <v>45413</v>
      </c>
      <c r="C28" s="13">
        <f t="shared" ref="C28:C51" si="8">I27</f>
        <v>45.87</v>
      </c>
      <c r="D28" s="13">
        <v>0</v>
      </c>
      <c r="E28" s="13">
        <f t="shared" si="0"/>
        <v>0.32491249999999999</v>
      </c>
      <c r="F28" s="13">
        <f t="shared" si="5"/>
        <v>46.194912500000001</v>
      </c>
      <c r="G28" s="13">
        <v>2</v>
      </c>
      <c r="H28" s="13">
        <f t="shared" si="6"/>
        <v>2.3249124999999999</v>
      </c>
      <c r="I28" s="13">
        <f t="shared" si="7"/>
        <v>43.870000000000005</v>
      </c>
    </row>
    <row r="29" spans="1:9" ht="15" x14ac:dyDescent="0.25">
      <c r="A29" s="695"/>
      <c r="B29" s="12">
        <v>45444</v>
      </c>
      <c r="C29" s="13">
        <f t="shared" si="8"/>
        <v>43.870000000000005</v>
      </c>
      <c r="D29" s="13">
        <v>0</v>
      </c>
      <c r="E29" s="13">
        <f t="shared" si="0"/>
        <v>0.31074583333333339</v>
      </c>
      <c r="F29" s="13">
        <f t="shared" si="5"/>
        <v>44.18074583333334</v>
      </c>
      <c r="G29" s="13">
        <v>2</v>
      </c>
      <c r="H29" s="13">
        <f t="shared" si="6"/>
        <v>2.3107458333333333</v>
      </c>
      <c r="I29" s="13">
        <f t="shared" si="7"/>
        <v>41.870000000000005</v>
      </c>
    </row>
    <row r="30" spans="1:9" ht="15" x14ac:dyDescent="0.25">
      <c r="A30" s="695"/>
      <c r="B30" s="12">
        <v>45474</v>
      </c>
      <c r="C30" s="13">
        <f t="shared" si="8"/>
        <v>41.870000000000005</v>
      </c>
      <c r="D30" s="13">
        <v>0</v>
      </c>
      <c r="E30" s="13">
        <f t="shared" si="0"/>
        <v>0.29657916666666673</v>
      </c>
      <c r="F30" s="13">
        <f t="shared" si="5"/>
        <v>42.166579166666672</v>
      </c>
      <c r="G30" s="13">
        <v>2</v>
      </c>
      <c r="H30" s="13">
        <f t="shared" si="6"/>
        <v>2.2965791666666666</v>
      </c>
      <c r="I30" s="13">
        <f t="shared" si="7"/>
        <v>39.870000000000005</v>
      </c>
    </row>
    <row r="31" spans="1:9" ht="15" x14ac:dyDescent="0.25">
      <c r="A31" s="695"/>
      <c r="B31" s="12">
        <v>45505</v>
      </c>
      <c r="C31" s="13">
        <f t="shared" si="8"/>
        <v>39.870000000000005</v>
      </c>
      <c r="D31" s="13">
        <v>0</v>
      </c>
      <c r="E31" s="13">
        <f t="shared" si="0"/>
        <v>0.28241250000000007</v>
      </c>
      <c r="F31" s="13">
        <f t="shared" si="5"/>
        <v>40.152412500000004</v>
      </c>
      <c r="G31" s="13">
        <v>2</v>
      </c>
      <c r="H31" s="13">
        <f t="shared" si="6"/>
        <v>2.2824125</v>
      </c>
      <c r="I31" s="13">
        <f t="shared" si="7"/>
        <v>37.870000000000005</v>
      </c>
    </row>
    <row r="32" spans="1:9" ht="15" x14ac:dyDescent="0.25">
      <c r="A32" s="695"/>
      <c r="B32" s="12">
        <v>45536</v>
      </c>
      <c r="C32" s="13">
        <f t="shared" si="8"/>
        <v>37.870000000000005</v>
      </c>
      <c r="D32" s="13">
        <v>0</v>
      </c>
      <c r="E32" s="13">
        <f t="shared" si="0"/>
        <v>0.26824583333333335</v>
      </c>
      <c r="F32" s="13">
        <f t="shared" si="5"/>
        <v>38.138245833333336</v>
      </c>
      <c r="G32" s="13">
        <v>2</v>
      </c>
      <c r="H32" s="13">
        <f t="shared" si="6"/>
        <v>2.2682458333333333</v>
      </c>
      <c r="I32" s="13">
        <f t="shared" si="7"/>
        <v>35.870000000000005</v>
      </c>
    </row>
    <row r="33" spans="1:9" ht="15" x14ac:dyDescent="0.25">
      <c r="A33" s="695"/>
      <c r="B33" s="12">
        <v>45566</v>
      </c>
      <c r="C33" s="13">
        <f t="shared" si="8"/>
        <v>35.870000000000005</v>
      </c>
      <c r="D33" s="13">
        <v>0</v>
      </c>
      <c r="E33" s="13">
        <f t="shared" si="0"/>
        <v>0.25407916666666669</v>
      </c>
      <c r="F33" s="13">
        <f t="shared" si="5"/>
        <v>36.124079166666668</v>
      </c>
      <c r="G33" s="13">
        <v>2</v>
      </c>
      <c r="H33" s="13">
        <f t="shared" si="6"/>
        <v>2.2540791666666666</v>
      </c>
      <c r="I33" s="13">
        <f t="shared" si="7"/>
        <v>33.870000000000005</v>
      </c>
    </row>
    <row r="34" spans="1:9" ht="15" x14ac:dyDescent="0.25">
      <c r="A34" s="695"/>
      <c r="B34" s="12">
        <v>45597</v>
      </c>
      <c r="C34" s="13">
        <f t="shared" si="8"/>
        <v>33.870000000000005</v>
      </c>
      <c r="D34" s="13">
        <v>0</v>
      </c>
      <c r="E34" s="13">
        <f t="shared" si="0"/>
        <v>0.23991250000000006</v>
      </c>
      <c r="F34" s="13">
        <f t="shared" si="5"/>
        <v>34.109912500000007</v>
      </c>
      <c r="G34" s="13">
        <v>2</v>
      </c>
      <c r="H34" s="13">
        <f t="shared" si="6"/>
        <v>2.2399125</v>
      </c>
      <c r="I34" s="13">
        <f t="shared" si="7"/>
        <v>31.870000000000008</v>
      </c>
    </row>
    <row r="35" spans="1:9" ht="15" x14ac:dyDescent="0.25">
      <c r="A35" s="695"/>
      <c r="B35" s="12">
        <v>45627</v>
      </c>
      <c r="C35" s="13">
        <f t="shared" si="8"/>
        <v>31.870000000000008</v>
      </c>
      <c r="D35" s="13">
        <v>0</v>
      </c>
      <c r="E35" s="13">
        <f t="shared" si="0"/>
        <v>0.22574583333333342</v>
      </c>
      <c r="F35" s="13">
        <f t="shared" si="5"/>
        <v>32.095745833333339</v>
      </c>
      <c r="G35" s="13">
        <v>2</v>
      </c>
      <c r="H35" s="13">
        <f t="shared" si="6"/>
        <v>2.2257458333333333</v>
      </c>
      <c r="I35" s="13">
        <f t="shared" si="7"/>
        <v>29.870000000000005</v>
      </c>
    </row>
    <row r="36" spans="1:9" ht="15" x14ac:dyDescent="0.25">
      <c r="A36" s="695"/>
      <c r="B36" s="12">
        <v>45658</v>
      </c>
      <c r="C36" s="13">
        <f t="shared" si="8"/>
        <v>29.870000000000005</v>
      </c>
      <c r="D36" s="13">
        <v>0</v>
      </c>
      <c r="E36" s="13">
        <f t="shared" si="0"/>
        <v>0.21157916666666673</v>
      </c>
      <c r="F36" s="13">
        <f t="shared" si="5"/>
        <v>30.081579166666671</v>
      </c>
      <c r="G36" s="13">
        <v>2</v>
      </c>
      <c r="H36" s="13">
        <f t="shared" si="6"/>
        <v>2.2115791666666667</v>
      </c>
      <c r="I36" s="13">
        <f t="shared" si="7"/>
        <v>27.870000000000005</v>
      </c>
    </row>
    <row r="37" spans="1:9" ht="15" x14ac:dyDescent="0.25">
      <c r="A37" s="695"/>
      <c r="B37" s="12">
        <v>45689</v>
      </c>
      <c r="C37" s="13">
        <f t="shared" si="8"/>
        <v>27.870000000000005</v>
      </c>
      <c r="D37" s="13">
        <v>0</v>
      </c>
      <c r="E37" s="13">
        <f t="shared" si="0"/>
        <v>0.19741250000000007</v>
      </c>
      <c r="F37" s="13">
        <f t="shared" si="5"/>
        <v>28.067412500000003</v>
      </c>
      <c r="G37" s="13">
        <v>2</v>
      </c>
      <c r="H37" s="13">
        <f t="shared" si="6"/>
        <v>2.1974125</v>
      </c>
      <c r="I37" s="13">
        <f t="shared" si="7"/>
        <v>25.870000000000005</v>
      </c>
    </row>
    <row r="38" spans="1:9" ht="15" x14ac:dyDescent="0.25">
      <c r="A38" s="696"/>
      <c r="B38" s="12">
        <v>45717</v>
      </c>
      <c r="C38" s="13">
        <f t="shared" si="8"/>
        <v>25.870000000000005</v>
      </c>
      <c r="D38" s="13">
        <v>0</v>
      </c>
      <c r="E38" s="13">
        <f t="shared" si="0"/>
        <v>0.18324583333333336</v>
      </c>
      <c r="F38" s="13">
        <f t="shared" si="5"/>
        <v>26.053245833333339</v>
      </c>
      <c r="G38" s="13">
        <v>2</v>
      </c>
      <c r="H38" s="13">
        <f t="shared" si="6"/>
        <v>2.1832458333333333</v>
      </c>
      <c r="I38" s="13">
        <f t="shared" si="7"/>
        <v>23.870000000000005</v>
      </c>
    </row>
    <row r="39" spans="1:9" ht="15.75" thickBot="1" x14ac:dyDescent="0.3">
      <c r="A39" s="9"/>
      <c r="B39" s="14"/>
      <c r="C39" s="15"/>
      <c r="D39" s="15">
        <f>SUM(D27:D38)</f>
        <v>0</v>
      </c>
      <c r="E39" s="15">
        <f>SUM(E27:E38)</f>
        <v>3.13395</v>
      </c>
      <c r="F39" s="15"/>
      <c r="G39" s="15">
        <f>SUM(G27:G38)</f>
        <v>24</v>
      </c>
      <c r="H39" s="15">
        <f>SUM(H27:H38)</f>
        <v>27.133949999999999</v>
      </c>
      <c r="I39" s="15"/>
    </row>
    <row r="40" spans="1:9" ht="15.75" thickTop="1" x14ac:dyDescent="0.25">
      <c r="A40" s="694" t="s">
        <v>51</v>
      </c>
      <c r="B40" s="12">
        <v>45748</v>
      </c>
      <c r="C40" s="13">
        <f>I38</f>
        <v>23.870000000000005</v>
      </c>
      <c r="D40" s="13">
        <v>0</v>
      </c>
      <c r="E40" s="13">
        <f t="shared" si="0"/>
        <v>0.1690791666666667</v>
      </c>
      <c r="F40" s="13">
        <f t="shared" si="5"/>
        <v>24.039079166666671</v>
      </c>
      <c r="G40" s="13">
        <v>2</v>
      </c>
      <c r="H40" s="13">
        <f t="shared" ref="H40:H51" si="9">E40+G40</f>
        <v>2.1690791666666667</v>
      </c>
      <c r="I40" s="13">
        <f t="shared" si="7"/>
        <v>21.870000000000005</v>
      </c>
    </row>
    <row r="41" spans="1:9" ht="15" x14ac:dyDescent="0.25">
      <c r="A41" s="695"/>
      <c r="B41" s="12">
        <v>45778</v>
      </c>
      <c r="C41" s="13">
        <f t="shared" si="8"/>
        <v>21.870000000000005</v>
      </c>
      <c r="D41" s="13">
        <v>0</v>
      </c>
      <c r="E41" s="13">
        <f t="shared" si="0"/>
        <v>0.15491250000000004</v>
      </c>
      <c r="F41" s="13">
        <f t="shared" si="5"/>
        <v>22.024912500000006</v>
      </c>
      <c r="G41" s="13">
        <v>2</v>
      </c>
      <c r="H41" s="13">
        <f t="shared" si="9"/>
        <v>2.1549125</v>
      </c>
      <c r="I41" s="13">
        <f t="shared" si="7"/>
        <v>19.870000000000005</v>
      </c>
    </row>
    <row r="42" spans="1:9" ht="15" x14ac:dyDescent="0.25">
      <c r="A42" s="695"/>
      <c r="B42" s="12">
        <v>45809</v>
      </c>
      <c r="C42" s="13">
        <f t="shared" si="8"/>
        <v>19.870000000000005</v>
      </c>
      <c r="D42" s="13">
        <v>0</v>
      </c>
      <c r="E42" s="13">
        <f t="shared" si="0"/>
        <v>0.14074583333333338</v>
      </c>
      <c r="F42" s="13">
        <f t="shared" si="5"/>
        <v>20.010745833333338</v>
      </c>
      <c r="G42" s="13">
        <v>2</v>
      </c>
      <c r="H42" s="13">
        <f t="shared" si="9"/>
        <v>2.1407458333333333</v>
      </c>
      <c r="I42" s="13">
        <f t="shared" si="7"/>
        <v>17.870000000000005</v>
      </c>
    </row>
    <row r="43" spans="1:9" ht="15" x14ac:dyDescent="0.25">
      <c r="A43" s="695"/>
      <c r="B43" s="12">
        <v>45839</v>
      </c>
      <c r="C43" s="13">
        <f t="shared" si="8"/>
        <v>17.870000000000005</v>
      </c>
      <c r="D43" s="13">
        <v>0</v>
      </c>
      <c r="E43" s="13">
        <f t="shared" si="0"/>
        <v>0.12657916666666671</v>
      </c>
      <c r="F43" s="13">
        <f t="shared" si="5"/>
        <v>17.99657916666667</v>
      </c>
      <c r="G43" s="13">
        <v>2</v>
      </c>
      <c r="H43" s="13">
        <f t="shared" si="9"/>
        <v>2.1265791666666667</v>
      </c>
      <c r="I43" s="13">
        <f t="shared" si="7"/>
        <v>15.870000000000005</v>
      </c>
    </row>
    <row r="44" spans="1:9" ht="15" x14ac:dyDescent="0.25">
      <c r="A44" s="695"/>
      <c r="B44" s="12">
        <v>45870</v>
      </c>
      <c r="C44" s="13">
        <f t="shared" si="8"/>
        <v>15.870000000000005</v>
      </c>
      <c r="D44" s="13">
        <v>0</v>
      </c>
      <c r="E44" s="13">
        <f t="shared" si="0"/>
        <v>0.11241250000000004</v>
      </c>
      <c r="F44" s="13">
        <f t="shared" si="5"/>
        <v>15.982412500000004</v>
      </c>
      <c r="G44" s="13">
        <v>2</v>
      </c>
      <c r="H44" s="13">
        <f t="shared" si="9"/>
        <v>2.1124125</v>
      </c>
      <c r="I44" s="13">
        <f t="shared" si="7"/>
        <v>13.870000000000005</v>
      </c>
    </row>
    <row r="45" spans="1:9" ht="15" x14ac:dyDescent="0.25">
      <c r="A45" s="695"/>
      <c r="B45" s="12">
        <v>45901</v>
      </c>
      <c r="C45" s="13">
        <f t="shared" si="8"/>
        <v>13.870000000000005</v>
      </c>
      <c r="D45" s="13">
        <v>0</v>
      </c>
      <c r="E45" s="13">
        <f t="shared" si="0"/>
        <v>9.8245833333333366E-2</v>
      </c>
      <c r="F45" s="13">
        <f t="shared" si="5"/>
        <v>13.968245833333338</v>
      </c>
      <c r="G45" s="13">
        <v>2</v>
      </c>
      <c r="H45" s="13">
        <f t="shared" si="9"/>
        <v>2.0982458333333334</v>
      </c>
      <c r="I45" s="13">
        <f t="shared" si="7"/>
        <v>11.870000000000005</v>
      </c>
    </row>
    <row r="46" spans="1:9" ht="15" x14ac:dyDescent="0.25">
      <c r="A46" s="695"/>
      <c r="B46" s="12">
        <v>45931</v>
      </c>
      <c r="C46" s="13">
        <f t="shared" si="8"/>
        <v>11.870000000000005</v>
      </c>
      <c r="D46" s="13">
        <v>0</v>
      </c>
      <c r="E46" s="13">
        <f t="shared" si="0"/>
        <v>8.4079166666666705E-2</v>
      </c>
      <c r="F46" s="13">
        <f t="shared" si="5"/>
        <v>11.954079166666672</v>
      </c>
      <c r="G46" s="13">
        <v>2</v>
      </c>
      <c r="H46" s="13">
        <f t="shared" si="9"/>
        <v>2.0840791666666667</v>
      </c>
      <c r="I46" s="13">
        <f t="shared" si="7"/>
        <v>9.8700000000000045</v>
      </c>
    </row>
    <row r="47" spans="1:9" ht="15" x14ac:dyDescent="0.25">
      <c r="A47" s="695"/>
      <c r="B47" s="12">
        <v>45962</v>
      </c>
      <c r="C47" s="13">
        <f t="shared" si="8"/>
        <v>9.8700000000000045</v>
      </c>
      <c r="D47" s="13">
        <v>0</v>
      </c>
      <c r="E47" s="13">
        <f t="shared" si="0"/>
        <v>6.991250000000003E-2</v>
      </c>
      <c r="F47" s="13">
        <f t="shared" si="5"/>
        <v>9.9399125000000037</v>
      </c>
      <c r="G47" s="13">
        <v>2</v>
      </c>
      <c r="H47" s="13">
        <f t="shared" si="9"/>
        <v>2.0699125</v>
      </c>
      <c r="I47" s="13">
        <f t="shared" si="7"/>
        <v>7.8700000000000037</v>
      </c>
    </row>
    <row r="48" spans="1:9" ht="15" x14ac:dyDescent="0.25">
      <c r="A48" s="695"/>
      <c r="B48" s="12">
        <v>45992</v>
      </c>
      <c r="C48" s="13">
        <f t="shared" si="8"/>
        <v>7.8700000000000037</v>
      </c>
      <c r="D48" s="13">
        <v>0</v>
      </c>
      <c r="E48" s="13">
        <f t="shared" si="0"/>
        <v>5.5745833333333362E-2</v>
      </c>
      <c r="F48" s="13">
        <f t="shared" si="5"/>
        <v>7.9257458333333366</v>
      </c>
      <c r="G48" s="13">
        <v>2</v>
      </c>
      <c r="H48" s="13">
        <f t="shared" si="9"/>
        <v>2.0557458333333334</v>
      </c>
      <c r="I48" s="13">
        <f t="shared" si="7"/>
        <v>5.8700000000000028</v>
      </c>
    </row>
    <row r="49" spans="1:9" ht="15" x14ac:dyDescent="0.25">
      <c r="A49" s="695"/>
      <c r="B49" s="12">
        <v>46023</v>
      </c>
      <c r="C49" s="13">
        <f t="shared" si="8"/>
        <v>5.8700000000000028</v>
      </c>
      <c r="D49" s="13">
        <v>0</v>
      </c>
      <c r="E49" s="13">
        <f t="shared" si="0"/>
        <v>4.1579166666666688E-2</v>
      </c>
      <c r="F49" s="13">
        <f t="shared" si="5"/>
        <v>5.9115791666666695</v>
      </c>
      <c r="G49" s="13">
        <v>2</v>
      </c>
      <c r="H49" s="13">
        <f t="shared" si="9"/>
        <v>2.0415791666666667</v>
      </c>
      <c r="I49" s="13">
        <f t="shared" si="7"/>
        <v>3.8700000000000028</v>
      </c>
    </row>
    <row r="50" spans="1:9" ht="15" x14ac:dyDescent="0.25">
      <c r="A50" s="695"/>
      <c r="B50" s="12">
        <v>46054</v>
      </c>
      <c r="C50" s="13">
        <f t="shared" si="8"/>
        <v>3.8700000000000028</v>
      </c>
      <c r="D50" s="13">
        <v>0</v>
      </c>
      <c r="E50" s="13">
        <f t="shared" si="0"/>
        <v>2.741250000000002E-2</v>
      </c>
      <c r="F50" s="13">
        <f t="shared" si="5"/>
        <v>3.8974125000000028</v>
      </c>
      <c r="G50" s="13">
        <v>2</v>
      </c>
      <c r="H50" s="13">
        <f t="shared" si="9"/>
        <v>2.0274125000000001</v>
      </c>
      <c r="I50" s="13">
        <f t="shared" si="7"/>
        <v>1.8700000000000028</v>
      </c>
    </row>
    <row r="51" spans="1:9" ht="15" x14ac:dyDescent="0.25">
      <c r="A51" s="696"/>
      <c r="B51" s="12">
        <v>46082</v>
      </c>
      <c r="C51" s="13">
        <f t="shared" si="8"/>
        <v>1.8700000000000028</v>
      </c>
      <c r="D51" s="13">
        <v>0</v>
      </c>
      <c r="E51" s="13">
        <f t="shared" si="0"/>
        <v>1.3245833333333354E-2</v>
      </c>
      <c r="F51" s="13">
        <f t="shared" si="5"/>
        <v>1.8832458333333362</v>
      </c>
      <c r="G51" s="13">
        <v>1.87</v>
      </c>
      <c r="H51" s="13">
        <f t="shared" si="9"/>
        <v>1.8832458333333335</v>
      </c>
      <c r="I51" s="13">
        <f t="shared" si="7"/>
        <v>2.6645352591003757E-15</v>
      </c>
    </row>
    <row r="52" spans="1:9" ht="15.75" thickBot="1" x14ac:dyDescent="0.3">
      <c r="A52" s="9"/>
      <c r="B52" s="14"/>
      <c r="C52" s="15"/>
      <c r="D52" s="15">
        <f>SUM(D40:D51)</f>
        <v>0</v>
      </c>
      <c r="E52" s="15">
        <f>SUM(E40:E51)</f>
        <v>1.0939500000000004</v>
      </c>
      <c r="F52" s="15"/>
      <c r="G52" s="15">
        <f>SUM(G40:G51)</f>
        <v>23.87</v>
      </c>
      <c r="H52" s="15">
        <f>SUM(H40:H51)</f>
        <v>24.963950000000001</v>
      </c>
      <c r="I52" s="15"/>
    </row>
    <row r="53" spans="1:9" ht="13.5" thickTop="1" x14ac:dyDescent="0.2"/>
    <row r="54" spans="1:9" ht="13.5" thickBot="1" x14ac:dyDescent="0.25">
      <c r="A54" s="693" t="s">
        <v>70</v>
      </c>
      <c r="B54" s="693"/>
      <c r="C54" s="693"/>
      <c r="D54" s="18" t="e">
        <f>#REF!+#REF!+#REF!+#REF!+#REF!+#REF!+#REF!+#REF!+#REF!+#REF!+#REF!+D52+D39+D26</f>
        <v>#REF!</v>
      </c>
      <c r="E54" s="18" t="e">
        <f>#REF!+#REF!+#REF!+#REF!+#REF!+#REF!+#REF!+#REF!+#REF!+#REF!+#REF!+E52+E39+E26</f>
        <v>#REF!</v>
      </c>
      <c r="F54" s="18" t="e">
        <f>#REF!+#REF!+#REF!+#REF!+#REF!+#REF!+#REF!+#REF!+#REF!+#REF!+#REF!+F52+F39+F26</f>
        <v>#REF!</v>
      </c>
      <c r="G54" s="18" t="e">
        <f>#REF!+#REF!+#REF!+#REF!+#REF!+#REF!+#REF!+#REF!+#REF!+#REF!+#REF!+G52+G39+G26</f>
        <v>#REF!</v>
      </c>
      <c r="H54" s="18" t="e">
        <f>#REF!+#REF!+#REF!+#REF!+#REF!+#REF!+#REF!+#REF!+#REF!+#REF!+#REF!+H52+H39+H26</f>
        <v>#REF!</v>
      </c>
      <c r="I54" s="18"/>
    </row>
    <row r="55" spans="1:9" ht="13.5" thickTop="1" x14ac:dyDescent="0.2"/>
  </sheetData>
  <mergeCells count="12">
    <mergeCell ref="A9:D9"/>
    <mergeCell ref="A1:I1"/>
    <mergeCell ref="A2:I2"/>
    <mergeCell ref="A4:I4"/>
    <mergeCell ref="A6:D6"/>
    <mergeCell ref="A7:D7"/>
    <mergeCell ref="A54:C54"/>
    <mergeCell ref="A10:D10"/>
    <mergeCell ref="A11:D11"/>
    <mergeCell ref="A14:A25"/>
    <mergeCell ref="A27:A38"/>
    <mergeCell ref="A40:A5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2"/>
  <sheetViews>
    <sheetView topLeftCell="A13" zoomScaleNormal="100" workbookViewId="0">
      <selection activeCell="AB15" sqref="AB15"/>
    </sheetView>
  </sheetViews>
  <sheetFormatPr defaultColWidth="9.140625" defaultRowHeight="15" x14ac:dyDescent="0.25"/>
  <cols>
    <col min="1" max="1" width="4.42578125" style="216" customWidth="1"/>
    <col min="2" max="2" width="27.140625" style="216" bestFit="1" customWidth="1"/>
    <col min="3" max="3" width="9.140625" style="216"/>
    <col min="4" max="4" width="10" style="216" bestFit="1" customWidth="1"/>
    <col min="5" max="14" width="9.140625" style="216"/>
    <col min="15" max="26" width="0" style="216" hidden="1" customWidth="1"/>
    <col min="27" max="16384" width="9.140625" style="216"/>
  </cols>
  <sheetData>
    <row r="2" spans="2:14" x14ac:dyDescent="0.25">
      <c r="B2" s="705" t="s">
        <v>708</v>
      </c>
      <c r="C2" s="705"/>
      <c r="D2" s="237" t="s">
        <v>51</v>
      </c>
      <c r="E2" s="237" t="s">
        <v>52</v>
      </c>
      <c r="F2" s="237" t="s">
        <v>53</v>
      </c>
      <c r="G2" s="237" t="s">
        <v>54</v>
      </c>
      <c r="H2" s="237" t="s">
        <v>55</v>
      </c>
      <c r="I2" s="237" t="s">
        <v>56</v>
      </c>
      <c r="J2" s="237" t="s">
        <v>57</v>
      </c>
      <c r="K2" s="237" t="s">
        <v>62</v>
      </c>
      <c r="L2" s="237" t="s">
        <v>63</v>
      </c>
      <c r="M2" s="241" t="s">
        <v>64</v>
      </c>
      <c r="N2" s="241" t="s">
        <v>65</v>
      </c>
    </row>
    <row r="3" spans="2:14" x14ac:dyDescent="0.25">
      <c r="B3" s="237" t="s">
        <v>709</v>
      </c>
      <c r="C3" s="237"/>
      <c r="D3" s="237" t="s">
        <v>710</v>
      </c>
      <c r="E3" s="237" t="s">
        <v>710</v>
      </c>
      <c r="F3" s="237" t="s">
        <v>710</v>
      </c>
      <c r="G3" s="237" t="s">
        <v>710</v>
      </c>
      <c r="H3" s="237" t="s">
        <v>710</v>
      </c>
      <c r="I3" s="237" t="s">
        <v>710</v>
      </c>
      <c r="J3" s="237" t="s">
        <v>710</v>
      </c>
      <c r="K3" s="237" t="s">
        <v>710</v>
      </c>
      <c r="L3" s="237" t="s">
        <v>710</v>
      </c>
      <c r="M3" s="253"/>
      <c r="N3" s="253"/>
    </row>
    <row r="4" spans="2:14" x14ac:dyDescent="0.25">
      <c r="B4" s="237" t="s">
        <v>711</v>
      </c>
      <c r="C4" s="237"/>
      <c r="D4" s="321">
        <v>0.25</v>
      </c>
      <c r="E4" s="322">
        <f>D4+5%</f>
        <v>0.3</v>
      </c>
      <c r="F4" s="322">
        <f t="shared" ref="F4:N4" si="0">E4+5%</f>
        <v>0.35</v>
      </c>
      <c r="G4" s="322">
        <f t="shared" si="0"/>
        <v>0.39999999999999997</v>
      </c>
      <c r="H4" s="322">
        <f t="shared" si="0"/>
        <v>0.44999999999999996</v>
      </c>
      <c r="I4" s="322">
        <f t="shared" si="0"/>
        <v>0.49999999999999994</v>
      </c>
      <c r="J4" s="322">
        <f t="shared" si="0"/>
        <v>0.54999999999999993</v>
      </c>
      <c r="K4" s="322">
        <f t="shared" si="0"/>
        <v>0.6</v>
      </c>
      <c r="L4" s="322">
        <f t="shared" si="0"/>
        <v>0.65</v>
      </c>
      <c r="M4" s="322">
        <f t="shared" si="0"/>
        <v>0.70000000000000007</v>
      </c>
      <c r="N4" s="322">
        <f t="shared" si="0"/>
        <v>0.75000000000000011</v>
      </c>
    </row>
    <row r="5" spans="2:14" x14ac:dyDescent="0.25">
      <c r="B5" s="237" t="s">
        <v>712</v>
      </c>
      <c r="C5" s="237"/>
      <c r="D5" s="239">
        <f>CONPL!F10</f>
        <v>7620.2297187500017</v>
      </c>
      <c r="E5" s="239">
        <f>CONPL!G10</f>
        <v>13414.156375000002</v>
      </c>
      <c r="F5" s="239">
        <f>CONPL!H10</f>
        <v>14815.774250000004</v>
      </c>
      <c r="G5" s="239">
        <f>CONPL!I10</f>
        <v>16297.351675000005</v>
      </c>
      <c r="H5" s="239">
        <f>CONPL!J10</f>
        <v>17866.884605000007</v>
      </c>
      <c r="I5" s="239">
        <f>CONPL!K10</f>
        <v>19533.168590500009</v>
      </c>
      <c r="J5" s="239">
        <f>CONPL!L10</f>
        <v>21305.878737050014</v>
      </c>
      <c r="K5" s="239">
        <f>CONPL!M10</f>
        <v>23195.657660755016</v>
      </c>
      <c r="L5" s="239">
        <f>CONPL!N10</f>
        <v>25214.212239330514</v>
      </c>
      <c r="M5" s="239">
        <f>CONPL!O10</f>
        <v>27374.420038263568</v>
      </c>
      <c r="N5" s="239">
        <f>CONPL!P10</f>
        <v>29690.446379589928</v>
      </c>
    </row>
    <row r="6" spans="2:14" x14ac:dyDescent="0.25">
      <c r="B6" s="237" t="s">
        <v>713</v>
      </c>
      <c r="C6" s="237"/>
      <c r="D6" s="239">
        <f>CONPL!F26</f>
        <v>252.00000000000006</v>
      </c>
      <c r="E6" s="239">
        <f>CONPL!G26</f>
        <v>417.90963850000009</v>
      </c>
      <c r="F6" s="239">
        <f>CONPL!H26</f>
        <v>495.09951800000022</v>
      </c>
      <c r="G6" s="239">
        <f>CONPL!I26</f>
        <v>563.15175895000016</v>
      </c>
      <c r="H6" s="239">
        <f>CONPL!J26</f>
        <v>617.27557340000033</v>
      </c>
      <c r="I6" s="239">
        <f>CONPL!K26</f>
        <v>630.79317895000031</v>
      </c>
      <c r="J6" s="239">
        <f>CONPL!L26</f>
        <v>688.3098101000005</v>
      </c>
      <c r="K6" s="239">
        <f>CONPL!M26</f>
        <v>724.43893570000046</v>
      </c>
      <c r="L6" s="239">
        <f>CONPL!N26</f>
        <v>788.45451602000071</v>
      </c>
      <c r="M6" s="239">
        <f>CONPL!O26</f>
        <v>857.18599172200072</v>
      </c>
      <c r="N6" s="239">
        <f>CONPL!P26</f>
        <v>931.10495234420091</v>
      </c>
    </row>
    <row r="7" spans="2:14" x14ac:dyDescent="0.25">
      <c r="B7" s="237" t="s">
        <v>714</v>
      </c>
      <c r="C7" s="237"/>
      <c r="D7" s="239">
        <f>CONPL!F27</f>
        <v>378.00000000000006</v>
      </c>
      <c r="E7" s="239">
        <f>CONPL!G27</f>
        <v>626.86445775000004</v>
      </c>
      <c r="F7" s="239">
        <f>CONPL!H27</f>
        <v>742.6492770000001</v>
      </c>
      <c r="G7" s="239">
        <f>CONPL!I27</f>
        <v>844.72763842500012</v>
      </c>
      <c r="H7" s="239">
        <f>CONPL!J27</f>
        <v>925.91336010000032</v>
      </c>
      <c r="I7" s="239">
        <f>CONPL!K27</f>
        <v>946.18976842500035</v>
      </c>
      <c r="J7" s="239">
        <f>CONPL!L27</f>
        <v>1032.4647151500005</v>
      </c>
      <c r="K7" s="239">
        <f>CONPL!M27</f>
        <v>1086.6584035500005</v>
      </c>
      <c r="L7" s="239">
        <f>CONPL!N27</f>
        <v>1182.6817740300007</v>
      </c>
      <c r="M7" s="239">
        <f>CONPL!O27</f>
        <v>1285.7789875830008</v>
      </c>
      <c r="N7" s="239">
        <f>CONPL!P27</f>
        <v>1396.657428516301</v>
      </c>
    </row>
    <row r="8" spans="2:14" x14ac:dyDescent="0.25">
      <c r="B8" s="237" t="s">
        <v>715</v>
      </c>
      <c r="C8" s="237"/>
      <c r="D8" s="239">
        <f>SUM(D5:D7)</f>
        <v>8250.2297187500026</v>
      </c>
      <c r="E8" s="239">
        <f t="shared" ref="E8:N8" si="1">SUM(E5:E7)</f>
        <v>14458.930471250002</v>
      </c>
      <c r="F8" s="239">
        <f t="shared" si="1"/>
        <v>16053.523045000005</v>
      </c>
      <c r="G8" s="239">
        <f t="shared" si="1"/>
        <v>17705.231072375005</v>
      </c>
      <c r="H8" s="239">
        <f t="shared" si="1"/>
        <v>19410.073538500008</v>
      </c>
      <c r="I8" s="239">
        <f t="shared" si="1"/>
        <v>21110.151537875008</v>
      </c>
      <c r="J8" s="239">
        <f t="shared" si="1"/>
        <v>23026.653262300013</v>
      </c>
      <c r="K8" s="239">
        <f t="shared" si="1"/>
        <v>25006.755000005018</v>
      </c>
      <c r="L8" s="239">
        <f t="shared" si="1"/>
        <v>27185.348529380513</v>
      </c>
      <c r="M8" s="239">
        <f t="shared" si="1"/>
        <v>29517.385017568569</v>
      </c>
      <c r="N8" s="239">
        <f t="shared" si="1"/>
        <v>32018.20876045043</v>
      </c>
    </row>
    <row r="9" spans="2:14" x14ac:dyDescent="0.25">
      <c r="B9" s="254" t="s">
        <v>716</v>
      </c>
      <c r="C9" s="237"/>
      <c r="D9" s="255"/>
      <c r="E9" s="237"/>
      <c r="F9" s="237"/>
      <c r="G9" s="237"/>
      <c r="H9" s="237"/>
      <c r="I9" s="237"/>
      <c r="J9" s="237"/>
      <c r="K9" s="237"/>
      <c r="L9" s="237"/>
      <c r="M9" s="253"/>
      <c r="N9" s="253"/>
    </row>
    <row r="10" spans="2:14" x14ac:dyDescent="0.25">
      <c r="B10" s="237" t="s">
        <v>717</v>
      </c>
      <c r="C10" s="237"/>
      <c r="D10" s="239">
        <f>CONPL!F24</f>
        <v>247.00000000000006</v>
      </c>
      <c r="E10" s="239">
        <f>CONPL!G24</f>
        <v>569.61927700000001</v>
      </c>
      <c r="F10" s="239">
        <f>CONPL!H24</f>
        <v>697.37903600000027</v>
      </c>
      <c r="G10" s="239">
        <f>CONPL!I24</f>
        <v>804.20151790000023</v>
      </c>
      <c r="H10" s="239">
        <f>CONPL!J24</f>
        <v>880.23894680000035</v>
      </c>
      <c r="I10" s="239">
        <f>CONPL!K24</f>
        <v>871.84293790000038</v>
      </c>
      <c r="J10" s="239">
        <f>CONPL!L24</f>
        <v>947.90185820000056</v>
      </c>
      <c r="K10" s="239">
        <f>CONPL!M24</f>
        <v>850.86363445000052</v>
      </c>
      <c r="L10" s="239">
        <f>CONPL!N24</f>
        <v>923.30752802000075</v>
      </c>
      <c r="M10" s="239">
        <f>CONPL!O24</f>
        <v>1000.4673169720007</v>
      </c>
      <c r="N10" s="239">
        <f>CONPL!P24</f>
        <v>1082.8145908442009</v>
      </c>
    </row>
    <row r="11" spans="2:14" x14ac:dyDescent="0.25">
      <c r="B11" s="237" t="s">
        <v>718</v>
      </c>
      <c r="C11" s="256">
        <v>0.8</v>
      </c>
      <c r="D11" s="239">
        <f>CONPL!G20*0.8</f>
        <v>4</v>
      </c>
      <c r="E11" s="239">
        <f>CONPL!H20*0.8</f>
        <v>60.683855399999999</v>
      </c>
      <c r="F11" s="239">
        <f>CONPL!I20*0.8</f>
        <v>80.911807200000013</v>
      </c>
      <c r="G11" s="239">
        <f>CONPL!J20*0.8</f>
        <v>96.419903579999996</v>
      </c>
      <c r="H11" s="239">
        <f>CONPL!K20*0.8</f>
        <v>105.18534936000003</v>
      </c>
      <c r="I11" s="239">
        <f>CONPL!L20*0.8</f>
        <v>96.419903580000039</v>
      </c>
      <c r="J11" s="239">
        <f>CONPL!M20*0.8</f>
        <v>103.83681924000005</v>
      </c>
      <c r="K11" s="239">
        <f>CONPL!N20*0.8</f>
        <v>101.13975900000003</v>
      </c>
      <c r="L11" s="239">
        <f>CONPL!O20*0.8</f>
        <v>107.88240960000006</v>
      </c>
      <c r="M11" s="239">
        <f>CONPL!P20*0.8</f>
        <v>114.62506020000006</v>
      </c>
      <c r="N11" s="239">
        <f>CONPL!Q20*0.8</f>
        <v>0</v>
      </c>
    </row>
    <row r="12" spans="2:14" x14ac:dyDescent="0.25">
      <c r="B12" s="237" t="s">
        <v>719</v>
      </c>
      <c r="C12" s="256">
        <v>0.8</v>
      </c>
      <c r="D12" s="239">
        <f>CONPL!F15*0.8</f>
        <v>94.143594375000021</v>
      </c>
      <c r="E12" s="239">
        <f>CONPL!G15*0.8</f>
        <v>204.19602750000004</v>
      </c>
      <c r="F12" s="239">
        <f>CONPL!H15*0.8</f>
        <v>225.81967500000007</v>
      </c>
      <c r="G12" s="239">
        <f>CONPL!I15*0.8</f>
        <v>248.40164250000009</v>
      </c>
      <c r="H12" s="239">
        <f>CONPL!J15*0.8</f>
        <v>272.0377620000001</v>
      </c>
      <c r="I12" s="239">
        <f>CONPL!K15*0.8</f>
        <v>296.83344870000013</v>
      </c>
      <c r="J12" s="239">
        <f>CONPL!L15*0.8</f>
        <v>322.90465932000018</v>
      </c>
      <c r="K12" s="239">
        <f>CONPL!M15*0.8</f>
        <v>350.37894625200016</v>
      </c>
      <c r="L12" s="239">
        <f>CONPL!N15*0.8</f>
        <v>379.39661712720022</v>
      </c>
      <c r="M12" s="239">
        <f>CONPL!O15*0.8</f>
        <v>410.11201033992023</v>
      </c>
      <c r="N12" s="239">
        <f>CONPL!P15*0.8</f>
        <v>442.69489812391231</v>
      </c>
    </row>
    <row r="13" spans="2:14" x14ac:dyDescent="0.25">
      <c r="B13" s="237" t="s">
        <v>720</v>
      </c>
      <c r="C13" s="256">
        <v>0.8</v>
      </c>
      <c r="D13" s="239">
        <f>CONPL!F14*0.8</f>
        <v>359.85640000000012</v>
      </c>
      <c r="E13" s="239">
        <f>CONPL!G14*0.8</f>
        <v>571.31163360000016</v>
      </c>
      <c r="F13" s="239">
        <f>CONPL!H14*0.8</f>
        <v>624.56376960000023</v>
      </c>
      <c r="G13" s="239">
        <f>CONPL!I14*0.8</f>
        <v>702.86686848576028</v>
      </c>
      <c r="H13" s="239">
        <f>CONPL!J14*0.8</f>
        <v>776.19588246051876</v>
      </c>
      <c r="I13" s="239">
        <f>CONPL!K14*0.8</f>
        <v>855.14540227887301</v>
      </c>
      <c r="J13" s="239">
        <f>CONPL!L14*0.8</f>
        <v>940.20776577217771</v>
      </c>
      <c r="K13" s="239">
        <f>CONPL!M14*0.8</f>
        <v>1031.9224410030229</v>
      </c>
      <c r="L13" s="239">
        <f>CONPL!N14*0.8</f>
        <v>1130.8806830313849</v>
      </c>
      <c r="M13" s="239">
        <f>CONPL!O14*0.8</f>
        <v>1237.7306549485315</v>
      </c>
      <c r="N13" s="239">
        <f>CONPL!P14*0.8</f>
        <v>1353.1830595716078</v>
      </c>
    </row>
    <row r="14" spans="2:14" x14ac:dyDescent="0.25">
      <c r="B14" s="237" t="s">
        <v>721</v>
      </c>
      <c r="C14" s="256">
        <v>0.6</v>
      </c>
      <c r="D14" s="239">
        <f>CONPL!F16*0.3*0.6</f>
        <v>23.501123493750008</v>
      </c>
      <c r="E14" s="239">
        <f>CONPL!G16*0.3*0.6</f>
        <v>35.39630059875001</v>
      </c>
      <c r="F14" s="239">
        <f>CONPL!H16*0.3*0.6</f>
        <v>39.049712887500014</v>
      </c>
      <c r="G14" s="239">
        <f>CONPL!I16*0.3*0.6</f>
        <v>42.954684176250019</v>
      </c>
      <c r="H14" s="239">
        <f>CONPL!J16*0.3*0.6</f>
        <v>47.136370365000026</v>
      </c>
      <c r="I14" s="239">
        <f>CONPL!K16*0.3*0.6</f>
        <v>51.622442943750038</v>
      </c>
      <c r="J14" s="239">
        <f>CONPL!L16*0.3*0.6</f>
        <v>56.443340551500029</v>
      </c>
      <c r="K14" s="239">
        <f>CONPL!M16*0.3*0.6</f>
        <v>61.632545691150035</v>
      </c>
      <c r="L14" s="239">
        <f>CONPL!N16*0.3*0.6</f>
        <v>67.226889115890046</v>
      </c>
      <c r="M14" s="239">
        <f>CONPL!O16*0.3*0.6</f>
        <v>73.266884654229059</v>
      </c>
      <c r="N14" s="239">
        <f>CONPL!P16*0.3*0.6</f>
        <v>79.79709751752695</v>
      </c>
    </row>
    <row r="15" spans="2:14" x14ac:dyDescent="0.25">
      <c r="B15" s="237" t="s">
        <v>722</v>
      </c>
      <c r="C15" s="237"/>
      <c r="D15" s="239">
        <f>CONPL!F38</f>
        <v>80</v>
      </c>
      <c r="E15" s="239">
        <f>CONPL!G38</f>
        <v>115.19999999999999</v>
      </c>
      <c r="F15" s="239">
        <f>CONPL!H38</f>
        <v>115.19999999999999</v>
      </c>
      <c r="G15" s="239">
        <f>CONPL!I38</f>
        <v>115.19999999999999</v>
      </c>
      <c r="H15" s="239">
        <f>CONPL!J38</f>
        <v>115.19999999999999</v>
      </c>
      <c r="I15" s="239">
        <f>CONPL!K38</f>
        <v>115.19999999999999</v>
      </c>
      <c r="J15" s="239">
        <f>CONPL!L38</f>
        <v>115.19999999999999</v>
      </c>
      <c r="K15" s="239">
        <f>CONPL!M38</f>
        <v>115.19999999999999</v>
      </c>
      <c r="L15" s="239">
        <f>CONPL!N38</f>
        <v>115.19999999999999</v>
      </c>
      <c r="M15" s="239">
        <f>CONPL!O38</f>
        <v>115.19999999999999</v>
      </c>
      <c r="N15" s="239">
        <f>CONPL!P38</f>
        <v>115.19999999999999</v>
      </c>
    </row>
    <row r="16" spans="2:14" x14ac:dyDescent="0.25">
      <c r="B16" s="237" t="s">
        <v>723</v>
      </c>
      <c r="C16" s="237"/>
      <c r="D16" s="238">
        <v>5</v>
      </c>
      <c r="E16" s="238">
        <v>10</v>
      </c>
      <c r="F16" s="238">
        <v>11</v>
      </c>
      <c r="G16" s="238">
        <v>12.1</v>
      </c>
      <c r="H16" s="238">
        <v>13.31</v>
      </c>
      <c r="I16" s="238">
        <v>14.64</v>
      </c>
      <c r="J16" s="238">
        <v>16.11</v>
      </c>
      <c r="K16" s="238">
        <v>17.72</v>
      </c>
      <c r="L16" s="238">
        <v>19.489999999999998</v>
      </c>
      <c r="M16" s="257">
        <f>L16*1.1</f>
        <v>21.439</v>
      </c>
      <c r="N16" s="257">
        <f t="shared" ref="N16" si="2">M16*1.1</f>
        <v>23.582900000000002</v>
      </c>
    </row>
    <row r="17" spans="2:26" x14ac:dyDescent="0.25">
      <c r="B17" s="237" t="s">
        <v>724</v>
      </c>
      <c r="C17" s="256">
        <v>0.8</v>
      </c>
      <c r="D17" s="239">
        <f t="shared" ref="D17:N17" si="3">O17*0.8</f>
        <v>8514.8702503492568</v>
      </c>
      <c r="E17" s="239">
        <f t="shared" si="3"/>
        <v>10407.159949875477</v>
      </c>
      <c r="F17" s="239">
        <f t="shared" si="3"/>
        <v>11600.469716916657</v>
      </c>
      <c r="G17" s="239">
        <f t="shared" si="3"/>
        <v>12853.105667050389</v>
      </c>
      <c r="H17" s="239">
        <f t="shared" si="3"/>
        <v>14187.203761697834</v>
      </c>
      <c r="I17" s="239">
        <f t="shared" si="3"/>
        <v>15609.332359290034</v>
      </c>
      <c r="J17" s="239">
        <f t="shared" si="3"/>
        <v>17126.919147876921</v>
      </c>
      <c r="K17" s="239">
        <f t="shared" si="3"/>
        <v>18748.306749669919</v>
      </c>
      <c r="L17" s="239">
        <f t="shared" si="3"/>
        <v>20482.818170932936</v>
      </c>
      <c r="M17" s="239">
        <f t="shared" si="3"/>
        <v>22340.832449198304</v>
      </c>
      <c r="N17" s="239">
        <f t="shared" si="3"/>
        <v>24333.870977686754</v>
      </c>
      <c r="O17" s="216">
        <v>10643.58781293657</v>
      </c>
      <c r="P17" s="216">
        <v>13008.949937344345</v>
      </c>
      <c r="Q17" s="216">
        <v>14500.587146145821</v>
      </c>
      <c r="R17" s="216">
        <v>16066.382083812987</v>
      </c>
      <c r="S17" s="216">
        <v>17734.004702122293</v>
      </c>
      <c r="T17" s="216">
        <v>19511.665449112541</v>
      </c>
      <c r="U17" s="216">
        <v>21408.648934846151</v>
      </c>
      <c r="V17" s="216">
        <v>23435.383437087396</v>
      </c>
      <c r="W17" s="216">
        <v>25603.522713666171</v>
      </c>
      <c r="X17" s="216">
        <v>27926.040561497877</v>
      </c>
      <c r="Y17" s="216">
        <v>30417.338722108441</v>
      </c>
      <c r="Z17" s="216">
        <v>31850.59985838849</v>
      </c>
    </row>
    <row r="18" spans="2:26" x14ac:dyDescent="0.25">
      <c r="B18" s="237" t="s">
        <v>725</v>
      </c>
      <c r="C18" s="237"/>
      <c r="D18" s="239">
        <v>0</v>
      </c>
      <c r="E18" s="239">
        <v>182.75729552446322</v>
      </c>
      <c r="F18" s="239">
        <v>117.00915904708836</v>
      </c>
      <c r="G18" s="239">
        <v>134.56804201737336</v>
      </c>
      <c r="H18" s="239">
        <v>293.84305398780998</v>
      </c>
      <c r="I18" s="239">
        <v>355.91778838761695</v>
      </c>
      <c r="J18" s="239">
        <v>417.90248049345217</v>
      </c>
      <c r="K18" s="239">
        <v>480.09538978475354</v>
      </c>
      <c r="L18" s="239">
        <v>542.96196733407544</v>
      </c>
      <c r="M18" s="239">
        <v>606.80224620272361</v>
      </c>
      <c r="N18" s="239">
        <v>671.78023448388115</v>
      </c>
    </row>
    <row r="19" spans="2:26" x14ac:dyDescent="0.25">
      <c r="B19" s="237" t="s">
        <v>726</v>
      </c>
      <c r="C19" s="237"/>
      <c r="D19" s="239">
        <f>SUM(D10:D18)</f>
        <v>9328.3713682180078</v>
      </c>
      <c r="E19" s="239">
        <f t="shared" ref="E19:N19" si="4">SUM(E10:E18)</f>
        <v>12156.324339498691</v>
      </c>
      <c r="F19" s="239">
        <f t="shared" si="4"/>
        <v>13511.402876651246</v>
      </c>
      <c r="G19" s="239">
        <f t="shared" si="4"/>
        <v>15009.818325709773</v>
      </c>
      <c r="H19" s="239">
        <f t="shared" si="4"/>
        <v>16690.351126671165</v>
      </c>
      <c r="I19" s="239">
        <f t="shared" si="4"/>
        <v>18266.954283080275</v>
      </c>
      <c r="J19" s="239">
        <f t="shared" si="4"/>
        <v>20047.426071454051</v>
      </c>
      <c r="K19" s="239">
        <f t="shared" si="4"/>
        <v>21757.259465850846</v>
      </c>
      <c r="L19" s="239">
        <f t="shared" si="4"/>
        <v>23769.164265161486</v>
      </c>
      <c r="M19" s="239">
        <f t="shared" si="4"/>
        <v>25920.475622515707</v>
      </c>
      <c r="N19" s="239">
        <f t="shared" si="4"/>
        <v>28102.923758227884</v>
      </c>
    </row>
    <row r="20" spans="2:26" x14ac:dyDescent="0.25">
      <c r="B20" s="254" t="s">
        <v>727</v>
      </c>
      <c r="C20" s="237"/>
      <c r="D20" s="258">
        <f>D8-D19</f>
        <v>-1078.1416494680052</v>
      </c>
      <c r="E20" s="258">
        <f t="shared" ref="E20:N20" si="5">E8-E19</f>
        <v>2302.6061317513104</v>
      </c>
      <c r="F20" s="258">
        <f t="shared" si="5"/>
        <v>2542.1201683487598</v>
      </c>
      <c r="G20" s="258">
        <f t="shared" si="5"/>
        <v>2695.4127466652317</v>
      </c>
      <c r="H20" s="258">
        <f t="shared" si="5"/>
        <v>2719.7224118288432</v>
      </c>
      <c r="I20" s="258">
        <f t="shared" si="5"/>
        <v>2843.1972547947335</v>
      </c>
      <c r="J20" s="258">
        <f t="shared" si="5"/>
        <v>2979.2271908459625</v>
      </c>
      <c r="K20" s="258">
        <f t="shared" si="5"/>
        <v>3249.4955341541718</v>
      </c>
      <c r="L20" s="258">
        <f t="shared" si="5"/>
        <v>3416.1842642190277</v>
      </c>
      <c r="M20" s="258">
        <f t="shared" si="5"/>
        <v>3596.9093950528622</v>
      </c>
      <c r="N20" s="258">
        <f t="shared" si="5"/>
        <v>3915.2850022225466</v>
      </c>
    </row>
    <row r="21" spans="2:26" x14ac:dyDescent="0.25">
      <c r="B21" s="254" t="s">
        <v>728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53"/>
      <c r="N21" s="253"/>
    </row>
    <row r="22" spans="2:26" x14ac:dyDescent="0.25">
      <c r="B22" s="237" t="s">
        <v>718</v>
      </c>
      <c r="C22" s="256">
        <v>0.2</v>
      </c>
      <c r="D22" s="239">
        <f t="shared" ref="D22:N24" si="6">O22-D11</f>
        <v>166</v>
      </c>
      <c r="E22" s="239">
        <f t="shared" si="6"/>
        <v>139.3161446</v>
      </c>
      <c r="F22" s="239">
        <f t="shared" si="6"/>
        <v>129.0881928</v>
      </c>
      <c r="G22" s="239">
        <f t="shared" si="6"/>
        <v>124.08009642</v>
      </c>
      <c r="H22" s="239">
        <f t="shared" si="6"/>
        <v>126.33965063999997</v>
      </c>
      <c r="I22" s="239">
        <f t="shared" si="6"/>
        <v>146.68134641999998</v>
      </c>
      <c r="J22" s="239">
        <f t="shared" si="6"/>
        <v>151.41949325999997</v>
      </c>
      <c r="K22" s="239">
        <f t="shared" si="6"/>
        <v>166.87936912500004</v>
      </c>
      <c r="L22" s="239">
        <f t="shared" si="6"/>
        <v>173.53767493125002</v>
      </c>
      <c r="M22" s="239">
        <f t="shared" si="6"/>
        <v>180.86602855781257</v>
      </c>
      <c r="N22" s="239">
        <f t="shared" si="6"/>
        <v>310.26564319570326</v>
      </c>
      <c r="O22" s="225">
        <v>170</v>
      </c>
      <c r="P22" s="225">
        <v>200</v>
      </c>
      <c r="Q22" s="225">
        <v>210</v>
      </c>
      <c r="R22" s="225">
        <v>220.5</v>
      </c>
      <c r="S22" s="225">
        <v>231.52500000000001</v>
      </c>
      <c r="T22" s="225">
        <v>243.10125000000002</v>
      </c>
      <c r="U22" s="225">
        <v>255.25631250000004</v>
      </c>
      <c r="V22" s="225">
        <v>268.01912812500007</v>
      </c>
      <c r="W22" s="225">
        <v>281.4200845312501</v>
      </c>
      <c r="X22" s="225">
        <v>295.49108875781263</v>
      </c>
      <c r="Y22" s="225">
        <v>310.26564319570326</v>
      </c>
      <c r="Z22" s="225">
        <v>319.57361249157435</v>
      </c>
    </row>
    <row r="23" spans="2:26" x14ac:dyDescent="0.25">
      <c r="B23" s="237" t="s">
        <v>719</v>
      </c>
      <c r="C23" s="256">
        <v>0.2</v>
      </c>
      <c r="D23" s="239">
        <f t="shared" si="6"/>
        <v>23.535898593750005</v>
      </c>
      <c r="E23" s="239">
        <f t="shared" si="6"/>
        <v>51.049006875000003</v>
      </c>
      <c r="F23" s="239">
        <f t="shared" si="6"/>
        <v>56.45491874999999</v>
      </c>
      <c r="G23" s="239">
        <f t="shared" si="6"/>
        <v>62.100410624999995</v>
      </c>
      <c r="H23" s="239">
        <f t="shared" si="6"/>
        <v>68.009440499999982</v>
      </c>
      <c r="I23" s="239">
        <f t="shared" si="6"/>
        <v>74.208362174999991</v>
      </c>
      <c r="J23" s="239">
        <f t="shared" si="6"/>
        <v>80.726164830000016</v>
      </c>
      <c r="K23" s="239">
        <f t="shared" si="6"/>
        <v>87.594736563000026</v>
      </c>
      <c r="L23" s="239">
        <f t="shared" si="6"/>
        <v>94.849154281800054</v>
      </c>
      <c r="M23" s="239">
        <f t="shared" si="6"/>
        <v>102.52800258498002</v>
      </c>
      <c r="N23" s="239">
        <f t="shared" si="6"/>
        <v>110.67372453097806</v>
      </c>
      <c r="O23" s="225">
        <f t="shared" ref="O23:Y23" si="7">D12/0.8*1</f>
        <v>117.67949296875003</v>
      </c>
      <c r="P23" s="225">
        <f t="shared" si="7"/>
        <v>255.24503437500005</v>
      </c>
      <c r="Q23" s="225">
        <f t="shared" si="7"/>
        <v>282.27459375000007</v>
      </c>
      <c r="R23" s="225">
        <f t="shared" si="7"/>
        <v>310.50205312500009</v>
      </c>
      <c r="S23" s="225">
        <f t="shared" si="7"/>
        <v>340.04720250000008</v>
      </c>
      <c r="T23" s="225">
        <f t="shared" si="7"/>
        <v>371.04181087500012</v>
      </c>
      <c r="U23" s="225">
        <f t="shared" si="7"/>
        <v>403.63082415000019</v>
      </c>
      <c r="V23" s="225">
        <f t="shared" si="7"/>
        <v>437.97368281500019</v>
      </c>
      <c r="W23" s="225">
        <f t="shared" si="7"/>
        <v>474.24577140900027</v>
      </c>
      <c r="X23" s="225">
        <f t="shared" si="7"/>
        <v>512.64001292490025</v>
      </c>
      <c r="Y23" s="225">
        <f t="shared" si="7"/>
        <v>553.36862265489037</v>
      </c>
      <c r="Z23" s="225" t="e">
        <f>#REF!/0.8*1</f>
        <v>#REF!</v>
      </c>
    </row>
    <row r="24" spans="2:26" x14ac:dyDescent="0.25">
      <c r="B24" s="237" t="s">
        <v>720</v>
      </c>
      <c r="C24" s="256">
        <v>0.2</v>
      </c>
      <c r="D24" s="239">
        <f t="shared" si="6"/>
        <v>219.4461</v>
      </c>
      <c r="E24" s="239">
        <f t="shared" si="6"/>
        <v>141.28976640000008</v>
      </c>
      <c r="F24" s="239">
        <f t="shared" si="6"/>
        <v>178.49544539999999</v>
      </c>
      <c r="G24" s="239">
        <f t="shared" si="6"/>
        <v>199.31198951423994</v>
      </c>
      <c r="H24" s="239">
        <f t="shared" si="6"/>
        <v>234.54423980198169</v>
      </c>
      <c r="I24" s="239">
        <f t="shared" si="6"/>
        <v>274.44769902737744</v>
      </c>
      <c r="J24" s="239">
        <f t="shared" si="6"/>
        <v>319.4569012265415</v>
      </c>
      <c r="K24" s="239">
        <f t="shared" si="6"/>
        <v>370.04311845914663</v>
      </c>
      <c r="L24" s="239">
        <f t="shared" si="6"/>
        <v>426.71746472358291</v>
      </c>
      <c r="M24" s="239">
        <f t="shared" si="6"/>
        <v>490.03427110540906</v>
      </c>
      <c r="N24" s="239">
        <f t="shared" si="6"/>
        <v>560.5947568249203</v>
      </c>
      <c r="O24" s="225">
        <v>579.30250000000012</v>
      </c>
      <c r="P24" s="225">
        <v>712.60140000000024</v>
      </c>
      <c r="Q24" s="225">
        <v>803.05921500000022</v>
      </c>
      <c r="R24" s="225">
        <v>902.17885800000022</v>
      </c>
      <c r="S24" s="225">
        <v>1010.7401222625004</v>
      </c>
      <c r="T24" s="225">
        <v>1129.5931013062504</v>
      </c>
      <c r="U24" s="225">
        <v>1259.6646669987192</v>
      </c>
      <c r="V24" s="225">
        <v>1401.9655594621695</v>
      </c>
      <c r="W24" s="225">
        <v>1557.5981477549678</v>
      </c>
      <c r="X24" s="225">
        <v>1727.7649260539406</v>
      </c>
      <c r="Y24" s="225">
        <v>1913.7778163965281</v>
      </c>
      <c r="Z24" s="225">
        <v>2117.0683559996555</v>
      </c>
    </row>
    <row r="25" spans="2:26" x14ac:dyDescent="0.25">
      <c r="B25" s="237" t="s">
        <v>721</v>
      </c>
      <c r="C25" s="256">
        <v>0.4</v>
      </c>
      <c r="D25" s="239">
        <f>CONPL!F16*0.03*0.4</f>
        <v>1.5667415662500006</v>
      </c>
      <c r="E25" s="239">
        <f>CONPL!G16*0.03*0.4</f>
        <v>2.3597533732500007</v>
      </c>
      <c r="F25" s="239">
        <f>CONPL!H16*0.03*0.4</f>
        <v>2.603314192500001</v>
      </c>
      <c r="G25" s="239">
        <f>CONPL!I16*0.03*0.4</f>
        <v>2.8636456117500013</v>
      </c>
      <c r="H25" s="239">
        <f>CONPL!J16*0.03*0.4</f>
        <v>3.1424246910000018</v>
      </c>
      <c r="I25" s="239">
        <f>CONPL!K16*0.03*0.4</f>
        <v>3.4414961962500024</v>
      </c>
      <c r="J25" s="239">
        <f>CONPL!L16*0.03*0.4</f>
        <v>3.7628893701000026</v>
      </c>
      <c r="K25" s="239">
        <f>CONPL!M16*0.03*0.4</f>
        <v>4.1088363794100031</v>
      </c>
      <c r="L25" s="239">
        <f>CONPL!N16*0.03*0.4</f>
        <v>4.4817926077260033</v>
      </c>
      <c r="M25" s="239">
        <f>CONPL!O16*0.03*0.4</f>
        <v>4.8844589769486042</v>
      </c>
      <c r="N25" s="239">
        <f>CONPL!P16*0.03*0.4</f>
        <v>5.3198065011684648</v>
      </c>
    </row>
    <row r="26" spans="2:26" x14ac:dyDescent="0.25">
      <c r="B26" s="237" t="s">
        <v>0</v>
      </c>
      <c r="C26" s="237"/>
      <c r="D26" s="239">
        <v>600.0903735615675</v>
      </c>
      <c r="E26" s="239">
        <v>521.6678763443432</v>
      </c>
      <c r="F26" s="239">
        <v>453.84732664581412</v>
      </c>
      <c r="G26" s="239">
        <v>395.15565281298507</v>
      </c>
      <c r="H26" s="239">
        <v>344.3288108597917</v>
      </c>
      <c r="I26" s="239">
        <v>300.28165755628112</v>
      </c>
      <c r="J26" s="239">
        <v>262.08221482242095</v>
      </c>
      <c r="K26" s="239">
        <v>228.9296802102057</v>
      </c>
      <c r="L26" s="239">
        <v>200.13563359531597</v>
      </c>
      <c r="M26" s="239">
        <v>175.10797139411355</v>
      </c>
      <c r="N26" s="239">
        <v>153.33716877715332</v>
      </c>
    </row>
    <row r="27" spans="2:26" x14ac:dyDescent="0.25">
      <c r="B27" s="237" t="s">
        <v>135</v>
      </c>
      <c r="C27" s="237"/>
      <c r="D27" s="239">
        <f>CONPL!F36</f>
        <v>38.748350000000009</v>
      </c>
      <c r="E27" s="239">
        <f>CONPL!G36</f>
        <v>278.16640000000007</v>
      </c>
      <c r="F27" s="239">
        <f>CONPL!H36</f>
        <v>254.84079999999997</v>
      </c>
      <c r="G27" s="239">
        <f>CONPL!I36</f>
        <v>230.61944</v>
      </c>
      <c r="H27" s="239">
        <f>CONPL!J36</f>
        <v>206.49599999999998</v>
      </c>
      <c r="I27" s="239">
        <f>CONPL!K36</f>
        <v>180.09599999999998</v>
      </c>
      <c r="J27" s="239">
        <f>CONPL!L36</f>
        <v>151.392</v>
      </c>
      <c r="K27" s="239">
        <f>CONPL!M36</f>
        <v>120.38399999999999</v>
      </c>
      <c r="L27" s="239">
        <f>CONPL!N36</f>
        <v>87.071999999999974</v>
      </c>
      <c r="M27" s="239">
        <f>CONPL!O36</f>
        <v>52.511999999999979</v>
      </c>
      <c r="N27" s="239">
        <f>CONPL!P36</f>
        <v>39.599999999999966</v>
      </c>
    </row>
    <row r="28" spans="2:26" x14ac:dyDescent="0.25">
      <c r="B28" s="237" t="s">
        <v>724</v>
      </c>
      <c r="C28" s="256">
        <v>0.2</v>
      </c>
      <c r="D28" s="258">
        <f t="shared" ref="D28:N28" si="8">O28-D17</f>
        <v>2128.7175625873133</v>
      </c>
      <c r="E28" s="258">
        <f t="shared" si="8"/>
        <v>2601.7899874688683</v>
      </c>
      <c r="F28" s="258">
        <f t="shared" si="8"/>
        <v>2900.1174292291635</v>
      </c>
      <c r="G28" s="258">
        <f t="shared" si="8"/>
        <v>3213.2764167625974</v>
      </c>
      <c r="H28" s="258">
        <f t="shared" si="8"/>
        <v>3546.8009404244585</v>
      </c>
      <c r="I28" s="258">
        <f t="shared" si="8"/>
        <v>3902.3330898225067</v>
      </c>
      <c r="J28" s="258">
        <f t="shared" si="8"/>
        <v>4281.7297869692302</v>
      </c>
      <c r="K28" s="258">
        <f t="shared" si="8"/>
        <v>4687.0766874174769</v>
      </c>
      <c r="L28" s="258">
        <f t="shared" si="8"/>
        <v>5120.7045427332341</v>
      </c>
      <c r="M28" s="258">
        <f t="shared" si="8"/>
        <v>5585.2081122995733</v>
      </c>
      <c r="N28" s="258">
        <f t="shared" si="8"/>
        <v>6083.4677444216868</v>
      </c>
      <c r="O28" s="216">
        <v>10643.58781293657</v>
      </c>
      <c r="P28" s="216">
        <v>13008.949937344345</v>
      </c>
      <c r="Q28" s="216">
        <v>14500.587146145821</v>
      </c>
      <c r="R28" s="216">
        <v>16066.382083812987</v>
      </c>
      <c r="S28" s="216">
        <v>17734.004702122293</v>
      </c>
      <c r="T28" s="216">
        <v>19511.665449112541</v>
      </c>
      <c r="U28" s="216">
        <v>21408.648934846151</v>
      </c>
      <c r="V28" s="216">
        <v>23435.383437087396</v>
      </c>
      <c r="W28" s="216">
        <v>25603.522713666171</v>
      </c>
      <c r="X28" s="216">
        <v>27926.040561497877</v>
      </c>
      <c r="Y28" s="216">
        <v>30417.338722108441</v>
      </c>
      <c r="Z28" s="216">
        <v>31850.59985838849</v>
      </c>
    </row>
    <row r="29" spans="2:26" x14ac:dyDescent="0.25">
      <c r="B29" s="237" t="s">
        <v>729</v>
      </c>
      <c r="C29" s="237"/>
      <c r="D29" s="258">
        <f>SUM(D22:D28)</f>
        <v>3178.105026308881</v>
      </c>
      <c r="E29" s="258">
        <f t="shared" ref="E29:N29" si="9">SUM(E22:E28)</f>
        <v>3735.6389350614618</v>
      </c>
      <c r="F29" s="258">
        <f t="shared" si="9"/>
        <v>3975.4474270174778</v>
      </c>
      <c r="G29" s="258">
        <f t="shared" si="9"/>
        <v>4227.4076517465728</v>
      </c>
      <c r="H29" s="258">
        <f t="shared" si="9"/>
        <v>4529.6615069172321</v>
      </c>
      <c r="I29" s="258">
        <f t="shared" si="9"/>
        <v>4881.4896511974148</v>
      </c>
      <c r="J29" s="258">
        <f t="shared" si="9"/>
        <v>5250.5694504782923</v>
      </c>
      <c r="K29" s="258">
        <f t="shared" si="9"/>
        <v>5665.0164281542393</v>
      </c>
      <c r="L29" s="258">
        <f t="shared" si="9"/>
        <v>6107.4982628729094</v>
      </c>
      <c r="M29" s="258">
        <f t="shared" si="9"/>
        <v>6591.1408449188366</v>
      </c>
      <c r="N29" s="258">
        <f t="shared" si="9"/>
        <v>7263.2588442516098</v>
      </c>
    </row>
    <row r="30" spans="2:26" x14ac:dyDescent="0.25">
      <c r="B30" s="237" t="s">
        <v>730</v>
      </c>
      <c r="C30" s="237"/>
      <c r="D30" s="259">
        <f>D29/D5</f>
        <v>0.41706157735494187</v>
      </c>
      <c r="E30" s="259">
        <f t="shared" ref="E30:N30" si="10">E29/E5</f>
        <v>0.27848482085862525</v>
      </c>
      <c r="F30" s="259">
        <f t="shared" si="10"/>
        <v>0.26832532407258275</v>
      </c>
      <c r="G30" s="259">
        <f t="shared" si="10"/>
        <v>0.25939230717045758</v>
      </c>
      <c r="H30" s="259">
        <f t="shared" si="10"/>
        <v>0.25352273813027354</v>
      </c>
      <c r="I30" s="259">
        <f t="shared" si="10"/>
        <v>0.24990772124761856</v>
      </c>
      <c r="J30" s="259">
        <f t="shared" si="10"/>
        <v>0.24643759195661694</v>
      </c>
      <c r="K30" s="259">
        <f t="shared" si="10"/>
        <v>0.24422745459547551</v>
      </c>
      <c r="L30" s="259">
        <f t="shared" si="10"/>
        <v>0.24222443298649235</v>
      </c>
      <c r="M30" s="259">
        <f t="shared" si="10"/>
        <v>0.24077736937278801</v>
      </c>
      <c r="N30" s="259">
        <f t="shared" si="10"/>
        <v>0.24463286106889198</v>
      </c>
    </row>
    <row r="31" spans="2:26" x14ac:dyDescent="0.25">
      <c r="B31" s="237" t="s">
        <v>731</v>
      </c>
      <c r="C31" s="237"/>
      <c r="D31" s="259">
        <f>D29/D19</f>
        <v>0.34069237821478288</v>
      </c>
      <c r="E31" s="259">
        <f t="shared" ref="E31:N31" si="11">E29/E19</f>
        <v>0.30730003829558189</v>
      </c>
      <c r="F31" s="259">
        <f t="shared" si="11"/>
        <v>0.29422906439177832</v>
      </c>
      <c r="G31" s="259">
        <f t="shared" si="11"/>
        <v>0.28164282604977303</v>
      </c>
      <c r="H31" s="259">
        <f t="shared" si="11"/>
        <v>0.27139402116464989</v>
      </c>
      <c r="I31" s="259">
        <f t="shared" si="11"/>
        <v>0.26723062726000707</v>
      </c>
      <c r="J31" s="259">
        <f t="shared" si="11"/>
        <v>0.26190741054557065</v>
      </c>
      <c r="K31" s="259">
        <f t="shared" si="11"/>
        <v>0.2603736209078068</v>
      </c>
      <c r="L31" s="259">
        <f t="shared" si="11"/>
        <v>0.25695048402794213</v>
      </c>
      <c r="M31" s="259">
        <f t="shared" si="11"/>
        <v>0.25428317523593091</v>
      </c>
      <c r="N31" s="259">
        <f t="shared" si="11"/>
        <v>0.25845207092109396</v>
      </c>
    </row>
    <row r="32" spans="2:26" x14ac:dyDescent="0.25">
      <c r="B32" s="237" t="s">
        <v>732</v>
      </c>
      <c r="C32" s="237"/>
      <c r="D32" s="239">
        <f>D5*D30</f>
        <v>3178.105026308881</v>
      </c>
      <c r="E32" s="239">
        <f t="shared" ref="E32:N32" si="12">E5*E30</f>
        <v>3735.6389350614613</v>
      </c>
      <c r="F32" s="239">
        <f t="shared" si="12"/>
        <v>3975.4474270174778</v>
      </c>
      <c r="G32" s="239">
        <f t="shared" si="12"/>
        <v>4227.4076517465728</v>
      </c>
      <c r="H32" s="239">
        <f t="shared" si="12"/>
        <v>4529.6615069172321</v>
      </c>
      <c r="I32" s="239">
        <f t="shared" si="12"/>
        <v>4881.4896511974148</v>
      </c>
      <c r="J32" s="239">
        <f t="shared" si="12"/>
        <v>5250.5694504782923</v>
      </c>
      <c r="K32" s="239">
        <f t="shared" si="12"/>
        <v>5665.0164281542393</v>
      </c>
      <c r="L32" s="239">
        <f t="shared" si="12"/>
        <v>6107.4982628729094</v>
      </c>
      <c r="M32" s="239">
        <f t="shared" si="12"/>
        <v>6591.1408449188366</v>
      </c>
      <c r="N32" s="239">
        <f t="shared" si="12"/>
        <v>7263.2588442516098</v>
      </c>
    </row>
  </sheetData>
  <mergeCells count="1">
    <mergeCell ref="B2:C2"/>
  </mergeCells>
  <pageMargins left="0.7" right="0.7" top="0.75" bottom="0.7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31" zoomScaleNormal="100" workbookViewId="0">
      <selection activeCell="G43" sqref="G43"/>
    </sheetView>
  </sheetViews>
  <sheetFormatPr defaultRowHeight="15" x14ac:dyDescent="0.25"/>
  <cols>
    <col min="1" max="1" width="3" style="216" bestFit="1" customWidth="1"/>
    <col min="2" max="2" width="32.42578125" style="216" bestFit="1" customWidth="1"/>
    <col min="3" max="3" width="9.28515625" style="216" bestFit="1" customWidth="1"/>
    <col min="4" max="5" width="8.42578125" style="216" bestFit="1" customWidth="1"/>
    <col min="6" max="7" width="7.7109375" style="216" bestFit="1" customWidth="1"/>
    <col min="8" max="16" width="8.5703125" style="216" bestFit="1" customWidth="1"/>
    <col min="17" max="17" width="9.140625" style="216"/>
    <col min="18" max="20" width="0" style="216" hidden="1" customWidth="1"/>
    <col min="21" max="16384" width="9.140625" style="216"/>
  </cols>
  <sheetData>
    <row r="1" spans="1:20" x14ac:dyDescent="0.25">
      <c r="A1" s="506" t="s">
        <v>832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</row>
    <row r="2" spans="1:20" x14ac:dyDescent="0.25">
      <c r="A2" s="506" t="s">
        <v>87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</row>
    <row r="4" spans="1:20" x14ac:dyDescent="0.25">
      <c r="A4" s="505" t="s">
        <v>109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</row>
    <row r="5" spans="1:20" ht="15.75" thickBot="1" x14ac:dyDescent="0.3">
      <c r="A5" s="420"/>
      <c r="B5" s="420" t="s">
        <v>709</v>
      </c>
      <c r="C5" s="344" t="s">
        <v>110</v>
      </c>
      <c r="D5" s="344" t="s">
        <v>49</v>
      </c>
      <c r="E5" s="344" t="s">
        <v>50</v>
      </c>
      <c r="F5" s="344" t="s">
        <v>51</v>
      </c>
      <c r="G5" s="344" t="s">
        <v>52</v>
      </c>
      <c r="H5" s="344" t="s">
        <v>53</v>
      </c>
      <c r="I5" s="344" t="s">
        <v>54</v>
      </c>
      <c r="J5" s="344" t="s">
        <v>55</v>
      </c>
      <c r="K5" s="344" t="s">
        <v>56</v>
      </c>
      <c r="L5" s="344" t="s">
        <v>57</v>
      </c>
      <c r="M5" s="344" t="s">
        <v>62</v>
      </c>
      <c r="N5" s="344" t="s">
        <v>63</v>
      </c>
      <c r="O5" s="344" t="s">
        <v>64</v>
      </c>
      <c r="P5" s="344" t="s">
        <v>65</v>
      </c>
    </row>
    <row r="6" spans="1:20" ht="15.75" thickTop="1" x14ac:dyDescent="0.25"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</row>
    <row r="7" spans="1:20" x14ac:dyDescent="0.25">
      <c r="A7" s="218">
        <v>1</v>
      </c>
      <c r="B7" s="216" t="s">
        <v>32</v>
      </c>
      <c r="C7" s="225">
        <v>5074.8100000000004</v>
      </c>
      <c r="D7" s="225">
        <v>6000</v>
      </c>
      <c r="E7" s="225">
        <f>D7*1.1</f>
        <v>6600.0000000000009</v>
      </c>
      <c r="F7" s="225">
        <f t="shared" ref="F7:P7" si="0">E7*1.1</f>
        <v>7260.0000000000018</v>
      </c>
      <c r="G7" s="225">
        <f t="shared" si="0"/>
        <v>7986.0000000000027</v>
      </c>
      <c r="H7" s="225">
        <f t="shared" si="0"/>
        <v>8784.600000000004</v>
      </c>
      <c r="I7" s="225">
        <f t="shared" si="0"/>
        <v>9663.0600000000049</v>
      </c>
      <c r="J7" s="225">
        <f t="shared" si="0"/>
        <v>10629.366000000005</v>
      </c>
      <c r="K7" s="225">
        <f t="shared" si="0"/>
        <v>11692.302600000006</v>
      </c>
      <c r="L7" s="225">
        <f t="shared" si="0"/>
        <v>12861.532860000008</v>
      </c>
      <c r="M7" s="225">
        <f t="shared" si="0"/>
        <v>14147.686146000011</v>
      </c>
      <c r="N7" s="225">
        <f t="shared" si="0"/>
        <v>15562.454760600012</v>
      </c>
      <c r="O7" s="225">
        <f t="shared" si="0"/>
        <v>17118.700236660014</v>
      </c>
      <c r="P7" s="225">
        <f t="shared" si="0"/>
        <v>18830.570260326018</v>
      </c>
      <c r="Q7" s="225"/>
      <c r="R7" s="225"/>
      <c r="S7" s="225"/>
      <c r="T7" s="225"/>
    </row>
    <row r="8" spans="1:20" x14ac:dyDescent="0.25">
      <c r="A8" s="218"/>
      <c r="B8" s="216" t="s">
        <v>6</v>
      </c>
      <c r="C8" s="225">
        <v>0.14000000000000001</v>
      </c>
      <c r="D8" s="225">
        <v>5</v>
      </c>
      <c r="E8" s="225">
        <f>D8*1.1</f>
        <v>5.5</v>
      </c>
      <c r="F8" s="225">
        <f t="shared" ref="F8:P8" si="1">E8*1.1</f>
        <v>6.0500000000000007</v>
      </c>
      <c r="G8" s="225">
        <f t="shared" si="1"/>
        <v>6.6550000000000011</v>
      </c>
      <c r="H8" s="225">
        <f t="shared" si="1"/>
        <v>7.3205000000000018</v>
      </c>
      <c r="I8" s="225">
        <f t="shared" si="1"/>
        <v>8.0525500000000019</v>
      </c>
      <c r="J8" s="225">
        <f t="shared" si="1"/>
        <v>8.8578050000000026</v>
      </c>
      <c r="K8" s="225">
        <f t="shared" si="1"/>
        <v>9.7435855000000036</v>
      </c>
      <c r="L8" s="225">
        <f t="shared" si="1"/>
        <v>10.717944050000005</v>
      </c>
      <c r="M8" s="225">
        <f t="shared" si="1"/>
        <v>11.789738455000007</v>
      </c>
      <c r="N8" s="225">
        <f t="shared" si="1"/>
        <v>12.968712300500009</v>
      </c>
      <c r="O8" s="225">
        <f t="shared" si="1"/>
        <v>14.26558353055001</v>
      </c>
      <c r="P8" s="225">
        <f t="shared" si="1"/>
        <v>15.692141883605013</v>
      </c>
      <c r="Q8" s="225"/>
      <c r="R8" s="225"/>
      <c r="S8" s="225"/>
      <c r="T8" s="225"/>
    </row>
    <row r="9" spans="1:20" x14ac:dyDescent="0.25"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</row>
    <row r="10" spans="1:20" ht="15.75" thickBot="1" x14ac:dyDescent="0.3">
      <c r="A10" s="251"/>
      <c r="B10" s="251" t="s">
        <v>7</v>
      </c>
      <c r="C10" s="421">
        <f>SUM(C7:C8)</f>
        <v>5074.9500000000007</v>
      </c>
      <c r="D10" s="421">
        <f>SUM(D7:D8)</f>
        <v>6005</v>
      </c>
      <c r="E10" s="421">
        <f t="shared" ref="E10:P10" si="2">SUM(E7:E8)</f>
        <v>6605.5000000000009</v>
      </c>
      <c r="F10" s="421">
        <f t="shared" si="2"/>
        <v>7266.050000000002</v>
      </c>
      <c r="G10" s="421">
        <f t="shared" si="2"/>
        <v>7992.6550000000025</v>
      </c>
      <c r="H10" s="421">
        <f t="shared" si="2"/>
        <v>8791.9205000000038</v>
      </c>
      <c r="I10" s="421">
        <f t="shared" si="2"/>
        <v>9671.1125500000053</v>
      </c>
      <c r="J10" s="421">
        <f t="shared" si="2"/>
        <v>10638.223805000005</v>
      </c>
      <c r="K10" s="421">
        <f t="shared" si="2"/>
        <v>11702.046185500007</v>
      </c>
      <c r="L10" s="421">
        <f t="shared" si="2"/>
        <v>12872.250804050009</v>
      </c>
      <c r="M10" s="421">
        <f t="shared" si="2"/>
        <v>14159.475884455011</v>
      </c>
      <c r="N10" s="421">
        <f t="shared" si="2"/>
        <v>15575.423472900513</v>
      </c>
      <c r="O10" s="421">
        <f t="shared" si="2"/>
        <v>17132.965820190562</v>
      </c>
      <c r="P10" s="421">
        <f t="shared" si="2"/>
        <v>18846.262402209624</v>
      </c>
      <c r="Q10" s="225"/>
      <c r="R10" s="225"/>
      <c r="S10" s="225"/>
      <c r="T10" s="225"/>
    </row>
    <row r="11" spans="1:20" ht="15.75" thickTop="1" x14ac:dyDescent="0.25">
      <c r="A11" s="218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</row>
    <row r="12" spans="1:20" x14ac:dyDescent="0.25">
      <c r="A12" s="218">
        <v>2</v>
      </c>
      <c r="B12" s="216" t="s">
        <v>8</v>
      </c>
      <c r="C12" s="4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</row>
    <row r="13" spans="1:20" x14ac:dyDescent="0.25">
      <c r="A13" s="218" t="s">
        <v>9</v>
      </c>
      <c r="B13" s="216" t="s">
        <v>34</v>
      </c>
      <c r="C13" s="225">
        <f>4016.35+9.63</f>
        <v>4025.98</v>
      </c>
      <c r="D13" s="225">
        <f>D7*80%</f>
        <v>4800</v>
      </c>
      <c r="E13" s="225">
        <f t="shared" ref="E13:P13" si="3">E7*80%</f>
        <v>5280.0000000000009</v>
      </c>
      <c r="F13" s="225">
        <f t="shared" si="3"/>
        <v>5808.0000000000018</v>
      </c>
      <c r="G13" s="225">
        <f t="shared" si="3"/>
        <v>6388.8000000000029</v>
      </c>
      <c r="H13" s="225">
        <f t="shared" si="3"/>
        <v>7027.6800000000039</v>
      </c>
      <c r="I13" s="225">
        <f t="shared" si="3"/>
        <v>7730.448000000004</v>
      </c>
      <c r="J13" s="225">
        <f t="shared" si="3"/>
        <v>8503.4928000000054</v>
      </c>
      <c r="K13" s="225">
        <f t="shared" si="3"/>
        <v>9353.8420800000058</v>
      </c>
      <c r="L13" s="225">
        <f t="shared" si="3"/>
        <v>10289.226288000007</v>
      </c>
      <c r="M13" s="225">
        <f t="shared" si="3"/>
        <v>11318.14891680001</v>
      </c>
      <c r="N13" s="225">
        <f t="shared" si="3"/>
        <v>12449.96380848001</v>
      </c>
      <c r="O13" s="225">
        <f t="shared" si="3"/>
        <v>13694.960189328012</v>
      </c>
      <c r="P13" s="225">
        <f t="shared" si="3"/>
        <v>15064.456208260815</v>
      </c>
      <c r="Q13" s="225"/>
      <c r="R13" s="225">
        <f>C13/C7*100</f>
        <v>79.332625260847195</v>
      </c>
      <c r="S13" s="225"/>
      <c r="T13" s="225"/>
    </row>
    <row r="14" spans="1:20" x14ac:dyDescent="0.25">
      <c r="A14" s="218" t="s">
        <v>11</v>
      </c>
      <c r="B14" s="216" t="s">
        <v>10</v>
      </c>
      <c r="C14" s="225">
        <v>211.5</v>
      </c>
      <c r="D14" s="225">
        <f>D7*6%</f>
        <v>360</v>
      </c>
      <c r="E14" s="225">
        <f t="shared" ref="E14:P14" si="4">E7*6%</f>
        <v>396.00000000000006</v>
      </c>
      <c r="F14" s="225">
        <f t="shared" si="4"/>
        <v>435.60000000000008</v>
      </c>
      <c r="G14" s="225">
        <f t="shared" si="4"/>
        <v>479.16000000000014</v>
      </c>
      <c r="H14" s="225">
        <f t="shared" si="4"/>
        <v>527.07600000000025</v>
      </c>
      <c r="I14" s="225">
        <f t="shared" si="4"/>
        <v>579.78360000000032</v>
      </c>
      <c r="J14" s="225">
        <f t="shared" si="4"/>
        <v>637.76196000000027</v>
      </c>
      <c r="K14" s="225">
        <f t="shared" si="4"/>
        <v>701.5381560000003</v>
      </c>
      <c r="L14" s="225">
        <f t="shared" si="4"/>
        <v>771.69197160000044</v>
      </c>
      <c r="M14" s="225">
        <f t="shared" si="4"/>
        <v>848.86116876000062</v>
      </c>
      <c r="N14" s="225">
        <f t="shared" si="4"/>
        <v>933.7472856360007</v>
      </c>
      <c r="O14" s="225">
        <f t="shared" si="4"/>
        <v>1027.1220141996007</v>
      </c>
      <c r="P14" s="225">
        <f t="shared" si="4"/>
        <v>1129.8342156195611</v>
      </c>
      <c r="Q14" s="225"/>
      <c r="R14" s="225">
        <f>C14/C7*100</f>
        <v>4.1676437147400591</v>
      </c>
      <c r="S14" s="225"/>
      <c r="T14" s="225"/>
    </row>
    <row r="15" spans="1:20" x14ac:dyDescent="0.25">
      <c r="A15" s="218" t="s">
        <v>13</v>
      </c>
      <c r="B15" s="216" t="s">
        <v>12</v>
      </c>
      <c r="C15" s="225">
        <v>71.92</v>
      </c>
      <c r="D15" s="225">
        <f>D7*1.5%</f>
        <v>90</v>
      </c>
      <c r="E15" s="225">
        <f t="shared" ref="E15:P15" si="5">E7*1.5%</f>
        <v>99.000000000000014</v>
      </c>
      <c r="F15" s="225">
        <f t="shared" si="5"/>
        <v>108.90000000000002</v>
      </c>
      <c r="G15" s="225">
        <f t="shared" si="5"/>
        <v>119.79000000000003</v>
      </c>
      <c r="H15" s="225">
        <f t="shared" si="5"/>
        <v>131.76900000000006</v>
      </c>
      <c r="I15" s="225">
        <f t="shared" si="5"/>
        <v>144.94590000000008</v>
      </c>
      <c r="J15" s="225">
        <f t="shared" si="5"/>
        <v>159.44049000000007</v>
      </c>
      <c r="K15" s="225">
        <f t="shared" si="5"/>
        <v>175.38453900000007</v>
      </c>
      <c r="L15" s="225">
        <f t="shared" si="5"/>
        <v>192.92299290000011</v>
      </c>
      <c r="M15" s="225">
        <f t="shared" si="5"/>
        <v>212.21529219000016</v>
      </c>
      <c r="N15" s="225">
        <f t="shared" si="5"/>
        <v>233.43682140900017</v>
      </c>
      <c r="O15" s="225">
        <f t="shared" si="5"/>
        <v>256.78050354990017</v>
      </c>
      <c r="P15" s="225">
        <f t="shared" si="5"/>
        <v>282.45855390489027</v>
      </c>
      <c r="Q15" s="225"/>
      <c r="R15" s="225">
        <f>C15/C7*100</f>
        <v>1.4171959147239008</v>
      </c>
      <c r="S15" s="225"/>
      <c r="T15" s="225"/>
    </row>
    <row r="16" spans="1:20" x14ac:dyDescent="0.25">
      <c r="A16" s="218" t="s">
        <v>14</v>
      </c>
      <c r="B16" s="216" t="s">
        <v>35</v>
      </c>
      <c r="C16" s="225">
        <f>14.2+45.75+5.93+49.8</f>
        <v>115.67999999999999</v>
      </c>
      <c r="D16" s="225">
        <f>D7*1.75%</f>
        <v>105.00000000000001</v>
      </c>
      <c r="E16" s="225">
        <f t="shared" ref="E16:P16" si="6">E7*1.75%</f>
        <v>115.50000000000003</v>
      </c>
      <c r="F16" s="225">
        <f t="shared" si="6"/>
        <v>127.05000000000004</v>
      </c>
      <c r="G16" s="225">
        <f t="shared" si="6"/>
        <v>139.75500000000005</v>
      </c>
      <c r="H16" s="225">
        <f t="shared" si="6"/>
        <v>153.73050000000009</v>
      </c>
      <c r="I16" s="225">
        <f t="shared" si="6"/>
        <v>169.1035500000001</v>
      </c>
      <c r="J16" s="225">
        <f t="shared" si="6"/>
        <v>186.01390500000011</v>
      </c>
      <c r="K16" s="225">
        <f t="shared" si="6"/>
        <v>204.61529550000014</v>
      </c>
      <c r="L16" s="225">
        <f t="shared" si="6"/>
        <v>225.07682505000017</v>
      </c>
      <c r="M16" s="225">
        <f t="shared" si="6"/>
        <v>247.58450755500022</v>
      </c>
      <c r="N16" s="225">
        <f t="shared" si="6"/>
        <v>272.34295831050025</v>
      </c>
      <c r="O16" s="225">
        <f t="shared" si="6"/>
        <v>299.57725414155027</v>
      </c>
      <c r="P16" s="225">
        <f t="shared" si="6"/>
        <v>329.53497955570532</v>
      </c>
      <c r="Q16" s="225"/>
      <c r="R16" s="225">
        <f>C16/C7*100</f>
        <v>2.2794942076649169</v>
      </c>
      <c r="S16" s="225"/>
      <c r="T16" s="225"/>
    </row>
    <row r="17" spans="1:20" x14ac:dyDescent="0.25">
      <c r="A17" s="218" t="s">
        <v>33</v>
      </c>
      <c r="B17" s="216" t="s">
        <v>0</v>
      </c>
      <c r="C17" s="422">
        <v>91.36</v>
      </c>
      <c r="D17" s="422">
        <f ca="1">'Dep(Existing)'!E49</f>
        <v>92.868498023715404</v>
      </c>
      <c r="E17" s="422">
        <f ca="1">'Dep(Existing)'!F49</f>
        <v>82.500885812932552</v>
      </c>
      <c r="F17" s="422">
        <f ca="1">'Dep(Existing)'!G49</f>
        <v>73.326873561567453</v>
      </c>
      <c r="G17" s="422">
        <f ca="1">'Dep(Existing)'!H49</f>
        <v>65.205201344343251</v>
      </c>
      <c r="H17" s="422">
        <f ca="1">'Dep(Existing)'!I49</f>
        <v>58.011722895814124</v>
      </c>
      <c r="I17" s="422">
        <f ca="1">'Dep(Existing)'!J49</f>
        <v>51.637292625485003</v>
      </c>
      <c r="J17" s="422">
        <f ca="1">'Dep(Existing)'!K49</f>
        <v>45.985917400416703</v>
      </c>
      <c r="K17" s="422">
        <f ca="1">'Dep(Existing)'!L49</f>
        <v>40.973139545812316</v>
      </c>
      <c r="L17" s="422">
        <f ca="1">'Dep(Existing)'!M49</f>
        <v>36.524621800522539</v>
      </c>
      <c r="M17" s="422">
        <f ca="1">'Dep(Existing)'!N49</f>
        <v>32.574908699892006</v>
      </c>
      <c r="N17" s="422">
        <f ca="1">'Dep(Existing)'!O49</f>
        <v>29.066342114019346</v>
      </c>
      <c r="O17" s="422">
        <f ca="1">'Dep(Existing)'!P49</f>
        <v>25.948111507234408</v>
      </c>
      <c r="P17" s="422">
        <f ca="1">'Dep(Existing)'!Q49</f>
        <v>23.175421958306774</v>
      </c>
      <c r="Q17" s="225"/>
      <c r="R17" s="225"/>
      <c r="S17" s="225"/>
      <c r="T17" s="225"/>
    </row>
    <row r="18" spans="1:20" x14ac:dyDescent="0.25">
      <c r="C18" s="225">
        <f>SUM(C13:C17)</f>
        <v>4516.4399999999996</v>
      </c>
      <c r="D18" s="475">
        <f ca="1">SUM(D13:D17)</f>
        <v>5447.8684980237158</v>
      </c>
      <c r="E18" s="475">
        <f t="shared" ref="E18:P18" ca="1" si="7">SUM(E13:E17)</f>
        <v>5973.0008858129331</v>
      </c>
      <c r="F18" s="475">
        <f t="shared" ca="1" si="7"/>
        <v>6552.8768735615695</v>
      </c>
      <c r="G18" s="475">
        <f t="shared" ca="1" si="7"/>
        <v>7192.7102013443464</v>
      </c>
      <c r="H18" s="475">
        <f t="shared" ca="1" si="7"/>
        <v>7898.2672228958181</v>
      </c>
      <c r="I18" s="475">
        <f t="shared" ca="1" si="7"/>
        <v>8675.9183426254895</v>
      </c>
      <c r="J18" s="475">
        <f t="shared" ca="1" si="7"/>
        <v>9532.6950724004219</v>
      </c>
      <c r="K18" s="475">
        <f t="shared" ca="1" si="7"/>
        <v>10476.35321004582</v>
      </c>
      <c r="L18" s="475">
        <f t="shared" ca="1" si="7"/>
        <v>11515.442699350531</v>
      </c>
      <c r="M18" s="475">
        <f t="shared" ca="1" si="7"/>
        <v>12659.384794004902</v>
      </c>
      <c r="N18" s="475">
        <f t="shared" ca="1" si="7"/>
        <v>13918.557215949531</v>
      </c>
      <c r="O18" s="475">
        <f t="shared" ca="1" si="7"/>
        <v>15304.388072726297</v>
      </c>
      <c r="P18" s="475">
        <f t="shared" ca="1" si="7"/>
        <v>16829.459379299278</v>
      </c>
      <c r="Q18" s="225"/>
      <c r="R18" s="225"/>
      <c r="S18" s="225"/>
      <c r="T18" s="225"/>
    </row>
    <row r="19" spans="1:20" x14ac:dyDescent="0.25">
      <c r="B19" s="216" t="s">
        <v>733</v>
      </c>
      <c r="C19" s="225">
        <v>480.82</v>
      </c>
      <c r="D19" s="225">
        <f>C24</f>
        <v>247.01</v>
      </c>
      <c r="E19" s="225">
        <f t="shared" ref="E19:P19" si="8">D24</f>
        <v>200</v>
      </c>
      <c r="F19" s="225">
        <f t="shared" si="8"/>
        <v>220.00000000000003</v>
      </c>
      <c r="G19" s="225">
        <f t="shared" si="8"/>
        <v>242.00000000000006</v>
      </c>
      <c r="H19" s="225">
        <f t="shared" si="8"/>
        <v>266.2000000000001</v>
      </c>
      <c r="I19" s="225">
        <f t="shared" si="8"/>
        <v>292.82000000000016</v>
      </c>
      <c r="J19" s="225">
        <f t="shared" si="8"/>
        <v>322.1020000000002</v>
      </c>
      <c r="K19" s="225">
        <f t="shared" si="8"/>
        <v>354.31220000000025</v>
      </c>
      <c r="L19" s="225">
        <f t="shared" si="8"/>
        <v>389.7434200000003</v>
      </c>
      <c r="M19" s="225">
        <f t="shared" si="8"/>
        <v>428.71776200000039</v>
      </c>
      <c r="N19" s="225">
        <f t="shared" si="8"/>
        <v>471.58953820000045</v>
      </c>
      <c r="O19" s="225">
        <f t="shared" si="8"/>
        <v>518.74849202000053</v>
      </c>
      <c r="P19" s="225">
        <f t="shared" si="8"/>
        <v>570.62334122200059</v>
      </c>
      <c r="Q19" s="225"/>
      <c r="R19" s="225"/>
      <c r="S19" s="225"/>
      <c r="T19" s="225"/>
    </row>
    <row r="20" spans="1:20" x14ac:dyDescent="0.25">
      <c r="B20" s="216" t="s">
        <v>734</v>
      </c>
      <c r="C20" s="225">
        <v>0</v>
      </c>
      <c r="D20" s="225">
        <v>0</v>
      </c>
      <c r="E20" s="225">
        <v>0</v>
      </c>
      <c r="F20" s="225">
        <v>0</v>
      </c>
      <c r="G20" s="225">
        <v>0</v>
      </c>
      <c r="H20" s="225">
        <v>0</v>
      </c>
      <c r="I20" s="225">
        <v>0</v>
      </c>
      <c r="J20" s="225">
        <v>0</v>
      </c>
      <c r="K20" s="225">
        <v>0</v>
      </c>
      <c r="L20" s="225">
        <v>0</v>
      </c>
      <c r="M20" s="225">
        <v>0</v>
      </c>
      <c r="N20" s="225">
        <v>0</v>
      </c>
      <c r="O20" s="225">
        <v>0</v>
      </c>
      <c r="P20" s="225">
        <v>0</v>
      </c>
      <c r="Q20" s="225"/>
      <c r="R20" s="225"/>
      <c r="S20" s="225"/>
      <c r="T20" s="225"/>
    </row>
    <row r="21" spans="1:20" x14ac:dyDescent="0.25">
      <c r="B21" s="216" t="s">
        <v>92</v>
      </c>
      <c r="C21" s="225">
        <v>0</v>
      </c>
      <c r="D21" s="225">
        <f t="shared" ref="D21:P22" si="9">C26</f>
        <v>0</v>
      </c>
      <c r="E21" s="225">
        <f t="shared" si="9"/>
        <v>200</v>
      </c>
      <c r="F21" s="225">
        <f t="shared" si="9"/>
        <v>220.00000000000003</v>
      </c>
      <c r="G21" s="225">
        <f t="shared" si="9"/>
        <v>242.00000000000006</v>
      </c>
      <c r="H21" s="225">
        <f t="shared" si="9"/>
        <v>266.2000000000001</v>
      </c>
      <c r="I21" s="225">
        <f t="shared" si="9"/>
        <v>292.82000000000016</v>
      </c>
      <c r="J21" s="225">
        <f t="shared" si="9"/>
        <v>322.1020000000002</v>
      </c>
      <c r="K21" s="225">
        <f t="shared" si="9"/>
        <v>354.31220000000025</v>
      </c>
      <c r="L21" s="225">
        <f t="shared" si="9"/>
        <v>389.7434200000003</v>
      </c>
      <c r="M21" s="225">
        <f t="shared" si="9"/>
        <v>428.71776200000039</v>
      </c>
      <c r="N21" s="225">
        <f t="shared" si="9"/>
        <v>471.58953820000045</v>
      </c>
      <c r="O21" s="225">
        <f t="shared" si="9"/>
        <v>518.74849202000053</v>
      </c>
      <c r="P21" s="225">
        <f t="shared" si="9"/>
        <v>570.62334122200059</v>
      </c>
      <c r="Q21" s="225"/>
      <c r="R21" s="225"/>
      <c r="S21" s="225"/>
      <c r="T21" s="225"/>
    </row>
    <row r="22" spans="1:20" x14ac:dyDescent="0.25">
      <c r="B22" s="216" t="s">
        <v>91</v>
      </c>
      <c r="C22" s="422">
        <v>0</v>
      </c>
      <c r="D22" s="422">
        <f t="shared" si="9"/>
        <v>269.64999999999998</v>
      </c>
      <c r="E22" s="422">
        <f t="shared" si="9"/>
        <v>300</v>
      </c>
      <c r="F22" s="422">
        <f t="shared" si="9"/>
        <v>330</v>
      </c>
      <c r="G22" s="422">
        <f t="shared" si="9"/>
        <v>363.00000000000006</v>
      </c>
      <c r="H22" s="422">
        <f t="shared" si="9"/>
        <v>399.30000000000007</v>
      </c>
      <c r="I22" s="422">
        <f t="shared" si="9"/>
        <v>439.23000000000013</v>
      </c>
      <c r="J22" s="422">
        <f t="shared" si="9"/>
        <v>483.15300000000019</v>
      </c>
      <c r="K22" s="422">
        <f t="shared" si="9"/>
        <v>531.46830000000023</v>
      </c>
      <c r="L22" s="422">
        <f t="shared" si="9"/>
        <v>584.61513000000025</v>
      </c>
      <c r="M22" s="422">
        <f t="shared" si="9"/>
        <v>643.07664300000033</v>
      </c>
      <c r="N22" s="422">
        <f t="shared" si="9"/>
        <v>707.38430730000039</v>
      </c>
      <c r="O22" s="422">
        <f t="shared" si="9"/>
        <v>778.12273803000051</v>
      </c>
      <c r="P22" s="422">
        <f t="shared" si="9"/>
        <v>855.93501183300066</v>
      </c>
      <c r="Q22" s="225"/>
      <c r="R22" s="225"/>
      <c r="S22" s="225"/>
      <c r="T22" s="225"/>
    </row>
    <row r="23" spans="1:20" x14ac:dyDescent="0.25">
      <c r="C23" s="475">
        <f t="shared" ref="C23:P23" si="10">SUM(C18:C22)</f>
        <v>4997.2599999999993</v>
      </c>
      <c r="D23" s="475">
        <f ca="1">SUM(D18:D22)</f>
        <v>5964.5284980237157</v>
      </c>
      <c r="E23" s="475">
        <f t="shared" ca="1" si="10"/>
        <v>6673.0008858129331</v>
      </c>
      <c r="F23" s="475">
        <f t="shared" ca="1" si="10"/>
        <v>7322.8768735615695</v>
      </c>
      <c r="G23" s="475">
        <f t="shared" ca="1" si="10"/>
        <v>8039.7102013443464</v>
      </c>
      <c r="H23" s="475">
        <f t="shared" ca="1" si="10"/>
        <v>8829.967222895817</v>
      </c>
      <c r="I23" s="475">
        <f t="shared" ca="1" si="10"/>
        <v>9700.7883426254884</v>
      </c>
      <c r="J23" s="475">
        <f t="shared" ca="1" si="10"/>
        <v>10660.052072400424</v>
      </c>
      <c r="K23" s="475">
        <f t="shared" ca="1" si="10"/>
        <v>11716.445910045821</v>
      </c>
      <c r="L23" s="475">
        <f t="shared" ca="1" si="10"/>
        <v>12879.544669350533</v>
      </c>
      <c r="M23" s="475">
        <f t="shared" ca="1" si="10"/>
        <v>14159.896961004903</v>
      </c>
      <c r="N23" s="475">
        <f t="shared" ca="1" si="10"/>
        <v>15569.120599649532</v>
      </c>
      <c r="O23" s="475">
        <f t="shared" ca="1" si="10"/>
        <v>17120.007794796296</v>
      </c>
      <c r="P23" s="475">
        <f t="shared" ca="1" si="10"/>
        <v>18826.641073576277</v>
      </c>
      <c r="Q23" s="225"/>
      <c r="R23" s="225"/>
      <c r="S23" s="225"/>
      <c r="T23" s="225"/>
    </row>
    <row r="24" spans="1:20" x14ac:dyDescent="0.25">
      <c r="B24" s="216" t="s">
        <v>828</v>
      </c>
      <c r="C24" s="225">
        <v>247.01</v>
      </c>
      <c r="D24" s="225">
        <v>200</v>
      </c>
      <c r="E24" s="225">
        <f>D24*1.1</f>
        <v>220.00000000000003</v>
      </c>
      <c r="F24" s="225">
        <f t="shared" ref="F24:P24" si="11">E24*1.1</f>
        <v>242.00000000000006</v>
      </c>
      <c r="G24" s="225">
        <f t="shared" si="11"/>
        <v>266.2000000000001</v>
      </c>
      <c r="H24" s="225">
        <f t="shared" si="11"/>
        <v>292.82000000000016</v>
      </c>
      <c r="I24" s="225">
        <f t="shared" si="11"/>
        <v>322.1020000000002</v>
      </c>
      <c r="J24" s="225">
        <f t="shared" si="11"/>
        <v>354.31220000000025</v>
      </c>
      <c r="K24" s="225">
        <f t="shared" si="11"/>
        <v>389.7434200000003</v>
      </c>
      <c r="L24" s="225">
        <f t="shared" si="11"/>
        <v>428.71776200000039</v>
      </c>
      <c r="M24" s="225">
        <f t="shared" si="11"/>
        <v>471.58953820000045</v>
      </c>
      <c r="N24" s="225">
        <f t="shared" si="11"/>
        <v>518.74849202000053</v>
      </c>
      <c r="O24" s="225">
        <f t="shared" si="11"/>
        <v>570.62334122200059</v>
      </c>
      <c r="P24" s="225">
        <f t="shared" si="11"/>
        <v>627.68567534420072</v>
      </c>
      <c r="Q24" s="225"/>
      <c r="R24" s="225"/>
      <c r="S24" s="225">
        <f>480.82+C13-C24</f>
        <v>4259.79</v>
      </c>
      <c r="T24" s="225"/>
    </row>
    <row r="25" spans="1:20" x14ac:dyDescent="0.25">
      <c r="B25" s="216" t="s">
        <v>735</v>
      </c>
      <c r="C25" s="225">
        <v>0</v>
      </c>
      <c r="D25" s="225">
        <v>0</v>
      </c>
      <c r="E25" s="225">
        <v>0</v>
      </c>
      <c r="F25" s="225">
        <v>0</v>
      </c>
      <c r="G25" s="225">
        <v>0</v>
      </c>
      <c r="H25" s="225">
        <v>0</v>
      </c>
      <c r="I25" s="225">
        <v>0</v>
      </c>
      <c r="J25" s="225">
        <v>0</v>
      </c>
      <c r="K25" s="225">
        <v>0</v>
      </c>
      <c r="L25" s="225">
        <v>0</v>
      </c>
      <c r="M25" s="225">
        <v>0</v>
      </c>
      <c r="N25" s="225">
        <v>0</v>
      </c>
      <c r="O25" s="225">
        <v>0</v>
      </c>
      <c r="P25" s="225">
        <v>0</v>
      </c>
      <c r="Q25" s="225"/>
      <c r="R25" s="225"/>
      <c r="S25" s="225"/>
      <c r="T25" s="225"/>
    </row>
    <row r="26" spans="1:20" x14ac:dyDescent="0.25">
      <c r="A26" s="218"/>
      <c r="B26" s="216" t="s">
        <v>93</v>
      </c>
      <c r="C26" s="225">
        <v>0</v>
      </c>
      <c r="D26" s="225">
        <v>200</v>
      </c>
      <c r="E26" s="225">
        <f t="shared" ref="E26:P27" si="12">D26*1.1</f>
        <v>220.00000000000003</v>
      </c>
      <c r="F26" s="225">
        <f t="shared" si="12"/>
        <v>242.00000000000006</v>
      </c>
      <c r="G26" s="225">
        <f t="shared" si="12"/>
        <v>266.2000000000001</v>
      </c>
      <c r="H26" s="225">
        <f t="shared" si="12"/>
        <v>292.82000000000016</v>
      </c>
      <c r="I26" s="225">
        <f t="shared" si="12"/>
        <v>322.1020000000002</v>
      </c>
      <c r="J26" s="225">
        <f t="shared" si="12"/>
        <v>354.31220000000025</v>
      </c>
      <c r="K26" s="225">
        <f t="shared" si="12"/>
        <v>389.7434200000003</v>
      </c>
      <c r="L26" s="225">
        <f t="shared" si="12"/>
        <v>428.71776200000039</v>
      </c>
      <c r="M26" s="225">
        <f t="shared" si="12"/>
        <v>471.58953820000045</v>
      </c>
      <c r="N26" s="225">
        <f t="shared" si="12"/>
        <v>518.74849202000053</v>
      </c>
      <c r="O26" s="225">
        <f t="shared" si="12"/>
        <v>570.62334122200059</v>
      </c>
      <c r="P26" s="225">
        <f t="shared" si="12"/>
        <v>627.68567534420072</v>
      </c>
      <c r="Q26" s="225"/>
      <c r="R26" s="225"/>
      <c r="S26" s="225"/>
      <c r="T26" s="225"/>
    </row>
    <row r="27" spans="1:20" x14ac:dyDescent="0.25">
      <c r="A27" s="218"/>
      <c r="B27" s="216" t="s">
        <v>94</v>
      </c>
      <c r="C27" s="422">
        <v>269.64999999999998</v>
      </c>
      <c r="D27" s="422">
        <v>300</v>
      </c>
      <c r="E27" s="422">
        <f t="shared" si="12"/>
        <v>330</v>
      </c>
      <c r="F27" s="422">
        <f t="shared" si="12"/>
        <v>363.00000000000006</v>
      </c>
      <c r="G27" s="422">
        <f t="shared" si="12"/>
        <v>399.30000000000007</v>
      </c>
      <c r="H27" s="422">
        <f t="shared" si="12"/>
        <v>439.23000000000013</v>
      </c>
      <c r="I27" s="422">
        <f t="shared" si="12"/>
        <v>483.15300000000019</v>
      </c>
      <c r="J27" s="422">
        <f t="shared" si="12"/>
        <v>531.46830000000023</v>
      </c>
      <c r="K27" s="422">
        <f t="shared" si="12"/>
        <v>584.61513000000025</v>
      </c>
      <c r="L27" s="422">
        <f t="shared" si="12"/>
        <v>643.07664300000033</v>
      </c>
      <c r="M27" s="422">
        <f t="shared" si="12"/>
        <v>707.38430730000039</v>
      </c>
      <c r="N27" s="422">
        <f t="shared" si="12"/>
        <v>778.12273803000051</v>
      </c>
      <c r="O27" s="422">
        <f t="shared" si="12"/>
        <v>855.93501183300066</v>
      </c>
      <c r="P27" s="422">
        <f t="shared" si="12"/>
        <v>941.52851301630085</v>
      </c>
      <c r="Q27" s="225"/>
      <c r="R27" s="225"/>
      <c r="S27" s="225"/>
      <c r="T27" s="225"/>
    </row>
    <row r="28" spans="1:20" x14ac:dyDescent="0.25">
      <c r="A28" s="251"/>
      <c r="C28" s="225">
        <f>C23-SUM(C24:C27)</f>
        <v>4480.5999999999995</v>
      </c>
      <c r="D28" s="225">
        <f ca="1">D23-SUM(D24:D27)</f>
        <v>5264.5284980237157</v>
      </c>
      <c r="E28" s="225">
        <f t="shared" ref="E28:P28" ca="1" si="13">E23-SUM(E24:E27)</f>
        <v>5903.0008858129331</v>
      </c>
      <c r="F28" s="225">
        <f t="shared" ca="1" si="13"/>
        <v>6475.8768735615695</v>
      </c>
      <c r="G28" s="225">
        <f t="shared" ca="1" si="13"/>
        <v>7108.0102013443466</v>
      </c>
      <c r="H28" s="225">
        <f t="shared" ca="1" si="13"/>
        <v>7805.0972228958162</v>
      </c>
      <c r="I28" s="225">
        <f t="shared" ca="1" si="13"/>
        <v>8573.4313426254885</v>
      </c>
      <c r="J28" s="225">
        <f t="shared" ca="1" si="13"/>
        <v>9419.9593724004226</v>
      </c>
      <c r="K28" s="225">
        <f t="shared" ca="1" si="13"/>
        <v>10352.343940045819</v>
      </c>
      <c r="L28" s="225">
        <f t="shared" ca="1" si="13"/>
        <v>11379.032502350532</v>
      </c>
      <c r="M28" s="225">
        <f t="shared" ca="1" si="13"/>
        <v>12509.3335773049</v>
      </c>
      <c r="N28" s="225">
        <f t="shared" ca="1" si="13"/>
        <v>13753.50087757953</v>
      </c>
      <c r="O28" s="225">
        <f t="shared" ca="1" si="13"/>
        <v>15122.826100519294</v>
      </c>
      <c r="P28" s="225">
        <f t="shared" ca="1" si="13"/>
        <v>16629.741209871572</v>
      </c>
      <c r="Q28" s="225"/>
      <c r="R28" s="225"/>
      <c r="S28" s="225"/>
      <c r="T28" s="225"/>
    </row>
    <row r="29" spans="1:20" x14ac:dyDescent="0.25">
      <c r="A29" s="251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</row>
    <row r="30" spans="1:20" x14ac:dyDescent="0.25">
      <c r="A30" s="218">
        <v>4</v>
      </c>
      <c r="B30" s="216" t="s">
        <v>95</v>
      </c>
      <c r="C30" s="225">
        <f t="shared" ref="C30:P30" si="14">C10-C28</f>
        <v>594.35000000000127</v>
      </c>
      <c r="D30" s="225">
        <f t="shared" ca="1" si="14"/>
        <v>740.47150197628434</v>
      </c>
      <c r="E30" s="225">
        <f t="shared" ca="1" si="14"/>
        <v>702.49911418706779</v>
      </c>
      <c r="F30" s="225">
        <f t="shared" ca="1" si="14"/>
        <v>790.17312643843252</v>
      </c>
      <c r="G30" s="225">
        <f t="shared" ca="1" si="14"/>
        <v>884.6447986556559</v>
      </c>
      <c r="H30" s="225">
        <f t="shared" ca="1" si="14"/>
        <v>986.82327710418758</v>
      </c>
      <c r="I30" s="225">
        <f t="shared" ca="1" si="14"/>
        <v>1097.6812073745168</v>
      </c>
      <c r="J30" s="225">
        <f t="shared" ca="1" si="14"/>
        <v>1218.2644325995825</v>
      </c>
      <c r="K30" s="225">
        <f t="shared" ca="1" si="14"/>
        <v>1349.7022454541875</v>
      </c>
      <c r="L30" s="225">
        <f t="shared" ca="1" si="14"/>
        <v>1493.2183016994768</v>
      </c>
      <c r="M30" s="225">
        <f t="shared" ca="1" si="14"/>
        <v>1650.1423071501104</v>
      </c>
      <c r="N30" s="225">
        <f t="shared" ca="1" si="14"/>
        <v>1821.9225953209825</v>
      </c>
      <c r="O30" s="225">
        <f t="shared" ca="1" si="14"/>
        <v>2010.1397196712678</v>
      </c>
      <c r="P30" s="225">
        <f t="shared" ca="1" si="14"/>
        <v>2216.5211923380521</v>
      </c>
      <c r="Q30" s="225"/>
      <c r="R30" s="225"/>
      <c r="S30" s="225"/>
      <c r="T30" s="225"/>
    </row>
    <row r="31" spans="1:20" x14ac:dyDescent="0.25">
      <c r="A31" s="218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</row>
    <row r="32" spans="1:20" x14ac:dyDescent="0.25">
      <c r="A32" s="218">
        <v>5</v>
      </c>
      <c r="B32" s="216" t="s">
        <v>15</v>
      </c>
      <c r="C32" s="225">
        <v>347.54</v>
      </c>
      <c r="D32" s="225">
        <f>D7*6%</f>
        <v>360</v>
      </c>
      <c r="E32" s="225">
        <f>D32*1.1</f>
        <v>396.00000000000006</v>
      </c>
      <c r="F32" s="225">
        <f t="shared" ref="F32:P32" si="15">E32*1.1</f>
        <v>435.60000000000008</v>
      </c>
      <c r="G32" s="225">
        <f t="shared" si="15"/>
        <v>479.16000000000014</v>
      </c>
      <c r="H32" s="225">
        <f t="shared" si="15"/>
        <v>527.07600000000025</v>
      </c>
      <c r="I32" s="225">
        <f t="shared" si="15"/>
        <v>579.78360000000032</v>
      </c>
      <c r="J32" s="225">
        <f t="shared" si="15"/>
        <v>637.76196000000039</v>
      </c>
      <c r="K32" s="225">
        <f t="shared" si="15"/>
        <v>701.53815600000053</v>
      </c>
      <c r="L32" s="225">
        <f t="shared" si="15"/>
        <v>771.69197160000067</v>
      </c>
      <c r="M32" s="225">
        <f t="shared" si="15"/>
        <v>848.86116876000085</v>
      </c>
      <c r="N32" s="225">
        <f t="shared" si="15"/>
        <v>933.74728563600104</v>
      </c>
      <c r="O32" s="225">
        <f t="shared" si="15"/>
        <v>1027.1220141996012</v>
      </c>
      <c r="P32" s="225">
        <f t="shared" si="15"/>
        <v>1129.8342156195613</v>
      </c>
      <c r="Q32" s="225"/>
      <c r="R32" s="225">
        <f>C32/C7*100</f>
        <v>6.8483352086087956</v>
      </c>
      <c r="S32" s="225"/>
      <c r="T32" s="225"/>
    </row>
    <row r="33" spans="1:20" x14ac:dyDescent="0.25">
      <c r="A33" s="218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</row>
    <row r="34" spans="1:20" x14ac:dyDescent="0.25">
      <c r="A34" s="218">
        <v>6</v>
      </c>
      <c r="B34" s="216" t="s">
        <v>18</v>
      </c>
      <c r="C34" s="225">
        <f>C30-C32</f>
        <v>246.81000000000125</v>
      </c>
      <c r="D34" s="225">
        <f ca="1">D30-D32</f>
        <v>380.47150197628434</v>
      </c>
      <c r="E34" s="225">
        <f t="shared" ref="E34:P34" ca="1" si="16">E30-E32</f>
        <v>306.49911418706773</v>
      </c>
      <c r="F34" s="225">
        <f t="shared" ca="1" si="16"/>
        <v>354.57312643843244</v>
      </c>
      <c r="G34" s="225">
        <f t="shared" ca="1" si="16"/>
        <v>405.48479865565577</v>
      </c>
      <c r="H34" s="225">
        <f t="shared" ca="1" si="16"/>
        <v>459.74727710418733</v>
      </c>
      <c r="I34" s="225">
        <f t="shared" ca="1" si="16"/>
        <v>517.8976073745165</v>
      </c>
      <c r="J34" s="225">
        <f t="shared" ca="1" si="16"/>
        <v>580.50247259958212</v>
      </c>
      <c r="K34" s="225">
        <f t="shared" ca="1" si="16"/>
        <v>648.16408945418698</v>
      </c>
      <c r="L34" s="225">
        <f t="shared" ca="1" si="16"/>
        <v>721.52633009947613</v>
      </c>
      <c r="M34" s="225">
        <f t="shared" ca="1" si="16"/>
        <v>801.2811383901095</v>
      </c>
      <c r="N34" s="225">
        <f t="shared" ca="1" si="16"/>
        <v>888.17530968498147</v>
      </c>
      <c r="O34" s="225">
        <f t="shared" ca="1" si="16"/>
        <v>983.01770547166666</v>
      </c>
      <c r="P34" s="225">
        <f t="shared" ca="1" si="16"/>
        <v>1086.6869767184908</v>
      </c>
      <c r="Q34" s="225"/>
      <c r="R34" s="225"/>
      <c r="S34" s="225"/>
      <c r="T34" s="225"/>
    </row>
    <row r="35" spans="1:20" x14ac:dyDescent="0.25">
      <c r="A35" s="218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</row>
    <row r="36" spans="1:20" x14ac:dyDescent="0.25">
      <c r="A36" s="218">
        <v>7</v>
      </c>
      <c r="B36" s="216" t="s">
        <v>37</v>
      </c>
      <c r="C36" s="225">
        <v>43.45</v>
      </c>
      <c r="D36" s="225">
        <f>'Existing TL Buldg'!E27+'Existing TL P&amp;M'!E26+GECL!E26</f>
        <v>27.658775000000006</v>
      </c>
      <c r="E36" s="225">
        <f>'Existing TL Buldg'!E40+'Existing TL P&amp;M'!E39+GECL!E39</f>
        <v>24.788350000000005</v>
      </c>
      <c r="F36" s="225">
        <f>'Existing TL Buldg'!E53+'Existing TL P&amp;M'!E52+GECL!E52</f>
        <v>16.028350000000007</v>
      </c>
      <c r="G36" s="225">
        <f>'Existing TL Buldg'!E66+'Existing TL P&amp;M'!E65</f>
        <v>8.2144000000000066</v>
      </c>
      <c r="H36" s="225">
        <f>'Existing TL Buldg'!E79+'Existing TL P&amp;M'!E78</f>
        <v>2.4568000000000074</v>
      </c>
      <c r="I36" s="225">
        <f>'Existing TL Buldg'!E92</f>
        <v>2.7440000000005248E-2</v>
      </c>
      <c r="J36" s="225">
        <v>0</v>
      </c>
      <c r="K36" s="225">
        <v>0</v>
      </c>
      <c r="L36" s="225">
        <v>0</v>
      </c>
      <c r="M36" s="225">
        <v>0</v>
      </c>
      <c r="N36" s="225">
        <v>0</v>
      </c>
      <c r="O36" s="225">
        <v>0</v>
      </c>
      <c r="P36" s="225">
        <v>0</v>
      </c>
      <c r="Q36" s="225"/>
      <c r="R36" s="225"/>
      <c r="S36" s="225"/>
      <c r="T36" s="225"/>
    </row>
    <row r="37" spans="1:20" x14ac:dyDescent="0.25">
      <c r="A37" s="218"/>
      <c r="B37" s="216" t="s">
        <v>36</v>
      </c>
      <c r="C37" s="225">
        <v>0.39</v>
      </c>
      <c r="D37" s="225">
        <v>0</v>
      </c>
      <c r="E37" s="225">
        <v>0</v>
      </c>
      <c r="F37" s="225">
        <v>0</v>
      </c>
      <c r="G37" s="225">
        <v>0</v>
      </c>
      <c r="H37" s="225">
        <v>0</v>
      </c>
      <c r="I37" s="225">
        <v>0</v>
      </c>
      <c r="J37" s="225">
        <v>0</v>
      </c>
      <c r="K37" s="225">
        <v>0</v>
      </c>
      <c r="L37" s="225">
        <v>0</v>
      </c>
      <c r="M37" s="225">
        <v>0</v>
      </c>
      <c r="N37" s="225">
        <v>0</v>
      </c>
      <c r="O37" s="225">
        <v>0</v>
      </c>
      <c r="P37" s="225">
        <v>0</v>
      </c>
      <c r="Q37" s="225"/>
      <c r="R37" s="225">
        <f>594.35-96.61-150.2</f>
        <v>347.54</v>
      </c>
      <c r="S37" s="225"/>
      <c r="T37" s="225"/>
    </row>
    <row r="38" spans="1:20" x14ac:dyDescent="0.25">
      <c r="B38" s="216" t="s">
        <v>38</v>
      </c>
      <c r="C38" s="422">
        <v>52.77</v>
      </c>
      <c r="D38" s="422">
        <f>800*9.6%</f>
        <v>76.8</v>
      </c>
      <c r="E38" s="422">
        <f t="shared" ref="E38:P38" si="17">800*9.6%</f>
        <v>76.8</v>
      </c>
      <c r="F38" s="422">
        <f t="shared" si="17"/>
        <v>76.8</v>
      </c>
      <c r="G38" s="422">
        <f t="shared" si="17"/>
        <v>76.8</v>
      </c>
      <c r="H38" s="422">
        <f t="shared" si="17"/>
        <v>76.8</v>
      </c>
      <c r="I38" s="422">
        <f t="shared" si="17"/>
        <v>76.8</v>
      </c>
      <c r="J38" s="422">
        <f t="shared" si="17"/>
        <v>76.8</v>
      </c>
      <c r="K38" s="422">
        <f t="shared" si="17"/>
        <v>76.8</v>
      </c>
      <c r="L38" s="422">
        <f t="shared" si="17"/>
        <v>76.8</v>
      </c>
      <c r="M38" s="422">
        <f t="shared" si="17"/>
        <v>76.8</v>
      </c>
      <c r="N38" s="422">
        <f t="shared" si="17"/>
        <v>76.8</v>
      </c>
      <c r="O38" s="422">
        <f t="shared" si="17"/>
        <v>76.8</v>
      </c>
      <c r="P38" s="422">
        <f t="shared" si="17"/>
        <v>76.8</v>
      </c>
      <c r="Q38" s="225"/>
      <c r="R38" s="225"/>
      <c r="S38" s="225"/>
      <c r="T38" s="225"/>
    </row>
    <row r="39" spans="1:20" x14ac:dyDescent="0.25">
      <c r="A39" s="218"/>
      <c r="B39" s="216" t="s">
        <v>19</v>
      </c>
      <c r="C39" s="225">
        <f>SUM(C36:C38)</f>
        <v>96.610000000000014</v>
      </c>
      <c r="D39" s="225">
        <f>SUM(D36:D38)</f>
        <v>104.458775</v>
      </c>
      <c r="E39" s="225">
        <f t="shared" ref="E39:P39" si="18">SUM(E36:E38)</f>
        <v>101.58835000000001</v>
      </c>
      <c r="F39" s="225">
        <f t="shared" si="18"/>
        <v>92.82835</v>
      </c>
      <c r="G39" s="225">
        <f t="shared" si="18"/>
        <v>85.014400000000009</v>
      </c>
      <c r="H39" s="225">
        <f t="shared" si="18"/>
        <v>79.256799999999998</v>
      </c>
      <c r="I39" s="225">
        <f t="shared" si="18"/>
        <v>76.827439999999996</v>
      </c>
      <c r="J39" s="225">
        <f t="shared" si="18"/>
        <v>76.8</v>
      </c>
      <c r="K39" s="225">
        <f t="shared" si="18"/>
        <v>76.8</v>
      </c>
      <c r="L39" s="225">
        <f t="shared" si="18"/>
        <v>76.8</v>
      </c>
      <c r="M39" s="225">
        <f t="shared" si="18"/>
        <v>76.8</v>
      </c>
      <c r="N39" s="225">
        <f t="shared" si="18"/>
        <v>76.8</v>
      </c>
      <c r="O39" s="225">
        <f t="shared" si="18"/>
        <v>76.8</v>
      </c>
      <c r="P39" s="225">
        <f t="shared" si="18"/>
        <v>76.8</v>
      </c>
      <c r="Q39" s="225"/>
      <c r="R39" s="225"/>
      <c r="S39" s="225"/>
      <c r="T39" s="225"/>
    </row>
    <row r="40" spans="1:20" x14ac:dyDescent="0.25">
      <c r="A40" s="218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</row>
    <row r="41" spans="1:20" x14ac:dyDescent="0.25">
      <c r="A41" s="218">
        <v>9</v>
      </c>
      <c r="B41" s="216" t="s">
        <v>20</v>
      </c>
      <c r="C41" s="225">
        <f>C34-C39</f>
        <v>150.20000000000124</v>
      </c>
      <c r="D41" s="225">
        <f ca="1">D34-D39</f>
        <v>276.01272697628434</v>
      </c>
      <c r="E41" s="225">
        <f t="shared" ref="E41:P41" ca="1" si="19">E34-E39</f>
        <v>204.91076418706774</v>
      </c>
      <c r="F41" s="225">
        <f t="shared" ca="1" si="19"/>
        <v>261.74477643843244</v>
      </c>
      <c r="G41" s="225">
        <f t="shared" ca="1" si="19"/>
        <v>320.47039865565574</v>
      </c>
      <c r="H41" s="225">
        <f t="shared" ca="1" si="19"/>
        <v>380.49047710418733</v>
      </c>
      <c r="I41" s="225">
        <f t="shared" ca="1" si="19"/>
        <v>441.07016737451647</v>
      </c>
      <c r="J41" s="225">
        <f t="shared" ca="1" si="19"/>
        <v>503.70247259958211</v>
      </c>
      <c r="K41" s="225">
        <f t="shared" ca="1" si="19"/>
        <v>571.36408945418702</v>
      </c>
      <c r="L41" s="225">
        <f t="shared" ca="1" si="19"/>
        <v>644.72633009947617</v>
      </c>
      <c r="M41" s="225">
        <f t="shared" ca="1" si="19"/>
        <v>724.48113839010955</v>
      </c>
      <c r="N41" s="225">
        <f t="shared" ca="1" si="19"/>
        <v>811.37530968498152</v>
      </c>
      <c r="O41" s="225">
        <f t="shared" ca="1" si="19"/>
        <v>906.2177054716667</v>
      </c>
      <c r="P41" s="225">
        <f t="shared" ca="1" si="19"/>
        <v>1009.8869767184908</v>
      </c>
      <c r="Q41" s="225"/>
      <c r="R41" s="225"/>
      <c r="S41" s="225"/>
      <c r="T41" s="225"/>
    </row>
    <row r="42" spans="1:20" x14ac:dyDescent="0.25">
      <c r="A42" s="218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</row>
    <row r="43" spans="1:20" x14ac:dyDescent="0.25">
      <c r="A43" s="218">
        <v>10</v>
      </c>
      <c r="B43" s="216" t="s">
        <v>21</v>
      </c>
      <c r="C43" s="225">
        <f>39+2.71+0.51</f>
        <v>42.22</v>
      </c>
      <c r="D43" s="225">
        <f ca="1">D41*26%</f>
        <v>71.763309013833933</v>
      </c>
      <c r="E43" s="225">
        <f t="shared" ref="E43:P43" ca="1" si="20">E41*26%</f>
        <v>53.276798688637612</v>
      </c>
      <c r="F43" s="225">
        <v>0</v>
      </c>
      <c r="G43" s="225">
        <f ca="1">(G41+F41)*26%</f>
        <v>151.37594552446294</v>
      </c>
      <c r="H43" s="225">
        <f t="shared" ca="1" si="20"/>
        <v>98.92752404708871</v>
      </c>
      <c r="I43" s="225">
        <f t="shared" ca="1" si="20"/>
        <v>114.67824351737428</v>
      </c>
      <c r="J43" s="225">
        <f t="shared" ca="1" si="20"/>
        <v>130.96264287589136</v>
      </c>
      <c r="K43" s="225">
        <f t="shared" ca="1" si="20"/>
        <v>148.55466325808862</v>
      </c>
      <c r="L43" s="225">
        <f t="shared" ca="1" si="20"/>
        <v>167.62884582586381</v>
      </c>
      <c r="M43" s="225">
        <f t="shared" ca="1" si="20"/>
        <v>188.36509598142848</v>
      </c>
      <c r="N43" s="225">
        <f t="shared" ca="1" si="20"/>
        <v>210.9575805180952</v>
      </c>
      <c r="O43" s="225">
        <f t="shared" ca="1" si="20"/>
        <v>235.61660342263335</v>
      </c>
      <c r="P43" s="225">
        <f t="shared" ca="1" si="20"/>
        <v>262.57061394680761</v>
      </c>
      <c r="Q43" s="225"/>
      <c r="R43" s="225"/>
      <c r="S43" s="225"/>
      <c r="T43" s="225"/>
    </row>
    <row r="44" spans="1:20" x14ac:dyDescent="0.25">
      <c r="A44" s="218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</row>
    <row r="45" spans="1:20" x14ac:dyDescent="0.25">
      <c r="A45" s="218">
        <v>11</v>
      </c>
      <c r="B45" s="216" t="s">
        <v>22</v>
      </c>
      <c r="C45" s="225">
        <f>C41-C43</f>
        <v>107.98000000000124</v>
      </c>
      <c r="D45" s="225">
        <f ca="1">D41-D43</f>
        <v>204.24941796245042</v>
      </c>
      <c r="E45" s="225">
        <f t="shared" ref="E45:P45" ca="1" si="21">E41-E43</f>
        <v>151.63396549843014</v>
      </c>
      <c r="F45" s="225">
        <f t="shared" ca="1" si="21"/>
        <v>261.74477643843244</v>
      </c>
      <c r="G45" s="225">
        <f t="shared" ca="1" si="21"/>
        <v>169.09445313119281</v>
      </c>
      <c r="H45" s="225">
        <f t="shared" ca="1" si="21"/>
        <v>281.56295305709864</v>
      </c>
      <c r="I45" s="225">
        <f t="shared" ca="1" si="21"/>
        <v>326.39192385714216</v>
      </c>
      <c r="J45" s="225">
        <f t="shared" ca="1" si="21"/>
        <v>372.73982972369072</v>
      </c>
      <c r="K45" s="225">
        <f t="shared" ca="1" si="21"/>
        <v>422.8094261960984</v>
      </c>
      <c r="L45" s="225">
        <f t="shared" ca="1" si="21"/>
        <v>477.09748427361239</v>
      </c>
      <c r="M45" s="225">
        <f t="shared" ca="1" si="21"/>
        <v>536.1160424086811</v>
      </c>
      <c r="N45" s="225">
        <f t="shared" ca="1" si="21"/>
        <v>600.41772916688637</v>
      </c>
      <c r="O45" s="225">
        <f t="shared" ca="1" si="21"/>
        <v>670.60110204903333</v>
      </c>
      <c r="P45" s="225">
        <f t="shared" ca="1" si="21"/>
        <v>747.3163627716832</v>
      </c>
      <c r="Q45" s="225"/>
      <c r="R45" s="225"/>
      <c r="S45" s="225">
        <v>339.74</v>
      </c>
      <c r="T45" s="225"/>
    </row>
    <row r="46" spans="1:20" x14ac:dyDescent="0.25">
      <c r="A46" s="218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>
        <v>107.98</v>
      </c>
      <c r="T46" s="225"/>
    </row>
    <row r="47" spans="1:20" x14ac:dyDescent="0.25">
      <c r="A47" s="218">
        <v>12</v>
      </c>
      <c r="B47" s="216" t="s">
        <v>23</v>
      </c>
      <c r="C47" s="225">
        <f>C17</f>
        <v>91.36</v>
      </c>
      <c r="D47" s="225">
        <f ca="1">D17</f>
        <v>92.868498023715404</v>
      </c>
      <c r="E47" s="225">
        <f t="shared" ref="E47:P47" ca="1" si="22">E17</f>
        <v>82.500885812932552</v>
      </c>
      <c r="F47" s="225">
        <f t="shared" ca="1" si="22"/>
        <v>73.326873561567453</v>
      </c>
      <c r="G47" s="225">
        <f t="shared" ca="1" si="22"/>
        <v>65.205201344343251</v>
      </c>
      <c r="H47" s="225">
        <f t="shared" ca="1" si="22"/>
        <v>58.011722895814124</v>
      </c>
      <c r="I47" s="225">
        <f t="shared" ca="1" si="22"/>
        <v>51.637292625485003</v>
      </c>
      <c r="J47" s="225">
        <f t="shared" ca="1" si="22"/>
        <v>45.985917400416703</v>
      </c>
      <c r="K47" s="225">
        <f t="shared" ca="1" si="22"/>
        <v>40.973139545812316</v>
      </c>
      <c r="L47" s="225">
        <f t="shared" ca="1" si="22"/>
        <v>36.524621800522539</v>
      </c>
      <c r="M47" s="225">
        <f t="shared" ca="1" si="22"/>
        <v>32.574908699892006</v>
      </c>
      <c r="N47" s="225">
        <f t="shared" ca="1" si="22"/>
        <v>29.066342114019346</v>
      </c>
      <c r="O47" s="225">
        <f t="shared" ca="1" si="22"/>
        <v>25.948111507234408</v>
      </c>
      <c r="P47" s="225">
        <f t="shared" ca="1" si="22"/>
        <v>23.175421958306774</v>
      </c>
      <c r="Q47" s="225"/>
      <c r="R47" s="225"/>
      <c r="S47" s="225">
        <f>SUM(S45:S46)</f>
        <v>447.72</v>
      </c>
      <c r="T47" s="225"/>
    </row>
    <row r="48" spans="1:20" x14ac:dyDescent="0.25">
      <c r="A48" s="218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</row>
    <row r="49" spans="1:20" x14ac:dyDescent="0.25">
      <c r="A49" s="218">
        <v>13</v>
      </c>
      <c r="B49" s="216" t="s">
        <v>24</v>
      </c>
      <c r="C49" s="225">
        <f>C45+C47</f>
        <v>199.34000000000123</v>
      </c>
      <c r="D49" s="225">
        <f ca="1">D45+D47</f>
        <v>297.11791598616583</v>
      </c>
      <c r="E49" s="225">
        <f t="shared" ref="E49:P49" ca="1" si="23">E45+E47</f>
        <v>234.1348513113627</v>
      </c>
      <c r="F49" s="225">
        <f t="shared" ca="1" si="23"/>
        <v>335.07164999999986</v>
      </c>
      <c r="G49" s="225">
        <f t="shared" ca="1" si="23"/>
        <v>234.29965447553604</v>
      </c>
      <c r="H49" s="225">
        <f t="shared" ca="1" si="23"/>
        <v>339.57467595291274</v>
      </c>
      <c r="I49" s="225">
        <f t="shared" ca="1" si="23"/>
        <v>378.02921648262713</v>
      </c>
      <c r="J49" s="225">
        <f t="shared" ca="1" si="23"/>
        <v>418.72574712410744</v>
      </c>
      <c r="K49" s="225">
        <f t="shared" ca="1" si="23"/>
        <v>463.78256574191073</v>
      </c>
      <c r="L49" s="225">
        <f t="shared" ca="1" si="23"/>
        <v>513.62210607413499</v>
      </c>
      <c r="M49" s="225">
        <f t="shared" ca="1" si="23"/>
        <v>568.69095110857313</v>
      </c>
      <c r="N49" s="225">
        <f t="shared" ca="1" si="23"/>
        <v>629.48407128090571</v>
      </c>
      <c r="O49" s="225">
        <f t="shared" ca="1" si="23"/>
        <v>696.54921355626777</v>
      </c>
      <c r="P49" s="225">
        <f t="shared" ca="1" si="23"/>
        <v>770.49178472998994</v>
      </c>
      <c r="Q49" s="225"/>
      <c r="R49" s="225"/>
      <c r="S49" s="225"/>
      <c r="T49" s="225"/>
    </row>
    <row r="50" spans="1:20" x14ac:dyDescent="0.25">
      <c r="A50" s="273"/>
      <c r="B50" s="273"/>
      <c r="C50" s="422"/>
      <c r="D50" s="422"/>
      <c r="E50" s="422"/>
      <c r="F50" s="422"/>
      <c r="G50" s="422"/>
      <c r="H50" s="422"/>
      <c r="I50" s="422"/>
      <c r="J50" s="422"/>
      <c r="K50" s="422"/>
      <c r="L50" s="422"/>
      <c r="M50" s="422"/>
      <c r="N50" s="422"/>
      <c r="O50" s="422"/>
      <c r="P50" s="422"/>
      <c r="Q50" s="225"/>
      <c r="R50" s="225"/>
      <c r="S50" s="225"/>
      <c r="T50" s="225"/>
    </row>
    <row r="51" spans="1:20" ht="14.25" customHeight="1" x14ac:dyDescent="0.25"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</row>
    <row r="52" spans="1:20" x14ac:dyDescent="0.25">
      <c r="I52" s="225">
        <f>150.2-107.98</f>
        <v>42.219999999999985</v>
      </c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</row>
    <row r="53" spans="1:20" x14ac:dyDescent="0.25">
      <c r="C53" s="423"/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3"/>
      <c r="P53" s="423"/>
      <c r="Q53" s="225"/>
      <c r="R53" s="225"/>
      <c r="S53" s="225"/>
      <c r="T53" s="225"/>
    </row>
    <row r="54" spans="1:20" x14ac:dyDescent="0.25"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</row>
    <row r="55" spans="1:20" x14ac:dyDescent="0.25">
      <c r="C55" s="225"/>
      <c r="D55" s="225">
        <f>516.66/4025.98</f>
        <v>0.12833148699198704</v>
      </c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</row>
    <row r="56" spans="1:20" x14ac:dyDescent="0.25"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</row>
    <row r="57" spans="1:20" x14ac:dyDescent="0.25"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</row>
    <row r="58" spans="1:20" x14ac:dyDescent="0.25"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</row>
    <row r="59" spans="1:20" x14ac:dyDescent="0.25">
      <c r="B59" s="216" t="s">
        <v>888</v>
      </c>
      <c r="C59" s="227">
        <f>C10</f>
        <v>5074.9500000000007</v>
      </c>
      <c r="D59" s="227">
        <f t="shared" ref="D59:P59" si="24">D10</f>
        <v>6005</v>
      </c>
      <c r="E59" s="227">
        <f t="shared" si="24"/>
        <v>6605.5000000000009</v>
      </c>
      <c r="F59" s="227">
        <f t="shared" si="24"/>
        <v>7266.050000000002</v>
      </c>
      <c r="G59" s="227">
        <f t="shared" si="24"/>
        <v>7992.6550000000025</v>
      </c>
      <c r="H59" s="227">
        <f t="shared" si="24"/>
        <v>8791.9205000000038</v>
      </c>
      <c r="I59" s="227">
        <f t="shared" si="24"/>
        <v>9671.1125500000053</v>
      </c>
      <c r="J59" s="227">
        <f t="shared" si="24"/>
        <v>10638.223805000005</v>
      </c>
      <c r="K59" s="227">
        <f t="shared" si="24"/>
        <v>11702.046185500007</v>
      </c>
      <c r="L59" s="227">
        <f t="shared" si="24"/>
        <v>12872.250804050009</v>
      </c>
      <c r="M59" s="227">
        <f t="shared" si="24"/>
        <v>14159.475884455011</v>
      </c>
      <c r="N59" s="227">
        <f t="shared" si="24"/>
        <v>15575.423472900513</v>
      </c>
      <c r="O59" s="227">
        <f t="shared" si="24"/>
        <v>17132.965820190562</v>
      </c>
      <c r="P59" s="227">
        <f t="shared" si="24"/>
        <v>18846.262402209624</v>
      </c>
      <c r="Q59" s="225"/>
      <c r="R59" s="225"/>
      <c r="S59" s="225"/>
      <c r="T59" s="225"/>
    </row>
    <row r="60" spans="1:20" x14ac:dyDescent="0.25">
      <c r="B60" s="216" t="s">
        <v>819</v>
      </c>
      <c r="C60" s="227">
        <f>C34+C17</f>
        <v>338.17000000000127</v>
      </c>
      <c r="D60" s="227">
        <f t="shared" ref="D60:P60" ca="1" si="25">D34+D17</f>
        <v>473.33999999999975</v>
      </c>
      <c r="E60" s="227">
        <f t="shared" ca="1" si="25"/>
        <v>389.00000000000028</v>
      </c>
      <c r="F60" s="227">
        <f t="shared" ca="1" si="25"/>
        <v>427.89999999999986</v>
      </c>
      <c r="G60" s="227">
        <f t="shared" ca="1" si="25"/>
        <v>470.68999999999903</v>
      </c>
      <c r="H60" s="227">
        <f t="shared" ca="1" si="25"/>
        <v>517.75900000000149</v>
      </c>
      <c r="I60" s="227">
        <f t="shared" ca="1" si="25"/>
        <v>569.53490000000147</v>
      </c>
      <c r="J60" s="227">
        <f t="shared" ca="1" si="25"/>
        <v>626.48838999999884</v>
      </c>
      <c r="K60" s="227">
        <f t="shared" ca="1" si="25"/>
        <v>689.13722899999925</v>
      </c>
      <c r="L60" s="227">
        <f t="shared" ca="1" si="25"/>
        <v>758.05095189999861</v>
      </c>
      <c r="M60" s="227">
        <f t="shared" ca="1" si="25"/>
        <v>833.85604709000154</v>
      </c>
      <c r="N60" s="227">
        <f t="shared" ca="1" si="25"/>
        <v>917.24165179900081</v>
      </c>
      <c r="O60" s="227">
        <f t="shared" ca="1" si="25"/>
        <v>1008.9658169789011</v>
      </c>
      <c r="P60" s="227">
        <f t="shared" ca="1" si="25"/>
        <v>1109.8623986767975</v>
      </c>
      <c r="Q60" s="225"/>
      <c r="R60" s="225"/>
      <c r="S60" s="225"/>
      <c r="T60" s="225"/>
    </row>
    <row r="61" spans="1:20" x14ac:dyDescent="0.25">
      <c r="B61" s="216" t="s">
        <v>821</v>
      </c>
      <c r="C61" s="227">
        <f>C34</f>
        <v>246.81000000000125</v>
      </c>
      <c r="D61" s="227">
        <f t="shared" ref="D61:P61" ca="1" si="26">D34</f>
        <v>380.47150197628434</v>
      </c>
      <c r="E61" s="227">
        <f t="shared" ca="1" si="26"/>
        <v>306.49911418706773</v>
      </c>
      <c r="F61" s="227">
        <f t="shared" ca="1" si="26"/>
        <v>354.57312643843244</v>
      </c>
      <c r="G61" s="227">
        <f t="shared" ca="1" si="26"/>
        <v>405.48479865565577</v>
      </c>
      <c r="H61" s="227">
        <f t="shared" ca="1" si="26"/>
        <v>459.74727710418733</v>
      </c>
      <c r="I61" s="227">
        <f t="shared" ca="1" si="26"/>
        <v>517.8976073745165</v>
      </c>
      <c r="J61" s="227">
        <f t="shared" ca="1" si="26"/>
        <v>580.50247259958212</v>
      </c>
      <c r="K61" s="227">
        <f t="shared" ca="1" si="26"/>
        <v>648.16408945418698</v>
      </c>
      <c r="L61" s="227">
        <f t="shared" ca="1" si="26"/>
        <v>721.52633009947613</v>
      </c>
      <c r="M61" s="227">
        <f t="shared" ca="1" si="26"/>
        <v>801.2811383901095</v>
      </c>
      <c r="N61" s="227">
        <f t="shared" ca="1" si="26"/>
        <v>888.17530968498147</v>
      </c>
      <c r="O61" s="227">
        <f t="shared" ca="1" si="26"/>
        <v>983.01770547166666</v>
      </c>
      <c r="P61" s="227">
        <f t="shared" ca="1" si="26"/>
        <v>1086.6869767184908</v>
      </c>
      <c r="Q61" s="225"/>
      <c r="R61" s="225"/>
      <c r="S61" s="225"/>
      <c r="T61" s="225"/>
    </row>
    <row r="62" spans="1:20" x14ac:dyDescent="0.25">
      <c r="B62" s="216" t="s">
        <v>822</v>
      </c>
      <c r="C62" s="227">
        <f>C45</f>
        <v>107.98000000000124</v>
      </c>
      <c r="D62" s="227">
        <f t="shared" ref="D62:P62" ca="1" si="27">D45</f>
        <v>204.24941796245042</v>
      </c>
      <c r="E62" s="227">
        <f t="shared" ca="1" si="27"/>
        <v>151.63396549843014</v>
      </c>
      <c r="F62" s="227">
        <f t="shared" ca="1" si="27"/>
        <v>261.74477643843244</v>
      </c>
      <c r="G62" s="227">
        <f t="shared" ca="1" si="27"/>
        <v>169.09445313119281</v>
      </c>
      <c r="H62" s="227">
        <f t="shared" ca="1" si="27"/>
        <v>281.56295305709864</v>
      </c>
      <c r="I62" s="227">
        <f t="shared" ca="1" si="27"/>
        <v>326.39192385714216</v>
      </c>
      <c r="J62" s="227">
        <f t="shared" ca="1" si="27"/>
        <v>372.73982972369072</v>
      </c>
      <c r="K62" s="227">
        <f t="shared" ca="1" si="27"/>
        <v>422.8094261960984</v>
      </c>
      <c r="L62" s="227">
        <f t="shared" ca="1" si="27"/>
        <v>477.09748427361239</v>
      </c>
      <c r="M62" s="227">
        <f t="shared" ca="1" si="27"/>
        <v>536.1160424086811</v>
      </c>
      <c r="N62" s="227">
        <f t="shared" ca="1" si="27"/>
        <v>600.41772916688637</v>
      </c>
      <c r="O62" s="227">
        <f t="shared" ca="1" si="27"/>
        <v>670.60110204903333</v>
      </c>
      <c r="P62" s="227">
        <f t="shared" ca="1" si="27"/>
        <v>747.3163627716832</v>
      </c>
      <c r="Q62" s="225"/>
      <c r="R62" s="225"/>
      <c r="S62" s="225"/>
      <c r="T62" s="225"/>
    </row>
    <row r="63" spans="1:20" hidden="1" x14ac:dyDescent="0.25"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</row>
    <row r="64" spans="1:20" x14ac:dyDescent="0.25">
      <c r="B64" s="216" t="s">
        <v>889</v>
      </c>
      <c r="C64" s="412">
        <f>C60/C59</f>
        <v>6.6635139262456025E-2</v>
      </c>
      <c r="D64" s="412">
        <f t="shared" ref="D64:P64" ca="1" si="28">D60/D59</f>
        <v>7.8824313072439589E-2</v>
      </c>
      <c r="E64" s="412">
        <f t="shared" ca="1" si="28"/>
        <v>5.8890318673832445E-2</v>
      </c>
      <c r="F64" s="412">
        <f t="shared" ca="1" si="28"/>
        <v>5.8890318673832376E-2</v>
      </c>
      <c r="G64" s="412">
        <f t="shared" ca="1" si="28"/>
        <v>5.8890318673832272E-2</v>
      </c>
      <c r="H64" s="412">
        <f t="shared" ca="1" si="28"/>
        <v>5.8890318673832556E-2</v>
      </c>
      <c r="I64" s="412">
        <f t="shared" ca="1" si="28"/>
        <v>5.8890318673832535E-2</v>
      </c>
      <c r="J64" s="412">
        <f t="shared" ca="1" si="28"/>
        <v>5.8890318673832279E-2</v>
      </c>
      <c r="K64" s="412">
        <f t="shared" ca="1" si="28"/>
        <v>5.8890318673832313E-2</v>
      </c>
      <c r="L64" s="412">
        <f t="shared" ca="1" si="28"/>
        <v>5.8890318673832265E-2</v>
      </c>
      <c r="M64" s="412">
        <f t="shared" ca="1" si="28"/>
        <v>5.889031867383248E-2</v>
      </c>
      <c r="N64" s="412">
        <f t="shared" ca="1" si="28"/>
        <v>5.8890318673832417E-2</v>
      </c>
      <c r="O64" s="412">
        <f t="shared" ca="1" si="28"/>
        <v>5.8890318673832431E-2</v>
      </c>
      <c r="P64" s="412">
        <f t="shared" ca="1" si="28"/>
        <v>5.8890318673832751E-2</v>
      </c>
    </row>
    <row r="65" spans="2:16" x14ac:dyDescent="0.25">
      <c r="B65" s="216" t="s">
        <v>890</v>
      </c>
      <c r="C65" s="412">
        <f>C61/C59</f>
        <v>4.8632991458044159E-2</v>
      </c>
      <c r="D65" s="412">
        <f t="shared" ref="D65:P65" ca="1" si="29">D61/D59</f>
        <v>6.3359117731271328E-2</v>
      </c>
      <c r="E65" s="412">
        <f t="shared" ca="1" si="29"/>
        <v>4.6400592564842587E-2</v>
      </c>
      <c r="F65" s="412">
        <f t="shared" ca="1" si="29"/>
        <v>4.8798608107353009E-2</v>
      </c>
      <c r="G65" s="412">
        <f t="shared" ca="1" si="29"/>
        <v>5.0732178313170735E-2</v>
      </c>
      <c r="H65" s="412">
        <f t="shared" ca="1" si="29"/>
        <v>5.2292019372125478E-2</v>
      </c>
      <c r="I65" s="412">
        <f t="shared" ca="1" si="29"/>
        <v>5.3550985442157452E-2</v>
      </c>
      <c r="J65" s="412">
        <f t="shared" ca="1" si="29"/>
        <v>5.4567612342085133E-2</v>
      </c>
      <c r="K65" s="412">
        <f t="shared" ca="1" si="29"/>
        <v>5.5388953280437948E-2</v>
      </c>
      <c r="L65" s="412">
        <f t="shared" ca="1" si="29"/>
        <v>5.6052848960374636E-2</v>
      </c>
      <c r="M65" s="412">
        <f t="shared" ca="1" si="29"/>
        <v>5.6589745618324513E-2</v>
      </c>
      <c r="N65" s="412">
        <f t="shared" ca="1" si="29"/>
        <v>5.7024151621322315E-2</v>
      </c>
      <c r="O65" s="412">
        <f t="shared" ca="1" si="29"/>
        <v>5.7375804970860145E-2</v>
      </c>
      <c r="P65" s="412">
        <f t="shared" ca="1" si="29"/>
        <v>5.7660609489926365E-2</v>
      </c>
    </row>
    <row r="66" spans="2:16" x14ac:dyDescent="0.25">
      <c r="B66" s="216" t="s">
        <v>891</v>
      </c>
      <c r="C66" s="412">
        <f>C62/C59</f>
        <v>2.1277056916817156E-2</v>
      </c>
      <c r="D66" s="412">
        <f t="shared" ref="D66:P66" ca="1" si="30">D62/D59</f>
        <v>3.4013225305986751E-2</v>
      </c>
      <c r="E66" s="412">
        <f t="shared" ca="1" si="30"/>
        <v>2.2955713496091153E-2</v>
      </c>
      <c r="F66" s="412">
        <f t="shared" ca="1" si="30"/>
        <v>3.6022980359126676E-2</v>
      </c>
      <c r="G66" s="412">
        <f t="shared" ca="1" si="30"/>
        <v>2.1156230705715779E-2</v>
      </c>
      <c r="H66" s="412">
        <f t="shared" ca="1" si="30"/>
        <v>3.2025193250678111E-2</v>
      </c>
      <c r="I66" s="412">
        <f t="shared" ca="1" si="30"/>
        <v>3.3749159899616923E-2</v>
      </c>
      <c r="J66" s="412">
        <f t="shared" ca="1" si="30"/>
        <v>3.5037787938669011E-2</v>
      </c>
      <c r="K66" s="412">
        <f t="shared" ca="1" si="30"/>
        <v>3.6131238887093194E-2</v>
      </c>
      <c r="L66" s="412">
        <f t="shared" ca="1" si="30"/>
        <v>3.7064029557558241E-2</v>
      </c>
      <c r="M66" s="412">
        <f t="shared" ca="1" si="30"/>
        <v>3.7862703872906515E-2</v>
      </c>
      <c r="N66" s="412">
        <f t="shared" ca="1" si="30"/>
        <v>3.8549046850093402E-2</v>
      </c>
      <c r="O66" s="412">
        <f t="shared" ca="1" si="30"/>
        <v>3.9140981724177314E-2</v>
      </c>
      <c r="P66" s="412">
        <f t="shared" ca="1" si="30"/>
        <v>3.9653292882309878E-2</v>
      </c>
    </row>
    <row r="67" spans="2:16" x14ac:dyDescent="0.25">
      <c r="B67" s="216" t="s">
        <v>892</v>
      </c>
      <c r="C67" s="412" t="e">
        <f>C59/B59-1</f>
        <v>#VALUE!</v>
      </c>
      <c r="D67" s="412">
        <f>D59/C59-1</f>
        <v>0.18326288928954959</v>
      </c>
      <c r="E67" s="412">
        <f t="shared" ref="E67:P67" si="31">E59/D59-1</f>
        <v>0.10000000000000009</v>
      </c>
      <c r="F67" s="412">
        <f t="shared" si="31"/>
        <v>0.10000000000000009</v>
      </c>
      <c r="G67" s="412">
        <f t="shared" si="31"/>
        <v>0.10000000000000009</v>
      </c>
      <c r="H67" s="412">
        <f t="shared" si="31"/>
        <v>0.10000000000000009</v>
      </c>
      <c r="I67" s="412">
        <f t="shared" si="31"/>
        <v>0.10000000000000009</v>
      </c>
      <c r="J67" s="412">
        <f t="shared" si="31"/>
        <v>9.9999999999999867E-2</v>
      </c>
      <c r="K67" s="412">
        <f t="shared" si="31"/>
        <v>0.10000000000000009</v>
      </c>
      <c r="L67" s="412">
        <f t="shared" si="31"/>
        <v>0.10000000000000009</v>
      </c>
      <c r="M67" s="412">
        <f t="shared" si="31"/>
        <v>0.10000000000000009</v>
      </c>
      <c r="N67" s="412">
        <f t="shared" si="31"/>
        <v>0.10000000000000009</v>
      </c>
      <c r="O67" s="412">
        <f t="shared" si="31"/>
        <v>9.9999999999999867E-2</v>
      </c>
      <c r="P67" s="412">
        <f t="shared" si="31"/>
        <v>0.10000000000000031</v>
      </c>
    </row>
  </sheetData>
  <mergeCells count="3">
    <mergeCell ref="A1:P1"/>
    <mergeCell ref="A2:P2"/>
    <mergeCell ref="A4:P4"/>
  </mergeCells>
  <pageMargins left="0.7" right="0.7" top="0.75" bottom="0.75" header="0.3" footer="0.3"/>
  <pageSetup paperSize="9" scale="7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showGridLines="0" topLeftCell="A37" zoomScaleNormal="100" workbookViewId="0">
      <selection activeCell="H30" sqref="H30"/>
    </sheetView>
  </sheetViews>
  <sheetFormatPr defaultColWidth="9.140625" defaultRowHeight="15" x14ac:dyDescent="0.25"/>
  <cols>
    <col min="1" max="1" width="4.140625" style="216" customWidth="1"/>
    <col min="2" max="3" width="11.7109375" style="243" customWidth="1"/>
    <col min="4" max="4" width="18.5703125" style="243" customWidth="1"/>
    <col min="5" max="5" width="17" style="243" customWidth="1"/>
    <col min="6" max="6" width="15.28515625" style="243" customWidth="1"/>
    <col min="7" max="7" width="15.140625" style="243" customWidth="1"/>
    <col min="8" max="8" width="17.85546875" style="243" customWidth="1"/>
    <col min="9" max="9" width="14.140625" style="243" customWidth="1"/>
    <col min="10" max="10" width="15.5703125" style="243" customWidth="1"/>
    <col min="11" max="16384" width="9.140625" style="216"/>
  </cols>
  <sheetData>
    <row r="2" spans="1:10" x14ac:dyDescent="0.25">
      <c r="B2" s="221" t="str">
        <f>'P&amp;L(Proposed)'!B2</f>
        <v>MANCARE LABORATORIES PVT. LTD. Plot  No. -11, Pharma City, Selaqui Industrial Area, Dehradun, Uttarakhand- 248011</v>
      </c>
      <c r="C2" s="223"/>
      <c r="D2" s="223"/>
      <c r="E2" s="223"/>
      <c r="F2" s="223"/>
      <c r="G2" s="223"/>
      <c r="H2" s="223"/>
      <c r="I2" s="223"/>
      <c r="J2" s="223"/>
    </row>
    <row r="3" spans="1:10" ht="11.25" customHeight="1" x14ac:dyDescent="0.25"/>
    <row r="4" spans="1:10" x14ac:dyDescent="0.25">
      <c r="A4" s="252"/>
      <c r="B4" s="219" t="s">
        <v>770</v>
      </c>
      <c r="C4" s="244"/>
      <c r="D4" s="244"/>
      <c r="E4" s="244"/>
      <c r="F4" s="244"/>
      <c r="G4" s="244"/>
      <c r="H4" s="244"/>
      <c r="I4" s="244"/>
      <c r="J4" s="244"/>
    </row>
    <row r="5" spans="1:10" ht="12" customHeight="1" x14ac:dyDescent="0.25"/>
    <row r="6" spans="1:10" x14ac:dyDescent="0.25">
      <c r="B6" s="245" t="s">
        <v>737</v>
      </c>
      <c r="C6" s="246"/>
      <c r="D6" s="246"/>
      <c r="E6" s="246"/>
      <c r="F6" s="246"/>
      <c r="G6" s="245" t="s">
        <v>738</v>
      </c>
      <c r="H6" s="246"/>
      <c r="I6" s="245" t="s">
        <v>738</v>
      </c>
      <c r="J6" s="246"/>
    </row>
    <row r="7" spans="1:10" x14ac:dyDescent="0.25">
      <c r="B7" s="247"/>
      <c r="C7" s="240"/>
      <c r="D7" s="240"/>
      <c r="E7" s="240"/>
      <c r="F7" s="240"/>
      <c r="G7" s="247">
        <v>15</v>
      </c>
      <c r="H7" s="240"/>
      <c r="I7" s="247">
        <v>30</v>
      </c>
      <c r="J7" s="240"/>
    </row>
    <row r="8" spans="1:10" x14ac:dyDescent="0.25">
      <c r="B8" s="250"/>
      <c r="C8" s="250" t="s">
        <v>4</v>
      </c>
      <c r="D8" s="250" t="s">
        <v>739</v>
      </c>
      <c r="E8" s="250" t="s">
        <v>740</v>
      </c>
      <c r="F8" s="250" t="s">
        <v>741</v>
      </c>
      <c r="G8" s="245"/>
      <c r="H8" s="250" t="s">
        <v>742</v>
      </c>
      <c r="I8" s="245"/>
      <c r="J8" s="250" t="s">
        <v>742</v>
      </c>
    </row>
    <row r="9" spans="1:10" x14ac:dyDescent="0.25">
      <c r="B9" s="240" t="s">
        <v>49</v>
      </c>
      <c r="C9" s="240">
        <v>0</v>
      </c>
      <c r="D9" s="240">
        <v>0</v>
      </c>
      <c r="E9" s="240">
        <v>0</v>
      </c>
      <c r="F9" s="240">
        <v>0</v>
      </c>
      <c r="G9" s="240">
        <v>1</v>
      </c>
      <c r="H9" s="240">
        <v>-7958.32</v>
      </c>
      <c r="I9" s="240">
        <v>1</v>
      </c>
      <c r="J9" s="240">
        <v>-7958.32</v>
      </c>
    </row>
    <row r="10" spans="1:10" x14ac:dyDescent="0.25">
      <c r="B10" s="240" t="s">
        <v>50</v>
      </c>
      <c r="C10" s="240">
        <v>1</v>
      </c>
      <c r="D10" s="240">
        <v>0</v>
      </c>
      <c r="E10" s="240">
        <v>0</v>
      </c>
      <c r="F10" s="240">
        <v>0</v>
      </c>
      <c r="G10" s="240">
        <v>1</v>
      </c>
      <c r="H10" s="240">
        <v>-3468</v>
      </c>
      <c r="I10" s="240">
        <v>1</v>
      </c>
      <c r="J10" s="240">
        <v>-3468</v>
      </c>
    </row>
    <row r="11" spans="1:10" x14ac:dyDescent="0.25">
      <c r="B11" s="240" t="s">
        <v>51</v>
      </c>
      <c r="C11" s="240">
        <v>2</v>
      </c>
      <c r="D11" s="248">
        <f>'P&amp;L(Proposed)'!G29</f>
        <v>506.81534328124997</v>
      </c>
      <c r="E11" s="248">
        <f>'P&amp;L(Proposed)'!G31+'P&amp;L(Proposed)'!G18+'P&amp;L(Proposed)'!G36</f>
        <v>139.56212546875</v>
      </c>
      <c r="F11" s="248">
        <f>E11-D11</f>
        <v>-367.2532178125</v>
      </c>
      <c r="G11" s="240">
        <v>0.86960000000000004</v>
      </c>
      <c r="H11" s="240">
        <v>1686.41</v>
      </c>
      <c r="I11" s="240">
        <v>0.76919999999999999</v>
      </c>
      <c r="J11" s="240">
        <v>1491.83</v>
      </c>
    </row>
    <row r="12" spans="1:10" x14ac:dyDescent="0.25">
      <c r="B12" s="240" t="s">
        <v>52</v>
      </c>
      <c r="C12" s="240">
        <v>3</v>
      </c>
      <c r="D12" s="248">
        <f>'P&amp;L(Proposed)'!H29</f>
        <v>3999.5519483124995</v>
      </c>
      <c r="E12" s="248">
        <f>'P&amp;L(Proposed)'!H31+'P&amp;L(Proposed)'!H18+'P&amp;L(Proposed)'!H36</f>
        <v>2194.9349141875005</v>
      </c>
      <c r="F12" s="248">
        <f t="shared" ref="F12:F22" si="0">E12-D12</f>
        <v>-1804.617034124999</v>
      </c>
      <c r="G12" s="240">
        <v>0.75609999999999999</v>
      </c>
      <c r="H12" s="240">
        <v>2464.7199999999998</v>
      </c>
      <c r="I12" s="240">
        <v>0.5917</v>
      </c>
      <c r="J12" s="240">
        <v>1928.75</v>
      </c>
    </row>
    <row r="13" spans="1:10" x14ac:dyDescent="0.25">
      <c r="B13" s="240" t="s">
        <v>53</v>
      </c>
      <c r="C13" s="240">
        <v>4</v>
      </c>
      <c r="D13" s="248">
        <f>'P&amp;L(Proposed)'!I29</f>
        <v>4864.7816819999989</v>
      </c>
      <c r="E13" s="248">
        <f>'P&amp;L(Proposed)'!I31+'P&amp;L(Proposed)'!I18+'P&amp;L(Proposed)'!I36</f>
        <v>1847.5838673750013</v>
      </c>
      <c r="F13" s="248">
        <f t="shared" si="0"/>
        <v>-3017.1978146249976</v>
      </c>
      <c r="G13" s="240">
        <v>0.65749999999999997</v>
      </c>
      <c r="H13" s="240">
        <v>2315.98</v>
      </c>
      <c r="I13" s="240">
        <v>0.45519999999999999</v>
      </c>
      <c r="J13" s="240">
        <v>1603.24</v>
      </c>
    </row>
    <row r="14" spans="1:10" x14ac:dyDescent="0.25">
      <c r="B14" s="240" t="s">
        <v>54</v>
      </c>
      <c r="C14" s="240">
        <v>5</v>
      </c>
      <c r="D14" s="248">
        <f>'P&amp;L(Proposed)'!J29</f>
        <v>5354.0138367634481</v>
      </c>
      <c r="E14" s="248">
        <f>'P&amp;L(Proposed)'!J31+'P&amp;L(Proposed)'!J18+'P&amp;L(Proposed)'!J36</f>
        <v>1881.2203192053021</v>
      </c>
      <c r="F14" s="248">
        <f t="shared" si="0"/>
        <v>-3472.793517558146</v>
      </c>
      <c r="G14" s="240">
        <v>0.57179999999999997</v>
      </c>
      <c r="H14" s="240">
        <v>2137.12</v>
      </c>
      <c r="I14" s="240">
        <v>0.35010000000000002</v>
      </c>
      <c r="J14" s="240">
        <v>1308.72</v>
      </c>
    </row>
    <row r="15" spans="1:10" x14ac:dyDescent="0.25">
      <c r="B15" s="240" t="s">
        <v>55</v>
      </c>
      <c r="C15" s="240">
        <v>6</v>
      </c>
      <c r="D15" s="248">
        <f>'P&amp;L(Proposed)'!K29</f>
        <v>5864.9318402490853</v>
      </c>
      <c r="E15" s="248">
        <f>'P&amp;L(Proposed)'!K31+'P&amp;L(Proposed)'!K18+'P&amp;L(Proposed)'!K36</f>
        <v>1898.7924974243538</v>
      </c>
      <c r="F15" s="248">
        <f t="shared" si="0"/>
        <v>-3966.1393428247316</v>
      </c>
      <c r="G15" s="240">
        <v>0.49719999999999998</v>
      </c>
      <c r="H15" s="240">
        <v>1948.8</v>
      </c>
      <c r="I15" s="240">
        <v>0.26929999999999998</v>
      </c>
      <c r="J15" s="240">
        <v>1055.7</v>
      </c>
    </row>
    <row r="16" spans="1:10" x14ac:dyDescent="0.25">
      <c r="B16" s="240" t="s">
        <v>56</v>
      </c>
      <c r="C16" s="240">
        <v>7</v>
      </c>
      <c r="D16" s="248">
        <f>'P&amp;L(Proposed)'!L29</f>
        <v>6518.7134798985135</v>
      </c>
      <c r="E16" s="248">
        <f>'P&amp;L(Proposed)'!L31+'P&amp;L(Proposed)'!L18+'P&amp;L(Proposed)'!L36</f>
        <v>1778.0197973389104</v>
      </c>
      <c r="F16" s="248">
        <f t="shared" si="0"/>
        <v>-4740.6936825596031</v>
      </c>
      <c r="G16" s="240">
        <v>0.43230000000000002</v>
      </c>
      <c r="H16" s="240">
        <v>1321.32</v>
      </c>
      <c r="I16" s="240">
        <v>0.2072</v>
      </c>
      <c r="J16" s="240">
        <v>633.19000000000005</v>
      </c>
    </row>
    <row r="17" spans="2:10" x14ac:dyDescent="0.25">
      <c r="B17" s="240" t="s">
        <v>57</v>
      </c>
      <c r="C17" s="240">
        <v>8</v>
      </c>
      <c r="D17" s="248">
        <f>'P&amp;L(Proposed)'!M29</f>
        <v>6758.1775453355331</v>
      </c>
      <c r="E17" s="248">
        <f>'P&amp;L(Proposed)'!M31+'P&amp;L(Proposed)'!M18+'P&amp;L(Proposed)'!M36</f>
        <v>2075.1392477597788</v>
      </c>
      <c r="F17" s="248">
        <f t="shared" si="0"/>
        <v>-4683.0382975757548</v>
      </c>
      <c r="G17" s="240">
        <v>0.37590000000000001</v>
      </c>
      <c r="H17" s="240">
        <v>678.68</v>
      </c>
      <c r="I17" s="240">
        <v>0.15939999999999999</v>
      </c>
      <c r="J17" s="240">
        <v>287.7</v>
      </c>
    </row>
    <row r="18" spans="2:10" x14ac:dyDescent="0.25">
      <c r="B18" s="240" t="s">
        <v>62</v>
      </c>
      <c r="C18" s="240">
        <v>9</v>
      </c>
      <c r="D18" s="248">
        <f>'P&amp;L(Proposed)'!N29</f>
        <v>7459.0923143364416</v>
      </c>
      <c r="E18" s="248">
        <f>'P&amp;L(Proposed)'!N31+'P&amp;L(Proposed)'!N18+'P&amp;L(Proposed)'!N36</f>
        <v>1913.5740898687225</v>
      </c>
      <c r="F18" s="248">
        <f t="shared" si="0"/>
        <v>-5545.5182244677189</v>
      </c>
      <c r="G18" s="240">
        <v>0.32690000000000002</v>
      </c>
      <c r="H18" s="240">
        <v>7667.37</v>
      </c>
      <c r="I18" s="240">
        <v>0.1226</v>
      </c>
      <c r="J18" s="240">
        <v>2875.29</v>
      </c>
    </row>
    <row r="19" spans="2:10" x14ac:dyDescent="0.25">
      <c r="B19" s="240" t="s">
        <v>63</v>
      </c>
      <c r="C19" s="240">
        <v>10</v>
      </c>
      <c r="D19" s="248">
        <f>'P&amp;L(Proposed)'!O29</f>
        <v>7676.8270587643538</v>
      </c>
      <c r="E19" s="248">
        <f>'P&amp;L(Proposed)'!O31+'P&amp;L(Proposed)'!O18+'P&amp;L(Proposed)'!O36</f>
        <v>2237.2627085267727</v>
      </c>
      <c r="F19" s="248">
        <f t="shared" si="0"/>
        <v>-5439.5643502375806</v>
      </c>
      <c r="G19" s="240"/>
      <c r="H19" s="240">
        <v>8794.09</v>
      </c>
      <c r="I19" s="240"/>
      <c r="J19" s="240">
        <v>-241.89</v>
      </c>
    </row>
    <row r="20" spans="2:10" x14ac:dyDescent="0.25">
      <c r="B20" s="240" t="s">
        <v>64</v>
      </c>
      <c r="C20" s="240">
        <v>11</v>
      </c>
      <c r="D20" s="248">
        <f>'P&amp;L(Proposed)'!P29</f>
        <v>8135.6570222080845</v>
      </c>
      <c r="E20" s="248">
        <f>'P&amp;L(Proposed)'!P31+'P&amp;L(Proposed)'!P18+'P&amp;L(Proposed)'!P36</f>
        <v>2322.3929670244356</v>
      </c>
      <c r="F20" s="248">
        <f t="shared" si="0"/>
        <v>-5813.2640551836485</v>
      </c>
      <c r="G20" s="240"/>
      <c r="H20" s="240"/>
      <c r="I20" s="240"/>
      <c r="J20" s="240"/>
    </row>
    <row r="21" spans="2:10" x14ac:dyDescent="0.25">
      <c r="B21" s="240" t="s">
        <v>65</v>
      </c>
      <c r="C21" s="240">
        <v>12</v>
      </c>
      <c r="D21" s="248">
        <f>'P&amp;L(Proposed)'!Q29</f>
        <v>8599.115426090344</v>
      </c>
      <c r="E21" s="248">
        <f>'P&amp;L(Proposed)'!Q31+'P&amp;L(Proposed)'!Q18+'P&amp;L(Proposed)'!Q36</f>
        <v>2427.8199651603541</v>
      </c>
      <c r="F21" s="248">
        <f t="shared" si="0"/>
        <v>-6171.2954609299904</v>
      </c>
    </row>
    <row r="22" spans="2:10" x14ac:dyDescent="0.25">
      <c r="B22" s="240" t="s">
        <v>69</v>
      </c>
      <c r="C22" s="240">
        <v>13</v>
      </c>
      <c r="D22" s="248" t="e">
        <f>'P&amp;L(Proposed)'!#REF!</f>
        <v>#REF!</v>
      </c>
      <c r="E22" s="248" t="e">
        <f>'P&amp;L(Proposed)'!#REF!+'P&amp;L(Proposed)'!#REF!+'P&amp;L(Proposed)'!#REF!</f>
        <v>#REF!</v>
      </c>
      <c r="F22" s="248" t="e">
        <f t="shared" si="0"/>
        <v>#REF!</v>
      </c>
    </row>
    <row r="23" spans="2:10" x14ac:dyDescent="0.25">
      <c r="B23" s="240"/>
      <c r="C23" s="240"/>
      <c r="D23" s="240"/>
      <c r="E23" s="240"/>
    </row>
    <row r="24" spans="2:10" x14ac:dyDescent="0.25">
      <c r="B24" s="240"/>
      <c r="C24" s="240"/>
      <c r="D24" s="240"/>
      <c r="E24" s="240"/>
      <c r="F24" s="240" t="s">
        <v>743</v>
      </c>
      <c r="G24" s="240"/>
      <c r="H24" s="240" t="s">
        <v>744</v>
      </c>
      <c r="I24" s="240"/>
      <c r="J24" s="240" t="s">
        <v>745</v>
      </c>
    </row>
    <row r="25" spans="2:10" x14ac:dyDescent="0.25">
      <c r="B25" s="240"/>
      <c r="C25" s="240"/>
      <c r="D25" s="240"/>
      <c r="E25" s="240"/>
      <c r="F25" s="240" t="s">
        <v>738</v>
      </c>
      <c r="G25" s="240"/>
      <c r="H25" s="240" t="s">
        <v>746</v>
      </c>
      <c r="I25" s="240"/>
      <c r="J25" s="240" t="s">
        <v>747</v>
      </c>
    </row>
    <row r="26" spans="2:10" x14ac:dyDescent="0.25">
      <c r="B26" s="240"/>
      <c r="C26" s="240"/>
      <c r="D26" s="240"/>
      <c r="E26" s="240"/>
      <c r="F26" s="240">
        <v>15</v>
      </c>
      <c r="G26" s="240" t="s">
        <v>30</v>
      </c>
      <c r="H26" s="240">
        <v>15</v>
      </c>
      <c r="I26" s="240" t="s">
        <v>748</v>
      </c>
      <c r="J26" s="240">
        <v>8794.09</v>
      </c>
    </row>
    <row r="27" spans="2:10" x14ac:dyDescent="0.25">
      <c r="B27" s="240"/>
      <c r="C27" s="240"/>
      <c r="D27" s="240"/>
      <c r="E27" s="240"/>
      <c r="F27" s="240"/>
      <c r="G27" s="240"/>
      <c r="H27" s="240"/>
      <c r="I27" s="240"/>
      <c r="J27" s="240" t="s">
        <v>749</v>
      </c>
    </row>
    <row r="28" spans="2:10" x14ac:dyDescent="0.25">
      <c r="B28" s="240"/>
      <c r="C28" s="240"/>
      <c r="D28" s="240"/>
      <c r="E28" s="240"/>
      <c r="F28" s="240" t="s">
        <v>750</v>
      </c>
      <c r="G28" s="240"/>
      <c r="H28" s="240"/>
      <c r="I28" s="240"/>
      <c r="J28" s="240">
        <v>9035.98</v>
      </c>
    </row>
    <row r="29" spans="2:10" x14ac:dyDescent="0.25">
      <c r="B29" s="240"/>
      <c r="C29" s="240"/>
      <c r="D29" s="240"/>
      <c r="F29" s="240"/>
      <c r="G29" s="240"/>
      <c r="H29" s="240"/>
      <c r="I29" s="240"/>
      <c r="J29" s="240"/>
    </row>
    <row r="30" spans="2:10" x14ac:dyDescent="0.25">
      <c r="F30" s="240">
        <v>15</v>
      </c>
      <c r="G30" s="240" t="s">
        <v>30</v>
      </c>
      <c r="H30" s="240">
        <v>14.6</v>
      </c>
      <c r="I30" s="240"/>
      <c r="J30" s="240">
        <v>29.6</v>
      </c>
    </row>
    <row r="31" spans="2:10" x14ac:dyDescent="0.25">
      <c r="F31" s="240"/>
      <c r="G31" s="240"/>
      <c r="H31" s="240"/>
      <c r="I31" s="240"/>
      <c r="J31" s="240"/>
    </row>
    <row r="32" spans="2:10" x14ac:dyDescent="0.25">
      <c r="E32" s="240" t="s">
        <v>751</v>
      </c>
      <c r="F32" s="240"/>
      <c r="G32" s="249">
        <v>0.29599999999999999</v>
      </c>
      <c r="H32" s="240"/>
      <c r="I32" s="240"/>
      <c r="J32" s="240"/>
    </row>
    <row r="35" spans="2:10" x14ac:dyDescent="0.25">
      <c r="B35" s="245" t="s">
        <v>752</v>
      </c>
      <c r="C35" s="250"/>
      <c r="D35" s="250"/>
      <c r="E35" s="250"/>
      <c r="F35" s="250"/>
      <c r="G35" s="245" t="s">
        <v>738</v>
      </c>
      <c r="H35" s="250"/>
      <c r="I35" s="245" t="s">
        <v>738</v>
      </c>
      <c r="J35" s="250"/>
    </row>
    <row r="36" spans="2:10" x14ac:dyDescent="0.25">
      <c r="B36" s="247"/>
      <c r="C36" s="240"/>
      <c r="D36" s="240"/>
      <c r="E36" s="240"/>
      <c r="F36" s="240"/>
      <c r="G36" s="247">
        <v>15</v>
      </c>
      <c r="H36" s="240"/>
      <c r="I36" s="247">
        <v>30</v>
      </c>
      <c r="J36" s="240"/>
    </row>
    <row r="37" spans="2:10" x14ac:dyDescent="0.25">
      <c r="B37" s="250"/>
      <c r="C37" s="250" t="s">
        <v>4</v>
      </c>
      <c r="D37" s="250" t="s">
        <v>739</v>
      </c>
      <c r="E37" s="250" t="s">
        <v>740</v>
      </c>
      <c r="F37" s="250" t="s">
        <v>741</v>
      </c>
      <c r="G37" s="245"/>
      <c r="H37" s="250" t="s">
        <v>742</v>
      </c>
      <c r="I37" s="245"/>
      <c r="J37" s="250" t="s">
        <v>742</v>
      </c>
    </row>
    <row r="38" spans="2:10" x14ac:dyDescent="0.25">
      <c r="B38" s="240" t="s">
        <v>49</v>
      </c>
      <c r="C38" s="240">
        <v>0</v>
      </c>
      <c r="D38" s="248">
        <v>0</v>
      </c>
      <c r="E38" s="240">
        <v>0</v>
      </c>
      <c r="F38" s="240">
        <v>-7958.32</v>
      </c>
      <c r="G38" s="240">
        <v>1</v>
      </c>
      <c r="H38" s="240">
        <v>-7958.32</v>
      </c>
      <c r="I38" s="240">
        <v>1</v>
      </c>
      <c r="J38" s="240">
        <v>-7958.32</v>
      </c>
    </row>
    <row r="39" spans="2:10" x14ac:dyDescent="0.25">
      <c r="B39" s="240" t="s">
        <v>50</v>
      </c>
      <c r="C39" s="240">
        <v>1</v>
      </c>
      <c r="D39" s="248">
        <v>0</v>
      </c>
      <c r="E39" s="240">
        <v>0</v>
      </c>
      <c r="F39" s="240">
        <v>-3763.08</v>
      </c>
      <c r="G39" s="240">
        <v>1</v>
      </c>
      <c r="H39" s="240">
        <v>-3763.08</v>
      </c>
      <c r="I39" s="240">
        <v>1</v>
      </c>
      <c r="J39" s="240">
        <v>-3763.08</v>
      </c>
    </row>
    <row r="40" spans="2:10" x14ac:dyDescent="0.25">
      <c r="B40" s="240" t="s">
        <v>51</v>
      </c>
      <c r="C40" s="240">
        <v>2</v>
      </c>
      <c r="D40" s="248">
        <v>2509.1573635499994</v>
      </c>
      <c r="E40" s="240">
        <v>3321.04</v>
      </c>
      <c r="F40" s="240">
        <v>1562.7</v>
      </c>
      <c r="G40" s="240">
        <v>0.86960000000000004</v>
      </c>
      <c r="H40" s="240">
        <v>1358.87</v>
      </c>
      <c r="I40" s="240">
        <v>0.76919999999999999</v>
      </c>
      <c r="J40" s="240">
        <v>1202.08</v>
      </c>
    </row>
    <row r="41" spans="2:10" x14ac:dyDescent="0.25">
      <c r="B41" s="240" t="s">
        <v>52</v>
      </c>
      <c r="C41" s="240">
        <v>3</v>
      </c>
      <c r="D41" s="248">
        <v>3816.2807267999997</v>
      </c>
      <c r="E41" s="240">
        <v>5567.16</v>
      </c>
      <c r="F41" s="240">
        <v>2450.71</v>
      </c>
      <c r="G41" s="240">
        <v>0.75609999999999999</v>
      </c>
      <c r="H41" s="240">
        <v>1853.09</v>
      </c>
      <c r="I41" s="240">
        <v>0.5917</v>
      </c>
      <c r="J41" s="240">
        <v>1450.12</v>
      </c>
    </row>
    <row r="42" spans="2:10" x14ac:dyDescent="0.25">
      <c r="B42" s="240" t="s">
        <v>53</v>
      </c>
      <c r="C42" s="240">
        <v>4</v>
      </c>
      <c r="D42" s="248">
        <v>3920.1536555499997</v>
      </c>
      <c r="E42" s="240">
        <v>6161.54</v>
      </c>
      <c r="F42" s="240">
        <v>2564.08</v>
      </c>
      <c r="G42" s="240">
        <v>0.65749999999999997</v>
      </c>
      <c r="H42" s="240">
        <v>1685.92</v>
      </c>
      <c r="I42" s="240">
        <v>0.45519999999999999</v>
      </c>
      <c r="J42" s="240">
        <v>1167.08</v>
      </c>
    </row>
    <row r="43" spans="2:10" x14ac:dyDescent="0.25">
      <c r="B43" s="240" t="s">
        <v>54</v>
      </c>
      <c r="C43" s="240">
        <v>5</v>
      </c>
      <c r="D43" s="248">
        <v>4375.5354193875</v>
      </c>
      <c r="E43" s="240">
        <v>6972.91</v>
      </c>
      <c r="F43" s="240">
        <v>2582.12</v>
      </c>
      <c r="G43" s="240">
        <v>0.57179999999999997</v>
      </c>
      <c r="H43" s="240">
        <v>1476.34</v>
      </c>
      <c r="I43" s="240">
        <v>0.35010000000000002</v>
      </c>
      <c r="J43" s="240">
        <v>904.07</v>
      </c>
    </row>
    <row r="44" spans="2:10" x14ac:dyDescent="0.25">
      <c r="B44" s="240" t="s">
        <v>55</v>
      </c>
      <c r="C44" s="240">
        <v>6</v>
      </c>
      <c r="D44" s="248">
        <v>4327.9712026593752</v>
      </c>
      <c r="E44" s="240">
        <v>7785.99</v>
      </c>
      <c r="F44" s="240">
        <v>2562.54</v>
      </c>
      <c r="G44" s="240">
        <v>0.49719999999999998</v>
      </c>
      <c r="H44" s="240">
        <v>1274.04</v>
      </c>
      <c r="I44" s="240">
        <v>0.26929999999999998</v>
      </c>
      <c r="J44" s="240">
        <v>690.17</v>
      </c>
    </row>
    <row r="45" spans="2:10" x14ac:dyDescent="0.25">
      <c r="B45" s="240" t="s">
        <v>56</v>
      </c>
      <c r="C45" s="240">
        <v>7</v>
      </c>
      <c r="D45" s="248">
        <v>4796.4026471104698</v>
      </c>
      <c r="E45" s="240">
        <v>8043.1</v>
      </c>
      <c r="F45" s="240">
        <v>1610.12</v>
      </c>
      <c r="G45" s="240">
        <v>0.43230000000000002</v>
      </c>
      <c r="H45" s="240">
        <v>696.1</v>
      </c>
      <c r="I45" s="240">
        <v>0.2072</v>
      </c>
      <c r="J45" s="240">
        <v>333.58</v>
      </c>
    </row>
    <row r="46" spans="2:10" x14ac:dyDescent="0.25">
      <c r="B46" s="240" t="s">
        <v>57</v>
      </c>
      <c r="C46" s="240">
        <v>8</v>
      </c>
      <c r="D46" s="248">
        <v>4760.0181252468974</v>
      </c>
      <c r="E46" s="240">
        <v>7875.9</v>
      </c>
      <c r="F46" s="240">
        <v>358.12</v>
      </c>
      <c r="G46" s="240">
        <v>0.37590000000000001</v>
      </c>
      <c r="H46" s="240">
        <v>134.63</v>
      </c>
      <c r="I46" s="240">
        <v>0.15939999999999999</v>
      </c>
      <c r="J46" s="240">
        <v>57.07</v>
      </c>
    </row>
    <row r="47" spans="2:10" x14ac:dyDescent="0.25">
      <c r="B47" s="240" t="s">
        <v>62</v>
      </c>
      <c r="C47" s="240">
        <v>9</v>
      </c>
      <c r="D47" s="248">
        <v>5238.0240344165641</v>
      </c>
      <c r="E47" s="240">
        <v>29846.29</v>
      </c>
      <c r="F47" s="240">
        <v>21996.77</v>
      </c>
      <c r="G47" s="240">
        <v>0.32690000000000002</v>
      </c>
      <c r="H47" s="240">
        <v>7190.78</v>
      </c>
      <c r="I47" s="240">
        <v>0.1226</v>
      </c>
      <c r="J47" s="240">
        <v>2696.57</v>
      </c>
    </row>
    <row r="48" spans="2:10" x14ac:dyDescent="0.25">
      <c r="B48" s="240" t="s">
        <v>63</v>
      </c>
      <c r="C48" s="240">
        <v>10</v>
      </c>
      <c r="D48" s="248">
        <v>6229.7830286328581</v>
      </c>
      <c r="E48" s="240"/>
      <c r="F48" s="240"/>
      <c r="G48" s="240"/>
      <c r="H48" s="240">
        <v>3948.36</v>
      </c>
      <c r="I48" s="240"/>
      <c r="J48" s="240">
        <v>-3220.66</v>
      </c>
    </row>
    <row r="49" spans="2:10" x14ac:dyDescent="0.25">
      <c r="B49" s="240" t="s">
        <v>64</v>
      </c>
      <c r="C49" s="240">
        <v>11</v>
      </c>
      <c r="D49" s="248">
        <v>6714.7988868560196</v>
      </c>
      <c r="E49" s="240"/>
      <c r="F49" s="240"/>
      <c r="G49" s="240"/>
      <c r="H49" s="240"/>
      <c r="I49" s="240"/>
      <c r="J49" s="240"/>
    </row>
    <row r="50" spans="2:10" x14ac:dyDescent="0.25">
      <c r="B50" s="240" t="s">
        <v>65</v>
      </c>
      <c r="C50" s="240">
        <v>12</v>
      </c>
      <c r="D50" s="248">
        <v>7202.573627726445</v>
      </c>
      <c r="E50" s="240"/>
    </row>
    <row r="51" spans="2:10" x14ac:dyDescent="0.25">
      <c r="B51" s="240" t="s">
        <v>69</v>
      </c>
      <c r="C51" s="240">
        <v>13</v>
      </c>
      <c r="D51" s="248">
        <v>8214.1542774907357</v>
      </c>
      <c r="E51" s="240"/>
    </row>
    <row r="52" spans="2:10" x14ac:dyDescent="0.25">
      <c r="B52" s="240"/>
      <c r="C52" s="240"/>
      <c r="D52" s="248"/>
      <c r="E52" s="240"/>
    </row>
    <row r="53" spans="2:10" x14ac:dyDescent="0.25">
      <c r="B53" s="240"/>
      <c r="C53" s="240"/>
      <c r="D53" s="248"/>
      <c r="E53" s="240"/>
      <c r="F53" s="240" t="s">
        <v>743</v>
      </c>
      <c r="G53" s="240"/>
      <c r="H53" s="240" t="s">
        <v>744</v>
      </c>
      <c r="I53" s="240"/>
      <c r="J53" s="240" t="s">
        <v>745</v>
      </c>
    </row>
    <row r="54" spans="2:10" x14ac:dyDescent="0.25">
      <c r="B54" s="240"/>
      <c r="C54" s="240"/>
      <c r="D54" s="240"/>
      <c r="E54" s="240"/>
      <c r="F54" s="240" t="s">
        <v>738</v>
      </c>
      <c r="G54" s="240"/>
      <c r="H54" s="240" t="s">
        <v>746</v>
      </c>
      <c r="I54" s="240"/>
      <c r="J54" s="240" t="s">
        <v>747</v>
      </c>
    </row>
    <row r="55" spans="2:10" x14ac:dyDescent="0.25">
      <c r="B55" s="240"/>
      <c r="C55" s="240"/>
      <c r="D55" s="240"/>
      <c r="E55" s="240"/>
      <c r="F55" s="240">
        <v>15</v>
      </c>
      <c r="G55" s="240" t="s">
        <v>30</v>
      </c>
      <c r="H55" s="240">
        <v>15</v>
      </c>
      <c r="I55" s="240" t="s">
        <v>748</v>
      </c>
      <c r="J55" s="240">
        <v>3948.36</v>
      </c>
    </row>
    <row r="56" spans="2:10" x14ac:dyDescent="0.25">
      <c r="B56" s="240"/>
      <c r="C56" s="240"/>
      <c r="D56" s="240"/>
      <c r="E56" s="240"/>
      <c r="F56" s="240"/>
      <c r="G56" s="240"/>
      <c r="H56" s="240"/>
      <c r="I56" s="240"/>
      <c r="J56" s="240" t="s">
        <v>749</v>
      </c>
    </row>
    <row r="57" spans="2:10" x14ac:dyDescent="0.25">
      <c r="B57" s="240"/>
      <c r="C57" s="240"/>
      <c r="D57" s="240"/>
      <c r="E57" s="240"/>
      <c r="F57" s="240" t="s">
        <v>750</v>
      </c>
      <c r="G57" s="240"/>
      <c r="H57" s="240"/>
      <c r="I57" s="240"/>
      <c r="J57" s="240">
        <v>7169.02</v>
      </c>
    </row>
    <row r="58" spans="2:10" x14ac:dyDescent="0.25">
      <c r="B58" s="240"/>
      <c r="C58" s="240"/>
      <c r="D58" s="240"/>
      <c r="F58" s="240"/>
      <c r="G58" s="240"/>
      <c r="H58" s="240"/>
      <c r="I58" s="240"/>
      <c r="J58" s="240"/>
    </row>
    <row r="59" spans="2:10" x14ac:dyDescent="0.25">
      <c r="F59" s="240">
        <v>15</v>
      </c>
      <c r="G59" s="240" t="s">
        <v>30</v>
      </c>
      <c r="H59" s="240">
        <v>8.26</v>
      </c>
      <c r="I59" s="240"/>
      <c r="J59" s="240">
        <v>23.26</v>
      </c>
    </row>
    <row r="60" spans="2:10" x14ac:dyDescent="0.25">
      <c r="F60" s="240"/>
      <c r="G60" s="240"/>
      <c r="H60" s="240"/>
      <c r="I60" s="240"/>
      <c r="J60" s="240"/>
    </row>
    <row r="61" spans="2:10" x14ac:dyDescent="0.25">
      <c r="E61" s="240" t="s">
        <v>751</v>
      </c>
      <c r="F61" s="240"/>
      <c r="G61" s="249">
        <v>0.2326</v>
      </c>
      <c r="H61" s="240"/>
      <c r="I61" s="240"/>
      <c r="J61" s="240"/>
    </row>
  </sheetData>
  <pageMargins left="0.7" right="0.7" top="0.75" bottom="0.75" header="0.3" footer="0.3"/>
  <pageSetup scale="88" orientation="landscape" r:id="rId1"/>
  <rowBreaks count="1" manualBreakCount="1">
    <brk id="33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showGridLines="0" zoomScaleNormal="100" workbookViewId="0">
      <selection activeCell="F6" sqref="F6"/>
    </sheetView>
  </sheetViews>
  <sheetFormatPr defaultColWidth="9.140625" defaultRowHeight="15" x14ac:dyDescent="0.25"/>
  <cols>
    <col min="1" max="1" width="4.140625" style="216" customWidth="1"/>
    <col min="2" max="2" width="31" style="243" bestFit="1" customWidth="1"/>
    <col min="3" max="3" width="13.42578125" style="243" bestFit="1" customWidth="1"/>
    <col min="4" max="4" width="18.5703125" style="243" customWidth="1"/>
    <col min="5" max="5" width="17" style="243" customWidth="1"/>
    <col min="6" max="6" width="15.28515625" style="243" customWidth="1"/>
    <col min="7" max="7" width="15.140625" style="243" customWidth="1"/>
    <col min="8" max="8" width="17.85546875" style="243" customWidth="1"/>
    <col min="9" max="9" width="14.140625" style="243" customWidth="1"/>
    <col min="10" max="10" width="15.5703125" style="243" customWidth="1"/>
    <col min="11" max="13" width="9.5703125" style="216" bestFit="1" customWidth="1"/>
    <col min="14" max="15" width="9.140625" style="216"/>
    <col min="16" max="16" width="13.42578125" style="216" bestFit="1" customWidth="1"/>
    <col min="17" max="16384" width="9.140625" style="216"/>
  </cols>
  <sheetData>
    <row r="2" spans="1:17" x14ac:dyDescent="0.25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1.25" customHeight="1" x14ac:dyDescent="0.25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x14ac:dyDescent="0.25">
      <c r="A4" s="252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</row>
    <row r="5" spans="1:17" ht="12" customHeight="1" x14ac:dyDescent="0.25"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x14ac:dyDescent="0.25">
      <c r="B6" s="364" t="s">
        <v>835</v>
      </c>
      <c r="C6" s="365"/>
      <c r="D6" s="365">
        <v>182.75729552446322</v>
      </c>
      <c r="E6" s="365">
        <v>117.00915904708836</v>
      </c>
      <c r="F6" s="365">
        <v>134.56804201737336</v>
      </c>
      <c r="G6" s="365">
        <v>293.84305398780998</v>
      </c>
      <c r="H6" s="365">
        <v>355.91778838761695</v>
      </c>
      <c r="I6" s="365">
        <v>417.90248049345217</v>
      </c>
      <c r="J6" s="365">
        <v>480.09538978475354</v>
      </c>
      <c r="K6" s="365">
        <v>542.96196733407544</v>
      </c>
      <c r="L6" s="365">
        <v>606.80224620272361</v>
      </c>
      <c r="M6" s="365">
        <v>671.78023448388115</v>
      </c>
      <c r="N6" s="365">
        <v>735.1483165003466</v>
      </c>
      <c r="O6" s="365"/>
      <c r="P6" s="365"/>
      <c r="Q6" s="363"/>
    </row>
    <row r="7" spans="1:17" x14ac:dyDescent="0.25"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3"/>
    </row>
    <row r="8" spans="1:17" ht="15.75" thickBot="1" x14ac:dyDescent="0.3">
      <c r="B8" s="366" t="s">
        <v>836</v>
      </c>
      <c r="C8" s="367" t="s">
        <v>49</v>
      </c>
      <c r="D8" s="367" t="s">
        <v>51</v>
      </c>
      <c r="E8" s="367" t="s">
        <v>847</v>
      </c>
      <c r="F8" s="367" t="s">
        <v>53</v>
      </c>
      <c r="G8" s="367" t="s">
        <v>54</v>
      </c>
      <c r="H8" s="367" t="s">
        <v>55</v>
      </c>
      <c r="I8" s="367" t="s">
        <v>56</v>
      </c>
      <c r="J8" s="367" t="s">
        <v>57</v>
      </c>
      <c r="K8" s="367" t="s">
        <v>62</v>
      </c>
      <c r="L8" s="367" t="s">
        <v>63</v>
      </c>
      <c r="M8" s="367" t="s">
        <v>64</v>
      </c>
      <c r="N8" s="367" t="s">
        <v>65</v>
      </c>
      <c r="O8" s="398" t="s">
        <v>69</v>
      </c>
      <c r="P8" s="365"/>
      <c r="Q8" s="363"/>
    </row>
    <row r="9" spans="1:17" ht="15.75" thickTop="1" x14ac:dyDescent="0.25">
      <c r="B9" s="368"/>
      <c r="C9" s="369"/>
      <c r="D9" s="370"/>
      <c r="E9" s="369"/>
      <c r="F9" s="369"/>
      <c r="G9" s="369"/>
      <c r="H9" s="371"/>
      <c r="I9" s="371"/>
      <c r="J9" s="371"/>
      <c r="K9" s="371"/>
      <c r="L9" s="371"/>
      <c r="M9" s="371"/>
      <c r="N9" s="369"/>
      <c r="O9" s="399"/>
      <c r="P9" s="365"/>
      <c r="Q9" s="363"/>
    </row>
    <row r="10" spans="1:17" x14ac:dyDescent="0.25">
      <c r="B10" s="372" t="s">
        <v>837</v>
      </c>
      <c r="C10" s="373">
        <v>409267000</v>
      </c>
      <c r="D10" s="373"/>
      <c r="E10" s="373">
        <v>0</v>
      </c>
      <c r="F10" s="373">
        <v>0</v>
      </c>
      <c r="G10" s="373">
        <v>0</v>
      </c>
      <c r="H10" s="373"/>
      <c r="I10" s="373">
        <v>0</v>
      </c>
      <c r="J10" s="373"/>
      <c r="K10" s="373"/>
      <c r="L10" s="373"/>
      <c r="M10" s="373"/>
      <c r="N10" s="373"/>
      <c r="O10" s="378"/>
      <c r="P10" s="365"/>
      <c r="Q10" s="363"/>
    </row>
    <row r="11" spans="1:17" x14ac:dyDescent="0.25">
      <c r="B11" s="372" t="s">
        <v>838</v>
      </c>
      <c r="C11" s="374"/>
      <c r="D11" s="375"/>
      <c r="E11" s="374"/>
      <c r="F11" s="374"/>
      <c r="G11" s="374"/>
      <c r="H11" s="376"/>
      <c r="I11" s="376"/>
      <c r="J11" s="376"/>
      <c r="K11" s="376"/>
      <c r="L11" s="376"/>
      <c r="M11" s="376"/>
      <c r="N11" s="374"/>
      <c r="O11" s="375"/>
      <c r="P11" s="365"/>
      <c r="Q11" s="363"/>
    </row>
    <row r="12" spans="1:17" x14ac:dyDescent="0.25">
      <c r="B12" s="372" t="s">
        <v>839</v>
      </c>
      <c r="C12" s="373"/>
      <c r="D12" s="373">
        <f ca="1">CONPL!G45</f>
        <v>912.96716852993984</v>
      </c>
      <c r="E12" s="377">
        <f>'[1]Projected profitibilty'!C27</f>
        <v>0</v>
      </c>
      <c r="F12" s="377">
        <f>'[1]Projected profitibilty'!D27</f>
        <v>0</v>
      </c>
      <c r="G12" s="377">
        <f>'[1]Projected profitibilty'!E27</f>
        <v>0</v>
      </c>
      <c r="H12" s="377">
        <f>'[1]Projected profitibilty'!F27</f>
        <v>0</v>
      </c>
      <c r="I12" s="377">
        <f>'[1]Projected profitibilty'!G27</f>
        <v>0</v>
      </c>
      <c r="J12" s="377">
        <f>'[1]Projected profitibilty'!H27</f>
        <v>0</v>
      </c>
      <c r="K12" s="377">
        <f>'[1]Projected profitibilty'!I27</f>
        <v>0</v>
      </c>
      <c r="L12" s="377">
        <f>'[1]Projected profitibilty'!J27</f>
        <v>0</v>
      </c>
      <c r="M12" s="377">
        <f>'[1]Projected profitibilty'!K27</f>
        <v>0</v>
      </c>
      <c r="N12" s="377">
        <f>'[1]Projected profitibilty'!L27</f>
        <v>0</v>
      </c>
      <c r="O12" s="377">
        <f>'[1]Projected profitibilty'!M27</f>
        <v>0</v>
      </c>
      <c r="P12" s="365"/>
      <c r="Q12" s="363"/>
    </row>
    <row r="13" spans="1:17" x14ac:dyDescent="0.25">
      <c r="B13" s="372" t="s">
        <v>840</v>
      </c>
      <c r="C13" s="373"/>
      <c r="D13" s="378">
        <f ca="1">CONPL!G43</f>
        <v>412.73662931321303</v>
      </c>
      <c r="E13" s="378">
        <f ca="1">CONPL!H43</f>
        <v>293.3772582270891</v>
      </c>
      <c r="F13" s="378">
        <f ca="1">CONPL!I43</f>
        <v>341.08321860887781</v>
      </c>
      <c r="G13" s="378">
        <f ca="1">CONPL!J43</f>
        <v>384.29301621112955</v>
      </c>
      <c r="H13" s="378">
        <f ca="1">CONPL!K43</f>
        <v>392.27531123447557</v>
      </c>
      <c r="I13" s="378">
        <f ca="1">CONPL!L43</f>
        <v>510.07279771862613</v>
      </c>
      <c r="J13" s="378">
        <f ca="1">CONPL!M43</f>
        <v>510.16677084195408</v>
      </c>
      <c r="K13" s="378">
        <f ca="1">CONPL!N43</f>
        <v>638.35664291116404</v>
      </c>
      <c r="L13" s="378">
        <f ca="1">CONPL!O43</f>
        <v>706.26797639751248</v>
      </c>
      <c r="M13" s="378">
        <f ca="1">CONPL!P43</f>
        <v>769.65914298219718</v>
      </c>
      <c r="N13" s="378" t="e">
        <f>CONPL!#REF!</f>
        <v>#REF!</v>
      </c>
      <c r="O13" s="378">
        <f>CONPL!Q43</f>
        <v>0</v>
      </c>
      <c r="P13" s="365"/>
      <c r="Q13" s="363"/>
    </row>
    <row r="14" spans="1:17" x14ac:dyDescent="0.25">
      <c r="B14" s="379" t="s">
        <v>23</v>
      </c>
      <c r="C14" s="380"/>
      <c r="D14" s="381"/>
      <c r="E14" s="382">
        <f>'[1]Projected profitibilty'!C23</f>
        <v>862.17341141375005</v>
      </c>
      <c r="F14" s="382">
        <f>'[1]Projected profitibilty'!D23</f>
        <v>822.80202773788756</v>
      </c>
      <c r="G14" s="382">
        <f>'[1]Projected profitibilty'!E23</f>
        <v>775.7137717097844</v>
      </c>
      <c r="H14" s="382">
        <f>'[1]Projected profitibilty'!F23</f>
        <v>724.60764084863877</v>
      </c>
      <c r="I14" s="382">
        <f>'[1]Projected profitibilty'!G23</f>
        <v>648.41097393315272</v>
      </c>
      <c r="J14" s="382">
        <f>'[1]Projected profitibilty'!H23</f>
        <v>570.63403399619915</v>
      </c>
      <c r="K14" s="382">
        <f>'[1]Projected profitibilty'!I23</f>
        <v>488.91580607612468</v>
      </c>
      <c r="L14" s="382">
        <f>'[1]Projected profitibilty'!J23</f>
        <v>390.07010690479296</v>
      </c>
      <c r="M14" s="382">
        <f>'[1]Projected profitibilty'!K23</f>
        <v>313.45697727951995</v>
      </c>
      <c r="N14" s="382">
        <f>'[1]Projected profitibilty'!L23</f>
        <v>0</v>
      </c>
      <c r="O14" s="382">
        <f>'[1]Projected profitibilty'!M23</f>
        <v>0</v>
      </c>
      <c r="P14" s="365"/>
      <c r="Q14" s="363"/>
    </row>
    <row r="15" spans="1:17" x14ac:dyDescent="0.25">
      <c r="B15" s="379"/>
      <c r="C15" s="380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3"/>
      <c r="O15" s="383"/>
      <c r="P15" s="365"/>
      <c r="Q15" s="363"/>
    </row>
    <row r="16" spans="1:17" x14ac:dyDescent="0.25">
      <c r="B16" s="384" t="s">
        <v>841</v>
      </c>
      <c r="C16" s="385">
        <f>SUM(C10:C12)</f>
        <v>409267000</v>
      </c>
      <c r="D16" s="386">
        <f ca="1">+D12+D13+D14</f>
        <v>1325.7037978431529</v>
      </c>
      <c r="E16" s="387">
        <f ca="1">+E12+E13+E14</f>
        <v>1155.5506696408393</v>
      </c>
      <c r="F16" s="387">
        <f t="shared" ref="F16:N16" ca="1" si="0">+F12+F13+F14</f>
        <v>1163.8852463467654</v>
      </c>
      <c r="G16" s="387">
        <f t="shared" ca="1" si="0"/>
        <v>1160.0067879209139</v>
      </c>
      <c r="H16" s="387">
        <f t="shared" ca="1" si="0"/>
        <v>1116.8829520831143</v>
      </c>
      <c r="I16" s="387">
        <f t="shared" ca="1" si="0"/>
        <v>1158.4837716517789</v>
      </c>
      <c r="J16" s="387">
        <f t="shared" ca="1" si="0"/>
        <v>1080.8008048381532</v>
      </c>
      <c r="K16" s="387">
        <f t="shared" ca="1" si="0"/>
        <v>1127.2724489872887</v>
      </c>
      <c r="L16" s="387">
        <f t="shared" ca="1" si="0"/>
        <v>1096.3380833023054</v>
      </c>
      <c r="M16" s="387">
        <f t="shared" ca="1" si="0"/>
        <v>1083.1161202617172</v>
      </c>
      <c r="N16" s="388" t="e">
        <f t="shared" si="0"/>
        <v>#REF!</v>
      </c>
      <c r="O16" s="388">
        <f t="shared" ref="O16" si="1">+O12+O13+O14</f>
        <v>0</v>
      </c>
      <c r="P16" s="365"/>
      <c r="Q16" s="363"/>
    </row>
    <row r="17" spans="2:17" x14ac:dyDescent="0.25">
      <c r="B17" s="379"/>
      <c r="C17" s="380"/>
      <c r="D17" s="381"/>
      <c r="E17" s="380"/>
      <c r="F17" s="380"/>
      <c r="G17" s="380"/>
      <c r="H17" s="389"/>
      <c r="I17" s="389"/>
      <c r="J17" s="389"/>
      <c r="K17" s="389"/>
      <c r="L17" s="389"/>
      <c r="M17" s="389"/>
      <c r="N17" s="380"/>
      <c r="O17" s="380"/>
      <c r="P17" s="365"/>
      <c r="Q17" s="363"/>
    </row>
    <row r="18" spans="2:17" x14ac:dyDescent="0.25">
      <c r="B18" s="372" t="s">
        <v>842</v>
      </c>
      <c r="C18" s="373"/>
      <c r="D18" s="378"/>
      <c r="E18" s="373"/>
      <c r="F18" s="373"/>
      <c r="G18" s="373"/>
      <c r="H18" s="390"/>
      <c r="I18" s="390"/>
      <c r="J18" s="390"/>
      <c r="K18" s="390"/>
      <c r="L18" s="390"/>
      <c r="M18" s="390"/>
      <c r="N18" s="373"/>
      <c r="O18" s="373"/>
      <c r="P18" s="391" t="e">
        <f t="shared" ref="P18:P23" ca="1" si="2">SUM(C19:N19)</f>
        <v>#REF!</v>
      </c>
      <c r="Q18" s="363"/>
    </row>
    <row r="19" spans="2:17" x14ac:dyDescent="0.25">
      <c r="B19" s="392">
        <v>0.31</v>
      </c>
      <c r="C19" s="373">
        <f>-C10</f>
        <v>-409267000</v>
      </c>
      <c r="D19" s="373">
        <f ca="1">+D16/(1+$A$18)^1</f>
        <v>1325.7037978431529</v>
      </c>
      <c r="E19" s="373">
        <f ca="1">+E16/(1+$A$18)^1</f>
        <v>1155.5506696408393</v>
      </c>
      <c r="F19" s="373">
        <f ca="1">+F16/(1+$A$18)^2</f>
        <v>1163.8852463467654</v>
      </c>
      <c r="G19" s="373">
        <f ca="1">+G16/(1+$A$18)^3</f>
        <v>1160.0067879209139</v>
      </c>
      <c r="H19" s="373">
        <f ca="1">+H16/(1+$A$18)^4</f>
        <v>1116.8829520831143</v>
      </c>
      <c r="I19" s="373">
        <f ca="1">+I16/(1+$A$18)^5</f>
        <v>1158.4837716517789</v>
      </c>
      <c r="J19" s="373">
        <f ca="1">+J16/(1+$A$18)^6</f>
        <v>1080.8008048381532</v>
      </c>
      <c r="K19" s="373">
        <f ca="1">+K16/(1+$A$18)^7</f>
        <v>1127.2724489872887</v>
      </c>
      <c r="L19" s="373">
        <f ca="1">+L16/(1+$A$18)^8</f>
        <v>1096.3380833023054</v>
      </c>
      <c r="M19" s="373">
        <f ca="1">+M16/(1+$A$18)^9</f>
        <v>1083.1161202617172</v>
      </c>
      <c r="N19" s="373" t="e">
        <f>+N16/(1+$A$18)^10</f>
        <v>#REF!</v>
      </c>
      <c r="O19" s="373">
        <f>+O16/(1+$A$18)^10</f>
        <v>0</v>
      </c>
      <c r="P19" s="391">
        <f t="shared" si="2"/>
        <v>0</v>
      </c>
      <c r="Q19" s="363"/>
    </row>
    <row r="20" spans="2:17" x14ac:dyDescent="0.25">
      <c r="B20" s="372" t="s">
        <v>843</v>
      </c>
      <c r="C20" s="373">
        <f>+C12</f>
        <v>0</v>
      </c>
      <c r="D20" s="373">
        <v>0</v>
      </c>
      <c r="E20" s="373">
        <v>0</v>
      </c>
      <c r="F20" s="373">
        <v>0</v>
      </c>
      <c r="G20" s="373">
        <v>0</v>
      </c>
      <c r="H20" s="373">
        <v>0</v>
      </c>
      <c r="I20" s="373">
        <v>0</v>
      </c>
      <c r="J20" s="373">
        <v>0</v>
      </c>
      <c r="K20" s="373">
        <v>0</v>
      </c>
      <c r="L20" s="373">
        <v>0</v>
      </c>
      <c r="M20" s="373">
        <v>0</v>
      </c>
      <c r="N20" s="373">
        <v>0</v>
      </c>
      <c r="O20" s="373"/>
      <c r="P20" s="391">
        <f t="shared" si="2"/>
        <v>0</v>
      </c>
      <c r="Q20" s="363"/>
    </row>
    <row r="21" spans="2:17" x14ac:dyDescent="0.25">
      <c r="B21" s="372"/>
      <c r="C21" s="373"/>
      <c r="D21" s="378"/>
      <c r="E21" s="373"/>
      <c r="F21" s="373"/>
      <c r="G21" s="373"/>
      <c r="H21" s="390"/>
      <c r="I21" s="390"/>
      <c r="J21" s="390"/>
      <c r="K21" s="390"/>
      <c r="L21" s="390"/>
      <c r="M21" s="390"/>
      <c r="N21" s="373"/>
      <c r="O21" s="373"/>
      <c r="P21" s="391" t="e">
        <f t="shared" ca="1" si="2"/>
        <v>#REF!</v>
      </c>
      <c r="Q21" s="363"/>
    </row>
    <row r="22" spans="2:17" x14ac:dyDescent="0.25">
      <c r="B22" s="392">
        <v>9.7500000000000003E-2</v>
      </c>
      <c r="C22" s="373">
        <v>-39903532.5</v>
      </c>
      <c r="D22" s="373">
        <f ca="1">+D16/(1+$A$21)^1</f>
        <v>1325.7037978431529</v>
      </c>
      <c r="E22" s="373">
        <f ca="1">+E16/(1+$A$21)^1</f>
        <v>1155.5506696408393</v>
      </c>
      <c r="F22" s="373">
        <f ca="1">+F16/(1+$A$21)^2</f>
        <v>1163.8852463467654</v>
      </c>
      <c r="G22" s="373">
        <f ca="1">+G16/(1+$A$21)^3</f>
        <v>1160.0067879209139</v>
      </c>
      <c r="H22" s="373">
        <f ca="1">+H16/(1+$A$21)^4</f>
        <v>1116.8829520831143</v>
      </c>
      <c r="I22" s="373">
        <f ca="1">+I16/(1+$A$21)^5</f>
        <v>1158.4837716517789</v>
      </c>
      <c r="J22" s="373">
        <f ca="1">+J16/(1+$A$21)^6</f>
        <v>1080.8008048381532</v>
      </c>
      <c r="K22" s="373">
        <f ca="1">+K16/(1+$A$21)^7</f>
        <v>1127.2724489872887</v>
      </c>
      <c r="L22" s="373">
        <f ca="1">+L16/(1+$A$21)^8</f>
        <v>1096.3380833023054</v>
      </c>
      <c r="M22" s="373">
        <f ca="1">+M16/(1+$A$21)^9</f>
        <v>1083.1161202617172</v>
      </c>
      <c r="N22" s="373" t="e">
        <f>+N16/(1+$A$21)^10</f>
        <v>#REF!</v>
      </c>
      <c r="O22" s="373">
        <f>+O16/(1+$A$21)^10</f>
        <v>0</v>
      </c>
      <c r="P22" s="391">
        <f t="shared" si="2"/>
        <v>0</v>
      </c>
      <c r="Q22" s="363"/>
    </row>
    <row r="23" spans="2:17" x14ac:dyDescent="0.25">
      <c r="B23" s="379"/>
      <c r="C23" s="380"/>
      <c r="D23" s="381"/>
      <c r="E23" s="380"/>
      <c r="F23" s="380"/>
      <c r="G23" s="380"/>
      <c r="H23" s="389"/>
      <c r="I23" s="389"/>
      <c r="J23" s="389"/>
      <c r="K23" s="389"/>
      <c r="L23" s="389"/>
      <c r="M23" s="389"/>
      <c r="N23" s="380"/>
      <c r="O23" s="380"/>
      <c r="P23" s="391" t="e">
        <f t="shared" ca="1" si="2"/>
        <v>#REF!</v>
      </c>
      <c r="Q23" s="363"/>
    </row>
    <row r="24" spans="2:17" x14ac:dyDescent="0.25">
      <c r="B24" s="393"/>
      <c r="C24" s="373">
        <v>-39903532.5</v>
      </c>
      <c r="D24" s="373">
        <v>0</v>
      </c>
      <c r="E24" s="373">
        <f ca="1">+E16/(1+$A$23)^1</f>
        <v>1155.5506696408393</v>
      </c>
      <c r="F24" s="373">
        <f ca="1">+F16/(1+$A$23)^2</f>
        <v>1163.8852463467654</v>
      </c>
      <c r="G24" s="373">
        <f ca="1">+G16/(1+$A$23)^3</f>
        <v>1160.0067879209139</v>
      </c>
      <c r="H24" s="373">
        <f ca="1">+H16/(1+$A$23)^4</f>
        <v>1116.8829520831143</v>
      </c>
      <c r="I24" s="373">
        <f ca="1">+I16/(1+$A$23)^5</f>
        <v>1158.4837716517789</v>
      </c>
      <c r="J24" s="373">
        <f ca="1">+J16/(1+$A$23)^6</f>
        <v>1080.8008048381532</v>
      </c>
      <c r="K24" s="373">
        <f ca="1">+K16/(1+$A$23)^7</f>
        <v>1127.2724489872887</v>
      </c>
      <c r="L24" s="373">
        <f ca="1">+L16/(1+$A$23)^8</f>
        <v>1096.3380833023054</v>
      </c>
      <c r="M24" s="373">
        <f ca="1">+M16/(1+$A$23)^9</f>
        <v>1083.1161202617172</v>
      </c>
      <c r="N24" s="373" t="e">
        <f>+N16/(1+$A$23)^10</f>
        <v>#REF!</v>
      </c>
      <c r="O24" s="373">
        <f>+O16/(1+$A$23)^10</f>
        <v>0</v>
      </c>
      <c r="P24" s="365"/>
      <c r="Q24" s="363"/>
    </row>
    <row r="25" spans="2:17" x14ac:dyDescent="0.25">
      <c r="B25" s="379"/>
      <c r="C25" s="380"/>
      <c r="D25" s="381"/>
      <c r="E25" s="380"/>
      <c r="F25" s="380"/>
      <c r="G25" s="380"/>
      <c r="H25" s="389"/>
      <c r="I25" s="389"/>
      <c r="J25" s="389"/>
      <c r="K25" s="389"/>
      <c r="L25" s="389"/>
      <c r="M25" s="389"/>
      <c r="N25" s="380"/>
      <c r="O25" s="381"/>
      <c r="P25" s="365"/>
      <c r="Q25" s="363"/>
    </row>
    <row r="26" spans="2:17" x14ac:dyDescent="0.25">
      <c r="B26" s="365"/>
      <c r="C26" s="365"/>
      <c r="D26" s="365"/>
      <c r="E26" s="365">
        <v>9.25</v>
      </c>
      <c r="F26" s="365"/>
      <c r="G26" s="365">
        <v>20</v>
      </c>
      <c r="H26" s="365"/>
      <c r="I26" s="365"/>
      <c r="J26" s="365"/>
      <c r="K26" s="365"/>
      <c r="L26" s="365"/>
      <c r="M26" s="365"/>
      <c r="N26" s="365"/>
      <c r="O26" s="365"/>
      <c r="P26" s="365"/>
      <c r="Q26" s="363"/>
    </row>
    <row r="27" spans="2:17" x14ac:dyDescent="0.25">
      <c r="B27" s="365"/>
      <c r="C27" s="365"/>
      <c r="D27" s="365" t="s">
        <v>844</v>
      </c>
      <c r="E27" s="391" t="e">
        <f ca="1">SUM(D19:N19)</f>
        <v>#REF!</v>
      </c>
      <c r="F27" s="365"/>
      <c r="G27" s="391" t="e">
        <f ca="1">SUM(E22:N22)</f>
        <v>#REF!</v>
      </c>
      <c r="H27" s="394"/>
      <c r="I27" s="365"/>
      <c r="J27" s="365"/>
      <c r="K27" s="365"/>
      <c r="L27" s="365"/>
      <c r="M27" s="365"/>
      <c r="N27" s="365"/>
      <c r="O27" s="365"/>
      <c r="P27" s="365"/>
      <c r="Q27" s="363"/>
    </row>
    <row r="28" spans="2:17" x14ac:dyDescent="0.25">
      <c r="B28" s="365"/>
      <c r="C28" s="365"/>
      <c r="D28" s="365" t="s">
        <v>845</v>
      </c>
      <c r="E28" s="391">
        <f>+C19</f>
        <v>-409267000</v>
      </c>
      <c r="F28" s="365"/>
      <c r="G28" s="395">
        <v>-36000000</v>
      </c>
      <c r="H28" s="394"/>
      <c r="I28" s="365"/>
      <c r="J28" s="365"/>
      <c r="K28" s="365"/>
      <c r="L28" s="365"/>
      <c r="M28" s="365"/>
      <c r="N28" s="365"/>
      <c r="O28" s="365"/>
      <c r="P28" s="365"/>
      <c r="Q28" s="363"/>
    </row>
    <row r="29" spans="2:17" x14ac:dyDescent="0.25">
      <c r="B29" s="397">
        <f>C16*B22</f>
        <v>39903532.5</v>
      </c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3"/>
    </row>
    <row r="30" spans="2:17" x14ac:dyDescent="0.25">
      <c r="B30" s="365"/>
      <c r="C30" s="365"/>
      <c r="D30" s="365" t="s">
        <v>846</v>
      </c>
      <c r="E30" s="391" t="e">
        <f ca="1">+E27+E28</f>
        <v>#REF!</v>
      </c>
      <c r="F30" s="391">
        <f>+F27+F28</f>
        <v>0</v>
      </c>
      <c r="G30" s="391" t="e">
        <f ca="1">+G27+G28</f>
        <v>#REF!</v>
      </c>
      <c r="H30" s="365"/>
      <c r="I30" s="365"/>
      <c r="J30" s="365"/>
      <c r="K30" s="365"/>
      <c r="L30" s="365"/>
      <c r="M30" s="365"/>
      <c r="N30" s="365"/>
      <c r="O30" s="365"/>
      <c r="P30" s="365"/>
      <c r="Q30" s="363"/>
    </row>
    <row r="31" spans="2:17" x14ac:dyDescent="0.25"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3"/>
    </row>
    <row r="32" spans="2:17" x14ac:dyDescent="0.25"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3"/>
    </row>
    <row r="33" spans="2:17" x14ac:dyDescent="0.25">
      <c r="B33" s="365"/>
      <c r="C33" s="365"/>
      <c r="D33" s="365"/>
      <c r="E33" s="365"/>
      <c r="F33" s="365">
        <v>10</v>
      </c>
      <c r="G33" s="391" t="e">
        <f ca="1">+E30</f>
        <v>#REF!</v>
      </c>
      <c r="H33" s="365">
        <v>10</v>
      </c>
      <c r="I33" s="365"/>
      <c r="J33" s="365"/>
      <c r="K33" s="365"/>
      <c r="L33" s="365"/>
      <c r="M33" s="365"/>
      <c r="N33" s="365"/>
      <c r="O33" s="365"/>
      <c r="P33" s="365"/>
      <c r="Q33" s="363"/>
    </row>
    <row r="34" spans="2:17" x14ac:dyDescent="0.25">
      <c r="B34" s="365"/>
      <c r="C34" s="365"/>
      <c r="D34" s="365"/>
      <c r="E34" s="365"/>
      <c r="F34" s="365"/>
      <c r="G34" s="391" t="e">
        <f ca="1">+E30-G30</f>
        <v>#REF!</v>
      </c>
      <c r="H34" s="365"/>
      <c r="I34" s="365"/>
      <c r="J34" s="365"/>
      <c r="K34" s="365"/>
      <c r="L34" s="365"/>
      <c r="M34" s="365"/>
      <c r="N34" s="365"/>
      <c r="O34" s="365"/>
      <c r="P34" s="365"/>
      <c r="Q34" s="363"/>
    </row>
    <row r="35" spans="2:17" x14ac:dyDescent="0.25"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3"/>
    </row>
    <row r="36" spans="2:17" x14ac:dyDescent="0.25">
      <c r="B36" s="365"/>
      <c r="C36" s="365"/>
      <c r="D36" s="365"/>
      <c r="E36" s="365"/>
      <c r="F36" s="365">
        <v>10</v>
      </c>
      <c r="G36" s="396" t="e">
        <f ca="1">+G33/G34*H33</f>
        <v>#REF!</v>
      </c>
      <c r="H36" s="396" t="e">
        <f ca="1">+F36+G36</f>
        <v>#REF!</v>
      </c>
      <c r="I36" s="365"/>
      <c r="J36" s="365"/>
      <c r="K36" s="365"/>
      <c r="L36" s="365"/>
      <c r="M36" s="365"/>
      <c r="N36" s="365"/>
      <c r="O36" s="365"/>
      <c r="P36" s="365"/>
      <c r="Q36" s="363"/>
    </row>
    <row r="37" spans="2:17" x14ac:dyDescent="0.25">
      <c r="B37" s="363"/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</row>
  </sheetData>
  <pageMargins left="0.7" right="0.7" top="0.75" bottom="0.75" header="0.3" footer="0.3"/>
  <pageSetup scale="88" orientation="landscape" r:id="rId1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A7" zoomScale="90" zoomScaleNormal="90" workbookViewId="0">
      <selection activeCell="F17" sqref="F17"/>
    </sheetView>
  </sheetViews>
  <sheetFormatPr defaultColWidth="9.140625" defaultRowHeight="15" x14ac:dyDescent="0.25"/>
  <cols>
    <col min="1" max="1" width="4.42578125" style="216" bestFit="1" customWidth="1"/>
    <col min="2" max="2" width="22.5703125" style="216" customWidth="1"/>
    <col min="3" max="14" width="11.7109375" style="216" customWidth="1"/>
    <col min="15" max="16" width="12.7109375" style="216" customWidth="1"/>
    <col min="17" max="16384" width="9.140625" style="216"/>
  </cols>
  <sheetData>
    <row r="1" spans="1:16" x14ac:dyDescent="0.25">
      <c r="A1" s="506" t="s">
        <v>832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</row>
    <row r="2" spans="1:16" x14ac:dyDescent="0.25">
      <c r="A2" s="506" t="s">
        <v>87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</row>
    <row r="4" spans="1:16" x14ac:dyDescent="0.25">
      <c r="A4" s="505" t="s">
        <v>834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</row>
    <row r="5" spans="1:16" ht="15.75" thickBot="1" x14ac:dyDescent="0.3">
      <c r="A5" s="420"/>
      <c r="B5" s="420" t="s">
        <v>709</v>
      </c>
      <c r="C5" s="486" t="s">
        <v>110</v>
      </c>
      <c r="D5" s="486" t="s">
        <v>49</v>
      </c>
      <c r="E5" s="486" t="s">
        <v>50</v>
      </c>
      <c r="F5" s="486" t="s">
        <v>51</v>
      </c>
      <c r="G5" s="486" t="s">
        <v>52</v>
      </c>
      <c r="H5" s="486" t="s">
        <v>53</v>
      </c>
      <c r="I5" s="486" t="s">
        <v>54</v>
      </c>
      <c r="J5" s="486" t="s">
        <v>55</v>
      </c>
      <c r="K5" s="486" t="s">
        <v>56</v>
      </c>
      <c r="L5" s="486" t="s">
        <v>57</v>
      </c>
      <c r="M5" s="486" t="s">
        <v>62</v>
      </c>
      <c r="N5" s="486" t="s">
        <v>63</v>
      </c>
      <c r="O5" s="486" t="s">
        <v>64</v>
      </c>
      <c r="P5" s="486" t="s">
        <v>65</v>
      </c>
    </row>
    <row r="6" spans="1:16" ht="15.75" thickTop="1" x14ac:dyDescent="0.25"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</row>
    <row r="7" spans="1:16" x14ac:dyDescent="0.25">
      <c r="A7" s="218">
        <v>1</v>
      </c>
      <c r="B7" s="216" t="s">
        <v>32</v>
      </c>
      <c r="C7" s="487">
        <f>'P&amp;L Existing'!C7+'P&amp;L(Proposed)'!D8</f>
        <v>5074.8100000000004</v>
      </c>
      <c r="D7" s="487">
        <f>'P&amp;L Existing'!D7+'P&amp;L(Proposed)'!E8</f>
        <v>6000</v>
      </c>
      <c r="E7" s="487">
        <f>'P&amp;L Existing'!E7+'P&amp;L(Proposed)'!F8</f>
        <v>6600.0000000000009</v>
      </c>
      <c r="F7" s="487">
        <f>'P&amp;L Existing'!F7+'P&amp;L(Proposed)'!G8</f>
        <v>7611.1797187500015</v>
      </c>
      <c r="G7" s="487">
        <f>'P&amp;L Existing'!G7+'P&amp;L(Proposed)'!H8</f>
        <v>13404.201375000002</v>
      </c>
      <c r="H7" s="487">
        <f>'P&amp;L Existing'!H7+'P&amp;L(Proposed)'!I8</f>
        <v>14804.823750000003</v>
      </c>
      <c r="I7" s="487">
        <f>'P&amp;L Existing'!I7+'P&amp;L(Proposed)'!J8</f>
        <v>16285.306125000005</v>
      </c>
      <c r="J7" s="487">
        <f>'P&amp;L Existing'!J7+'P&amp;L(Proposed)'!K8</f>
        <v>17853.634500000007</v>
      </c>
      <c r="K7" s="487">
        <f>'P&amp;L Existing'!K7+'P&amp;L(Proposed)'!L8</f>
        <v>19518.593475000009</v>
      </c>
      <c r="L7" s="487">
        <f>'P&amp;L Existing'!L7+'P&amp;L(Proposed)'!M8</f>
        <v>21289.846110000013</v>
      </c>
      <c r="M7" s="487">
        <f>'P&amp;L Existing'!M7+'P&amp;L(Proposed)'!N8</f>
        <v>23178.021771000014</v>
      </c>
      <c r="N7" s="487">
        <f>'P&amp;L Existing'!N7+'P&amp;L(Proposed)'!O8</f>
        <v>25194.812760600016</v>
      </c>
      <c r="O7" s="487">
        <f>'P&amp;L Existing'!O7+'P&amp;L(Proposed)'!P8</f>
        <v>27353.080611660018</v>
      </c>
      <c r="P7" s="487">
        <f>'P&amp;L Existing'!P7+'P&amp;L(Proposed)'!Q8</f>
        <v>29666.973010326023</v>
      </c>
    </row>
    <row r="8" spans="1:16" x14ac:dyDescent="0.25">
      <c r="A8" s="218"/>
      <c r="B8" s="216" t="s">
        <v>6</v>
      </c>
      <c r="C8" s="487">
        <f>'P&amp;L Existing'!C8+'P&amp;L(Proposed)'!D9</f>
        <v>0.14000000000000001</v>
      </c>
      <c r="D8" s="487">
        <f>'P&amp;L Existing'!D8+'P&amp;L(Proposed)'!E9</f>
        <v>5</v>
      </c>
      <c r="E8" s="487">
        <f>'P&amp;L Existing'!E8+'P&amp;L(Proposed)'!F9</f>
        <v>5.5</v>
      </c>
      <c r="F8" s="487">
        <f>'P&amp;L Existing'!F8+'P&amp;L(Proposed)'!G9</f>
        <v>9.0500000000000007</v>
      </c>
      <c r="G8" s="487">
        <f>'P&amp;L Existing'!G8+'P&amp;L(Proposed)'!H9</f>
        <v>9.9550000000000018</v>
      </c>
      <c r="H8" s="487">
        <f>'P&amp;L Existing'!H8+'P&amp;L(Proposed)'!I9</f>
        <v>10.950500000000002</v>
      </c>
      <c r="I8" s="487">
        <f>'P&amp;L Existing'!I8+'P&amp;L(Proposed)'!J9</f>
        <v>12.045550000000002</v>
      </c>
      <c r="J8" s="487">
        <f>'P&amp;L Existing'!J8+'P&amp;L(Proposed)'!K9</f>
        <v>13.250105000000005</v>
      </c>
      <c r="K8" s="487">
        <f>'P&amp;L Existing'!K8+'P&amp;L(Proposed)'!L9</f>
        <v>14.575115500000006</v>
      </c>
      <c r="L8" s="487">
        <f>'P&amp;L Existing'!L8+'P&amp;L(Proposed)'!M9</f>
        <v>16.032627050000009</v>
      </c>
      <c r="M8" s="487">
        <f>'P&amp;L Existing'!M8+'P&amp;L(Proposed)'!N9</f>
        <v>17.635889755000012</v>
      </c>
      <c r="N8" s="487">
        <f>'P&amp;L Existing'!N8+'P&amp;L(Proposed)'!O9</f>
        <v>19.399478730500014</v>
      </c>
      <c r="O8" s="487">
        <f>'P&amp;L Existing'!O8+'P&amp;L(Proposed)'!P9</f>
        <v>21.339426603550017</v>
      </c>
      <c r="P8" s="487">
        <f>'P&amp;L Existing'!P8+'P&amp;L(Proposed)'!Q9</f>
        <v>23.473369263905017</v>
      </c>
    </row>
    <row r="9" spans="1:16" x14ac:dyDescent="0.25"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</row>
    <row r="10" spans="1:16" ht="15.75" thickBot="1" x14ac:dyDescent="0.3">
      <c r="A10" s="251"/>
      <c r="B10" s="294" t="s">
        <v>7</v>
      </c>
      <c r="C10" s="501">
        <f>SUM(C7:C8)</f>
        <v>5074.9500000000007</v>
      </c>
      <c r="D10" s="501">
        <f>SUM(D7:D8)</f>
        <v>6005</v>
      </c>
      <c r="E10" s="501">
        <f t="shared" ref="E10:P10" si="0">SUM(E7:E8)</f>
        <v>6605.5000000000009</v>
      </c>
      <c r="F10" s="501">
        <f t="shared" si="0"/>
        <v>7620.2297187500017</v>
      </c>
      <c r="G10" s="501">
        <f t="shared" si="0"/>
        <v>13414.156375000002</v>
      </c>
      <c r="H10" s="501">
        <f t="shared" si="0"/>
        <v>14815.774250000004</v>
      </c>
      <c r="I10" s="501">
        <f t="shared" si="0"/>
        <v>16297.351675000005</v>
      </c>
      <c r="J10" s="501">
        <f t="shared" si="0"/>
        <v>17866.884605000007</v>
      </c>
      <c r="K10" s="501">
        <f t="shared" si="0"/>
        <v>19533.168590500009</v>
      </c>
      <c r="L10" s="501">
        <f t="shared" si="0"/>
        <v>21305.878737050014</v>
      </c>
      <c r="M10" s="501">
        <f t="shared" si="0"/>
        <v>23195.657660755016</v>
      </c>
      <c r="N10" s="501">
        <f t="shared" si="0"/>
        <v>25214.212239330514</v>
      </c>
      <c r="O10" s="501">
        <f t="shared" si="0"/>
        <v>27374.420038263568</v>
      </c>
      <c r="P10" s="501">
        <f t="shared" si="0"/>
        <v>29690.446379589928</v>
      </c>
    </row>
    <row r="11" spans="1:16" ht="15.75" thickTop="1" x14ac:dyDescent="0.25">
      <c r="A11" s="218"/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</row>
    <row r="12" spans="1:16" x14ac:dyDescent="0.25">
      <c r="A12" s="218">
        <v>2</v>
      </c>
      <c r="B12" s="216" t="s">
        <v>8</v>
      </c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87"/>
    </row>
    <row r="13" spans="1:16" x14ac:dyDescent="0.25">
      <c r="A13" s="218" t="s">
        <v>9</v>
      </c>
      <c r="B13" s="216" t="s">
        <v>34</v>
      </c>
      <c r="C13" s="487">
        <f>'P&amp;L Existing'!C13+'P&amp;L(Proposed)'!D14</f>
        <v>4025.98</v>
      </c>
      <c r="D13" s="487">
        <f>'P&amp;L Existing'!D13+'P&amp;L(Proposed)'!E14</f>
        <v>4800</v>
      </c>
      <c r="E13" s="487">
        <f>'P&amp;L Existing'!E13+'P&amp;L(Proposed)'!F14</f>
        <v>5280.0000000000009</v>
      </c>
      <c r="F13" s="487">
        <f>'P&amp;L Existing'!F13+'P&amp;L(Proposed)'!G14</f>
        <v>6053.8258031250016</v>
      </c>
      <c r="G13" s="487">
        <f>'P&amp;L Existing'!G13+'P&amp;L(Proposed)'!H14</f>
        <v>10181.540962500003</v>
      </c>
      <c r="H13" s="487">
        <f>'P&amp;L Existing'!H13+'P&amp;L(Proposed)'!I14</f>
        <v>11241.836625000004</v>
      </c>
      <c r="I13" s="487">
        <f>'P&amp;L Existing'!I13+'P&amp;L(Proposed)'!J14</f>
        <v>12366.020287500003</v>
      </c>
      <c r="J13" s="487">
        <f>'P&amp;L Existing'!J13+'P&amp;L(Proposed)'!K14</f>
        <v>13560.480750000006</v>
      </c>
      <c r="K13" s="487">
        <f>'P&amp;L Existing'!K13+'P&amp;L(Proposed)'!L14</f>
        <v>14832.245692500008</v>
      </c>
      <c r="L13" s="487">
        <f>'P&amp;L Existing'!L13+'P&amp;L(Proposed)'!M14</f>
        <v>16189.045563000009</v>
      </c>
      <c r="M13" s="487">
        <f>'P&amp;L Existing'!M13+'P&amp;L(Proposed)'!N14</f>
        <v>17639.383854300009</v>
      </c>
      <c r="N13" s="487">
        <f>'P&amp;L Existing'!N13+'P&amp;L(Proposed)'!O14</f>
        <v>19192.614408480011</v>
      </c>
      <c r="O13" s="487">
        <f>'P&amp;L Existing'!O13+'P&amp;L(Proposed)'!P14</f>
        <v>20859.026451828016</v>
      </c>
      <c r="P13" s="487">
        <f>'P&amp;L Existing'!P13+'P&amp;L(Proposed)'!Q14</f>
        <v>22649.938133260817</v>
      </c>
    </row>
    <row r="14" spans="1:16" x14ac:dyDescent="0.25">
      <c r="A14" s="218" t="s">
        <v>11</v>
      </c>
      <c r="B14" s="216" t="s">
        <v>10</v>
      </c>
      <c r="C14" s="487">
        <f>'P&amp;L Existing'!C14+'P&amp;L(Proposed)'!D15</f>
        <v>211.5</v>
      </c>
      <c r="D14" s="487">
        <f>'P&amp;L Existing'!D14+'P&amp;L(Proposed)'!E15</f>
        <v>360</v>
      </c>
      <c r="E14" s="487">
        <f>'P&amp;L Existing'!E14+'P&amp;L(Proposed)'!F15</f>
        <v>396.00000000000006</v>
      </c>
      <c r="F14" s="487">
        <f>'P&amp;L Existing'!F14+'P&amp;L(Proposed)'!G15</f>
        <v>449.8205000000001</v>
      </c>
      <c r="G14" s="487">
        <f>'P&amp;L Existing'!G14+'P&amp;L(Proposed)'!H15</f>
        <v>714.13954200000012</v>
      </c>
      <c r="H14" s="487">
        <f>'P&amp;L Existing'!H14+'P&amp;L(Proposed)'!I15</f>
        <v>780.7047120000002</v>
      </c>
      <c r="I14" s="487">
        <f>'P&amp;L Existing'!I14+'P&amp;L(Proposed)'!J15</f>
        <v>878.58358560720035</v>
      </c>
      <c r="J14" s="487">
        <f>'P&amp;L Existing'!J14+'P&amp;L(Proposed)'!K15</f>
        <v>970.24485307564839</v>
      </c>
      <c r="K14" s="487">
        <f>'P&amp;L Existing'!K14+'P&amp;L(Proposed)'!L15</f>
        <v>1068.9317528485913</v>
      </c>
      <c r="L14" s="487">
        <f>'P&amp;L Existing'!L14+'P&amp;L(Proposed)'!M15</f>
        <v>1175.2597072152221</v>
      </c>
      <c r="M14" s="487">
        <f>'P&amp;L Existing'!M14+'P&amp;L(Proposed)'!N15</f>
        <v>1289.9030512537786</v>
      </c>
      <c r="N14" s="487">
        <f>'P&amp;L Existing'!N14+'P&amp;L(Proposed)'!O15</f>
        <v>1413.6008537892312</v>
      </c>
      <c r="O14" s="487">
        <f>'P&amp;L Existing'!O14+'P&amp;L(Proposed)'!P15</f>
        <v>1547.1633186856643</v>
      </c>
      <c r="P14" s="487">
        <f>'P&amp;L Existing'!P14+'P&amp;L(Proposed)'!Q15</f>
        <v>1691.4788244645097</v>
      </c>
    </row>
    <row r="15" spans="1:16" x14ac:dyDescent="0.25">
      <c r="A15" s="218" t="s">
        <v>13</v>
      </c>
      <c r="B15" s="216" t="s">
        <v>12</v>
      </c>
      <c r="C15" s="487">
        <f>'P&amp;L Existing'!C15+'P&amp;L(Proposed)'!D16</f>
        <v>71.92</v>
      </c>
      <c r="D15" s="487">
        <f>'P&amp;L Existing'!D15+'P&amp;L(Proposed)'!E16</f>
        <v>90</v>
      </c>
      <c r="E15" s="487">
        <f>'P&amp;L Existing'!E15+'P&amp;L(Proposed)'!F16</f>
        <v>99.000000000000014</v>
      </c>
      <c r="F15" s="487">
        <f>'P&amp;L Existing'!F15+'P&amp;L(Proposed)'!G16</f>
        <v>117.67949296875003</v>
      </c>
      <c r="G15" s="487">
        <f>'P&amp;L Existing'!G15+'P&amp;L(Proposed)'!H16</f>
        <v>255.24503437500005</v>
      </c>
      <c r="H15" s="487">
        <f>'P&amp;L Existing'!H15+'P&amp;L(Proposed)'!I16</f>
        <v>282.27459375000007</v>
      </c>
      <c r="I15" s="487">
        <f>'P&amp;L Existing'!I15+'P&amp;L(Proposed)'!J16</f>
        <v>310.50205312500009</v>
      </c>
      <c r="J15" s="487">
        <f>'P&amp;L Existing'!J15+'P&amp;L(Proposed)'!K16</f>
        <v>340.04720250000014</v>
      </c>
      <c r="K15" s="487">
        <f>'P&amp;L Existing'!K15+'P&amp;L(Proposed)'!L16</f>
        <v>371.04181087500012</v>
      </c>
      <c r="L15" s="487">
        <f>'P&amp;L Existing'!L15+'P&amp;L(Proposed)'!M16</f>
        <v>403.63082415000019</v>
      </c>
      <c r="M15" s="487">
        <f>'P&amp;L Existing'!M15+'P&amp;L(Proposed)'!N16</f>
        <v>437.97368281500019</v>
      </c>
      <c r="N15" s="487">
        <f>'P&amp;L Existing'!N15+'P&amp;L(Proposed)'!O16</f>
        <v>474.24577140900027</v>
      </c>
      <c r="O15" s="487">
        <f>'P&amp;L Existing'!O15+'P&amp;L(Proposed)'!P16</f>
        <v>512.64001292490025</v>
      </c>
      <c r="P15" s="487">
        <f>'P&amp;L Existing'!P15+'P&amp;L(Proposed)'!Q16</f>
        <v>553.36862265489037</v>
      </c>
    </row>
    <row r="16" spans="1:16" x14ac:dyDescent="0.25">
      <c r="A16" s="218" t="s">
        <v>14</v>
      </c>
      <c r="B16" s="216" t="s">
        <v>35</v>
      </c>
      <c r="C16" s="487">
        <f>'P&amp;L Existing'!C16+'P&amp;L(Proposed)'!D17</f>
        <v>115.67999999999999</v>
      </c>
      <c r="D16" s="487">
        <f>'P&amp;L Existing'!D16+'P&amp;L(Proposed)'!E17</f>
        <v>105.00000000000001</v>
      </c>
      <c r="E16" s="487">
        <f>'P&amp;L Existing'!E16+'P&amp;L(Proposed)'!F17</f>
        <v>115.50000000000003</v>
      </c>
      <c r="F16" s="487">
        <f>'P&amp;L Existing'!F16+'P&amp;L(Proposed)'!G17</f>
        <v>130.56179718750005</v>
      </c>
      <c r="G16" s="487">
        <f>'P&amp;L Existing'!G16+'P&amp;L(Proposed)'!H17</f>
        <v>196.64611443750005</v>
      </c>
      <c r="H16" s="487">
        <f>'P&amp;L Existing'!H16+'P&amp;L(Proposed)'!I17</f>
        <v>216.94284937500009</v>
      </c>
      <c r="I16" s="487">
        <f>'P&amp;L Existing'!I16+'P&amp;L(Proposed)'!J17</f>
        <v>238.63713431250011</v>
      </c>
      <c r="J16" s="487">
        <f>'P&amp;L Existing'!J16+'P&amp;L(Proposed)'!K17</f>
        <v>261.86872425000013</v>
      </c>
      <c r="K16" s="487">
        <f>'P&amp;L Existing'!K16+'P&amp;L(Proposed)'!L17</f>
        <v>286.7913496875002</v>
      </c>
      <c r="L16" s="487">
        <f>'P&amp;L Existing'!L16+'P&amp;L(Proposed)'!M17</f>
        <v>313.5741141750002</v>
      </c>
      <c r="M16" s="487">
        <f>'P&amp;L Existing'!M16+'P&amp;L(Proposed)'!N17</f>
        <v>342.40303161750023</v>
      </c>
      <c r="N16" s="487">
        <f>'P&amp;L Existing'!N16+'P&amp;L(Proposed)'!O17</f>
        <v>373.48271731050028</v>
      </c>
      <c r="O16" s="487">
        <f>'P&amp;L Existing'!O16+'P&amp;L(Proposed)'!P17</f>
        <v>407.03824807905033</v>
      </c>
      <c r="P16" s="487">
        <f>'P&amp;L Existing'!P16+'P&amp;L(Proposed)'!Q17</f>
        <v>443.31720843070536</v>
      </c>
    </row>
    <row r="17" spans="1:16" x14ac:dyDescent="0.25">
      <c r="A17" s="218" t="s">
        <v>33</v>
      </c>
      <c r="B17" s="216" t="s">
        <v>0</v>
      </c>
      <c r="C17" s="487">
        <f>'P&amp;L Existing'!C17+'P&amp;L(Proposed)'!D18</f>
        <v>91.36</v>
      </c>
      <c r="D17" s="487">
        <f ca="1">'P&amp;L Existing'!D17+'P&amp;L(Proposed)'!E18</f>
        <v>92.868498023715418</v>
      </c>
      <c r="E17" s="487">
        <f ca="1">'P&amp;L Existing'!E17+'P&amp;L(Proposed)'!F18</f>
        <v>82.500885812932552</v>
      </c>
      <c r="F17" s="487">
        <f ca="1">'P&amp;L Existing'!F17+'P&amp;L(Proposed)'!G18</f>
        <v>342.8046235615675</v>
      </c>
      <c r="G17" s="487">
        <f ca="1">'P&amp;L Existing'!G17+'P&amp;L(Proposed)'!H18</f>
        <v>568.23868884434319</v>
      </c>
      <c r="H17" s="487">
        <f ca="1">'P&amp;L Existing'!H17+'P&amp;L(Proposed)'!I18</f>
        <v>494.13952227081415</v>
      </c>
      <c r="I17" s="487">
        <f ca="1">'P&amp;L Existing'!I17+'P&amp;L(Proposed)'!J18</f>
        <v>430.04032359423508</v>
      </c>
      <c r="J17" s="487">
        <f ca="1">'P&amp;L Existing'!J17+'P&amp;L(Proposed)'!K18</f>
        <v>374.55345507385425</v>
      </c>
      <c r="K17" s="487">
        <f ca="1">'P&amp;L Existing'!K17+'P&amp;L(Proposed)'!L18</f>
        <v>326.48801178323419</v>
      </c>
      <c r="L17" s="487">
        <f ca="1">'P&amp;L Existing'!L17+'P&amp;L(Proposed)'!M18</f>
        <v>284.82148189583114</v>
      </c>
      <c r="M17" s="487">
        <f ca="1">'P&amp;L Existing'!M17+'P&amp;L(Proposed)'!N18</f>
        <v>248.67553660505436</v>
      </c>
      <c r="N17" s="487">
        <f ca="1">'P&amp;L Existing'!N17+'P&amp;L(Proposed)'!O18</f>
        <v>217.29534297514238</v>
      </c>
      <c r="O17" s="487">
        <f ca="1">'P&amp;L Existing'!O17+'P&amp;L(Proposed)'!P18</f>
        <v>190.0318826667505</v>
      </c>
      <c r="P17" s="487">
        <f ca="1">'P&amp;L Existing'!P17+'P&amp;L(Proposed)'!Q18</f>
        <v>166.32683582870081</v>
      </c>
    </row>
    <row r="18" spans="1:16" x14ac:dyDescent="0.25">
      <c r="C18" s="492">
        <f>SUM(C13:C17)</f>
        <v>4516.4399999999996</v>
      </c>
      <c r="D18" s="492">
        <f ca="1">SUM(D13:D17)</f>
        <v>5447.8684980237158</v>
      </c>
      <c r="E18" s="492">
        <f t="shared" ref="E18:P18" ca="1" si="1">SUM(E13:E17)</f>
        <v>5973.0008858129331</v>
      </c>
      <c r="F18" s="492">
        <f t="shared" ca="1" si="1"/>
        <v>7094.6922168428191</v>
      </c>
      <c r="G18" s="492">
        <f t="shared" ca="1" si="1"/>
        <v>11915.810342156848</v>
      </c>
      <c r="H18" s="492">
        <f t="shared" ca="1" si="1"/>
        <v>13015.898302395819</v>
      </c>
      <c r="I18" s="492">
        <f t="shared" ca="1" si="1"/>
        <v>14223.783384138938</v>
      </c>
      <c r="J18" s="492">
        <f t="shared" ca="1" si="1"/>
        <v>15507.194984899508</v>
      </c>
      <c r="K18" s="492">
        <f t="shared" ca="1" si="1"/>
        <v>16885.498617694331</v>
      </c>
      <c r="L18" s="492">
        <f t="shared" ca="1" si="1"/>
        <v>18366.331690436062</v>
      </c>
      <c r="M18" s="492">
        <f t="shared" ca="1" si="1"/>
        <v>19958.339156591344</v>
      </c>
      <c r="N18" s="492">
        <f t="shared" ca="1" si="1"/>
        <v>21671.239093963886</v>
      </c>
      <c r="O18" s="492">
        <f t="shared" ca="1" si="1"/>
        <v>23515.899914184381</v>
      </c>
      <c r="P18" s="492">
        <f t="shared" ca="1" si="1"/>
        <v>25504.429624639622</v>
      </c>
    </row>
    <row r="19" spans="1:16" ht="30" x14ac:dyDescent="0.25">
      <c r="B19" s="355" t="s">
        <v>733</v>
      </c>
      <c r="C19" s="487">
        <f>'P&amp;L Existing'!C19+'P&amp;L(Proposed)'!D20</f>
        <v>480.82</v>
      </c>
      <c r="D19" s="487">
        <f>'P&amp;L Existing'!D19+'P&amp;L(Proposed)'!E20</f>
        <v>247.01</v>
      </c>
      <c r="E19" s="487">
        <f>'P&amp;L Existing'!E19+'P&amp;L(Proposed)'!F20</f>
        <v>200</v>
      </c>
      <c r="F19" s="487">
        <f>'P&amp;L Existing'!F19+'P&amp;L(Proposed)'!G20</f>
        <v>220.00000000000003</v>
      </c>
      <c r="G19" s="487">
        <f>'P&amp;L Existing'!G19+'P&amp;L(Proposed)'!H20</f>
        <v>247.00000000000006</v>
      </c>
      <c r="H19" s="487">
        <f>'P&amp;L Existing'!H19+'P&amp;L(Proposed)'!I20</f>
        <v>569.61927700000001</v>
      </c>
      <c r="I19" s="487">
        <f>'P&amp;L Existing'!I19+'P&amp;L(Proposed)'!J20</f>
        <v>697.37903600000027</v>
      </c>
      <c r="J19" s="487">
        <f>'P&amp;L Existing'!J19+'P&amp;L(Proposed)'!K20</f>
        <v>804.20151790000023</v>
      </c>
      <c r="K19" s="487">
        <f>'P&amp;L Existing'!K19+'P&amp;L(Proposed)'!L20</f>
        <v>880.23894680000035</v>
      </c>
      <c r="L19" s="487">
        <f>'P&amp;L Existing'!L19+'P&amp;L(Proposed)'!M20</f>
        <v>871.84293790000038</v>
      </c>
      <c r="M19" s="487">
        <f>'P&amp;L Existing'!M19+'P&amp;L(Proposed)'!N20</f>
        <v>947.90185820000056</v>
      </c>
      <c r="N19" s="487">
        <f>'P&amp;L Existing'!N19+'P&amp;L(Proposed)'!O20</f>
        <v>850.86363445000052</v>
      </c>
      <c r="O19" s="487">
        <f>'P&amp;L Existing'!O19+'P&amp;L(Proposed)'!P20</f>
        <v>923.30752802000075</v>
      </c>
      <c r="P19" s="487">
        <f>'P&amp;L Existing'!P19+'P&amp;L(Proposed)'!Q20</f>
        <v>1000.4673169720007</v>
      </c>
    </row>
    <row r="20" spans="1:16" ht="30" x14ac:dyDescent="0.25">
      <c r="B20" s="355" t="s">
        <v>734</v>
      </c>
      <c r="C20" s="487">
        <f>'P&amp;L Existing'!C20+'P&amp;L(Proposed)'!D21</f>
        <v>0</v>
      </c>
      <c r="D20" s="487">
        <f>'P&amp;L Existing'!D20+'P&amp;L(Proposed)'!E21</f>
        <v>0</v>
      </c>
      <c r="E20" s="487">
        <f>'P&amp;L Existing'!E20+'P&amp;L(Proposed)'!F21</f>
        <v>0</v>
      </c>
      <c r="F20" s="487">
        <f>'P&amp;L Existing'!F20+'P&amp;L(Proposed)'!G21</f>
        <v>0</v>
      </c>
      <c r="G20" s="487">
        <f>'P&amp;L Existing'!G20+'P&amp;L(Proposed)'!H21</f>
        <v>5</v>
      </c>
      <c r="H20" s="487">
        <f>'P&amp;L Existing'!H20+'P&amp;L(Proposed)'!I21</f>
        <v>75.854819249999991</v>
      </c>
      <c r="I20" s="487">
        <f>'P&amp;L Existing'!I20+'P&amp;L(Proposed)'!J21</f>
        <v>101.13975900000001</v>
      </c>
      <c r="J20" s="487">
        <f>'P&amp;L Existing'!J20+'P&amp;L(Proposed)'!K21</f>
        <v>120.52487947499999</v>
      </c>
      <c r="K20" s="487">
        <f>'P&amp;L Existing'!K20+'P&amp;L(Proposed)'!L21</f>
        <v>131.48168670000004</v>
      </c>
      <c r="L20" s="487">
        <f>'P&amp;L Existing'!L20+'P&amp;L(Proposed)'!M21</f>
        <v>120.52487947500003</v>
      </c>
      <c r="M20" s="487">
        <f>'P&amp;L Existing'!M20+'P&amp;L(Proposed)'!N21</f>
        <v>129.79602405000006</v>
      </c>
      <c r="N20" s="487">
        <f>'P&amp;L Existing'!N20+'P&amp;L(Proposed)'!O21</f>
        <v>126.42469875000002</v>
      </c>
      <c r="O20" s="487">
        <f>'P&amp;L Existing'!O20+'P&amp;L(Proposed)'!P21</f>
        <v>134.85301200000006</v>
      </c>
      <c r="P20" s="487">
        <f>'P&amp;L Existing'!P20+'P&amp;L(Proposed)'!Q21</f>
        <v>143.28132525000007</v>
      </c>
    </row>
    <row r="21" spans="1:16" ht="30" x14ac:dyDescent="0.25">
      <c r="B21" s="355" t="s">
        <v>92</v>
      </c>
      <c r="C21" s="487">
        <f>'P&amp;L Existing'!C21+'P&amp;L(Proposed)'!D22</f>
        <v>0</v>
      </c>
      <c r="D21" s="487">
        <f>'P&amp;L Existing'!D21+'P&amp;L(Proposed)'!E22</f>
        <v>0</v>
      </c>
      <c r="E21" s="487">
        <f>'P&amp;L Existing'!E21+'P&amp;L(Proposed)'!F22</f>
        <v>200</v>
      </c>
      <c r="F21" s="487">
        <f>'P&amp;L Existing'!F21+'P&amp;L(Proposed)'!G22</f>
        <v>220.00000000000003</v>
      </c>
      <c r="G21" s="487">
        <f>'P&amp;L Existing'!G21+'P&amp;L(Proposed)'!H22</f>
        <v>252.00000000000006</v>
      </c>
      <c r="H21" s="487">
        <f>'P&amp;L Existing'!H21+'P&amp;L(Proposed)'!I22</f>
        <v>417.90963850000009</v>
      </c>
      <c r="I21" s="487">
        <f>'P&amp;L Existing'!I21+'P&amp;L(Proposed)'!J22</f>
        <v>495.09951800000022</v>
      </c>
      <c r="J21" s="487">
        <f>'P&amp;L Existing'!J21+'P&amp;L(Proposed)'!K22</f>
        <v>563.15175895000016</v>
      </c>
      <c r="K21" s="487">
        <f>'P&amp;L Existing'!K21+'P&amp;L(Proposed)'!L22</f>
        <v>617.27557340000033</v>
      </c>
      <c r="L21" s="487">
        <f>'P&amp;L Existing'!L21+'P&amp;L(Proposed)'!M22</f>
        <v>630.79317895000031</v>
      </c>
      <c r="M21" s="487">
        <f>'P&amp;L Existing'!M21+'P&amp;L(Proposed)'!N22</f>
        <v>688.3098101000005</v>
      </c>
      <c r="N21" s="487">
        <f>'P&amp;L Existing'!N21+'P&amp;L(Proposed)'!O22</f>
        <v>724.43893570000046</v>
      </c>
      <c r="O21" s="487">
        <f>'P&amp;L Existing'!O21+'P&amp;L(Proposed)'!P22</f>
        <v>788.45451602000071</v>
      </c>
      <c r="P21" s="487">
        <f>'P&amp;L Existing'!P21+'P&amp;L(Proposed)'!Q22</f>
        <v>857.18599172200072</v>
      </c>
    </row>
    <row r="22" spans="1:16" ht="30" x14ac:dyDescent="0.25">
      <c r="B22" s="355" t="s">
        <v>91</v>
      </c>
      <c r="C22" s="487">
        <f>'P&amp;L Existing'!C22+'P&amp;L(Proposed)'!D23</f>
        <v>0</v>
      </c>
      <c r="D22" s="487">
        <f>'P&amp;L Existing'!D22+'P&amp;L(Proposed)'!E23</f>
        <v>269.64999999999998</v>
      </c>
      <c r="E22" s="487">
        <f>'P&amp;L Existing'!E22+'P&amp;L(Proposed)'!F23</f>
        <v>300</v>
      </c>
      <c r="F22" s="487">
        <f>'P&amp;L Existing'!F22+'P&amp;L(Proposed)'!G23</f>
        <v>330</v>
      </c>
      <c r="G22" s="487">
        <f>'P&amp;L Existing'!G22+'P&amp;L(Proposed)'!H23</f>
        <v>378.00000000000006</v>
      </c>
      <c r="H22" s="487">
        <f>'P&amp;L Existing'!H22+'P&amp;L(Proposed)'!I23</f>
        <v>626.86445775000004</v>
      </c>
      <c r="I22" s="487">
        <f>'P&amp;L Existing'!I22+'P&amp;L(Proposed)'!J23</f>
        <v>742.6492770000001</v>
      </c>
      <c r="J22" s="487">
        <f>'P&amp;L Existing'!J22+'P&amp;L(Proposed)'!K23</f>
        <v>844.72763842500012</v>
      </c>
      <c r="K22" s="487">
        <f>'P&amp;L Existing'!K22+'P&amp;L(Proposed)'!L23</f>
        <v>925.91336010000032</v>
      </c>
      <c r="L22" s="487">
        <f>'P&amp;L Existing'!L22+'P&amp;L(Proposed)'!M23</f>
        <v>946.18976842500035</v>
      </c>
      <c r="M22" s="487">
        <f>'P&amp;L Existing'!M22+'P&amp;L(Proposed)'!N23</f>
        <v>1032.4647151500005</v>
      </c>
      <c r="N22" s="487">
        <f>'P&amp;L Existing'!N22+'P&amp;L(Proposed)'!O23</f>
        <v>1086.6584035500005</v>
      </c>
      <c r="O22" s="487">
        <f>'P&amp;L Existing'!O22+'P&amp;L(Proposed)'!P23</f>
        <v>1182.6817740300007</v>
      </c>
      <c r="P22" s="487">
        <f>'P&amp;L Existing'!P22+'P&amp;L(Proposed)'!Q23</f>
        <v>1285.7789875830008</v>
      </c>
    </row>
    <row r="23" spans="1:16" x14ac:dyDescent="0.25">
      <c r="C23" s="492">
        <f>SUM(C18:C22)</f>
        <v>4997.2599999999993</v>
      </c>
      <c r="D23" s="492">
        <f ca="1">SUM(D18:D22)</f>
        <v>5964.5284980237157</v>
      </c>
      <c r="E23" s="492">
        <f t="shared" ref="E23:P23" ca="1" si="2">SUM(E18:E22)</f>
        <v>6673.0008858129331</v>
      </c>
      <c r="F23" s="492">
        <f t="shared" ca="1" si="2"/>
        <v>7864.6922168428191</v>
      </c>
      <c r="G23" s="492">
        <f t="shared" ca="1" si="2"/>
        <v>12797.810342156848</v>
      </c>
      <c r="H23" s="492">
        <f t="shared" ca="1" si="2"/>
        <v>14706.146494895818</v>
      </c>
      <c r="I23" s="492">
        <f t="shared" ca="1" si="2"/>
        <v>16260.05097413894</v>
      </c>
      <c r="J23" s="492">
        <f t="shared" ca="1" si="2"/>
        <v>17839.800779649508</v>
      </c>
      <c r="K23" s="492">
        <f t="shared" ca="1" si="2"/>
        <v>19440.408184694334</v>
      </c>
      <c r="L23" s="492">
        <f t="shared" ca="1" si="2"/>
        <v>20935.682455186063</v>
      </c>
      <c r="M23" s="492">
        <f t="shared" ca="1" si="2"/>
        <v>22756.811564091342</v>
      </c>
      <c r="N23" s="492">
        <f t="shared" ca="1" si="2"/>
        <v>24459.62476641389</v>
      </c>
      <c r="O23" s="492">
        <f t="shared" ca="1" si="2"/>
        <v>26545.196744254379</v>
      </c>
      <c r="P23" s="492">
        <f t="shared" ca="1" si="2"/>
        <v>28791.143246166626</v>
      </c>
    </row>
    <row r="24" spans="1:16" ht="30" x14ac:dyDescent="0.25">
      <c r="B24" s="355" t="s">
        <v>829</v>
      </c>
      <c r="C24" s="487">
        <f>'P&amp;L Existing'!C24+'P&amp;L(Proposed)'!D25</f>
        <v>247.01</v>
      </c>
      <c r="D24" s="487">
        <f>'P&amp;L Existing'!D24+'P&amp;L(Proposed)'!E25</f>
        <v>200</v>
      </c>
      <c r="E24" s="487">
        <f>'P&amp;L Existing'!E24+'P&amp;L(Proposed)'!F25</f>
        <v>220.00000000000003</v>
      </c>
      <c r="F24" s="487">
        <f>'P&amp;L Existing'!F24+'P&amp;L(Proposed)'!G25</f>
        <v>247.00000000000006</v>
      </c>
      <c r="G24" s="487">
        <f>'P&amp;L Existing'!G24+'P&amp;L(Proposed)'!H25</f>
        <v>569.61927700000001</v>
      </c>
      <c r="H24" s="487">
        <f>'P&amp;L Existing'!H24+'P&amp;L(Proposed)'!I25</f>
        <v>697.37903600000027</v>
      </c>
      <c r="I24" s="487">
        <f>'P&amp;L Existing'!I24+'P&amp;L(Proposed)'!J25</f>
        <v>804.20151790000023</v>
      </c>
      <c r="J24" s="487">
        <f>'P&amp;L Existing'!J24+'P&amp;L(Proposed)'!K25</f>
        <v>880.23894680000035</v>
      </c>
      <c r="K24" s="487">
        <f>'P&amp;L Existing'!K24+'P&amp;L(Proposed)'!L25</f>
        <v>871.84293790000038</v>
      </c>
      <c r="L24" s="487">
        <f>'P&amp;L Existing'!L24+'P&amp;L(Proposed)'!M25</f>
        <v>947.90185820000056</v>
      </c>
      <c r="M24" s="487">
        <f>'P&amp;L Existing'!M24+'P&amp;L(Proposed)'!N25</f>
        <v>850.86363445000052</v>
      </c>
      <c r="N24" s="487">
        <f>'P&amp;L Existing'!N24+'P&amp;L(Proposed)'!O25</f>
        <v>923.30752802000075</v>
      </c>
      <c r="O24" s="487">
        <f>'P&amp;L Existing'!O24+'P&amp;L(Proposed)'!P25</f>
        <v>1000.4673169720007</v>
      </c>
      <c r="P24" s="487">
        <f>'P&amp;L Existing'!P24+'P&amp;L(Proposed)'!Q25</f>
        <v>1082.8145908442009</v>
      </c>
    </row>
    <row r="25" spans="1:16" ht="30" x14ac:dyDescent="0.25">
      <c r="B25" s="355" t="s">
        <v>830</v>
      </c>
      <c r="C25" s="487">
        <f>'P&amp;L Existing'!C25+'P&amp;L(Proposed)'!D26</f>
        <v>0</v>
      </c>
      <c r="D25" s="487">
        <f>'P&amp;L Existing'!D25+'P&amp;L(Proposed)'!E26</f>
        <v>0</v>
      </c>
      <c r="E25" s="487">
        <f>'P&amp;L Existing'!E25+'P&amp;L(Proposed)'!F26</f>
        <v>0</v>
      </c>
      <c r="F25" s="487">
        <f>'P&amp;L Existing'!F25+'P&amp;L(Proposed)'!G26</f>
        <v>5</v>
      </c>
      <c r="G25" s="487">
        <f>'P&amp;L Existing'!G25+'P&amp;L(Proposed)'!H26</f>
        <v>75.854819249999991</v>
      </c>
      <c r="H25" s="487">
        <f>'P&amp;L Existing'!H25+'P&amp;L(Proposed)'!I26</f>
        <v>101.13975900000001</v>
      </c>
      <c r="I25" s="487">
        <f>'P&amp;L Existing'!I25+'P&amp;L(Proposed)'!J26</f>
        <v>120.52487947499999</v>
      </c>
      <c r="J25" s="487">
        <f>'P&amp;L Existing'!J25+'P&amp;L(Proposed)'!K26</f>
        <v>131.48168670000004</v>
      </c>
      <c r="K25" s="487">
        <f>'P&amp;L Existing'!K25+'P&amp;L(Proposed)'!L26</f>
        <v>120.52487947500003</v>
      </c>
      <c r="L25" s="487">
        <f>'P&amp;L Existing'!L25+'P&amp;L(Proposed)'!M26</f>
        <v>129.79602405000006</v>
      </c>
      <c r="M25" s="487">
        <f>'P&amp;L Existing'!M25+'P&amp;L(Proposed)'!N26</f>
        <v>126.42469875000002</v>
      </c>
      <c r="N25" s="487">
        <f>'P&amp;L Existing'!N25+'P&amp;L(Proposed)'!O26</f>
        <v>134.85301200000006</v>
      </c>
      <c r="O25" s="487">
        <f>'P&amp;L Existing'!O25+'P&amp;L(Proposed)'!P26</f>
        <v>143.28132525000007</v>
      </c>
      <c r="P25" s="487">
        <f>'P&amp;L Existing'!P25+'P&amp;L(Proposed)'!Q26</f>
        <v>151.70963850000007</v>
      </c>
    </row>
    <row r="26" spans="1:16" ht="30" x14ac:dyDescent="0.25">
      <c r="A26" s="218"/>
      <c r="B26" s="355" t="s">
        <v>93</v>
      </c>
      <c r="C26" s="487">
        <f>'P&amp;L Existing'!C26+'P&amp;L(Proposed)'!D27</f>
        <v>0</v>
      </c>
      <c r="D26" s="487">
        <f>'P&amp;L Existing'!D26+'P&amp;L(Proposed)'!E27</f>
        <v>200</v>
      </c>
      <c r="E26" s="487">
        <f>'P&amp;L Existing'!E26+'P&amp;L(Proposed)'!F27</f>
        <v>220.00000000000003</v>
      </c>
      <c r="F26" s="487">
        <f>'P&amp;L Existing'!F26+'P&amp;L(Proposed)'!G27</f>
        <v>252.00000000000006</v>
      </c>
      <c r="G26" s="487">
        <f>'P&amp;L Existing'!G26+'P&amp;L(Proposed)'!H27</f>
        <v>417.90963850000009</v>
      </c>
      <c r="H26" s="487">
        <f>'P&amp;L Existing'!H26+'P&amp;L(Proposed)'!I27</f>
        <v>495.09951800000022</v>
      </c>
      <c r="I26" s="487">
        <f>'P&amp;L Existing'!I26+'P&amp;L(Proposed)'!J27</f>
        <v>563.15175895000016</v>
      </c>
      <c r="J26" s="487">
        <f>'P&amp;L Existing'!J26+'P&amp;L(Proposed)'!K27</f>
        <v>617.27557340000033</v>
      </c>
      <c r="K26" s="487">
        <f>'P&amp;L Existing'!K26+'P&amp;L(Proposed)'!L27</f>
        <v>630.79317895000031</v>
      </c>
      <c r="L26" s="487">
        <f>'P&amp;L Existing'!L26+'P&amp;L(Proposed)'!M27</f>
        <v>688.3098101000005</v>
      </c>
      <c r="M26" s="487">
        <f>'P&amp;L Existing'!M26+'P&amp;L(Proposed)'!N27</f>
        <v>724.43893570000046</v>
      </c>
      <c r="N26" s="487">
        <f>'P&amp;L Existing'!N26+'P&amp;L(Proposed)'!O27</f>
        <v>788.45451602000071</v>
      </c>
      <c r="O26" s="487">
        <f>'P&amp;L Existing'!O26+'P&amp;L(Proposed)'!P27</f>
        <v>857.18599172200072</v>
      </c>
      <c r="P26" s="487">
        <f>'P&amp;L Existing'!P26+'P&amp;L(Proposed)'!Q27</f>
        <v>931.10495234420091</v>
      </c>
    </row>
    <row r="27" spans="1:16" ht="30" x14ac:dyDescent="0.25">
      <c r="A27" s="218"/>
      <c r="B27" s="355" t="s">
        <v>94</v>
      </c>
      <c r="C27" s="487">
        <f>'P&amp;L Existing'!C27+'P&amp;L(Proposed)'!D28</f>
        <v>269.64999999999998</v>
      </c>
      <c r="D27" s="487">
        <f>'P&amp;L Existing'!D27+'P&amp;L(Proposed)'!E28</f>
        <v>300</v>
      </c>
      <c r="E27" s="487">
        <f>'P&amp;L Existing'!E27+'P&amp;L(Proposed)'!F28</f>
        <v>330</v>
      </c>
      <c r="F27" s="487">
        <f>'P&amp;L Existing'!F27+'P&amp;L(Proposed)'!G28</f>
        <v>378.00000000000006</v>
      </c>
      <c r="G27" s="487">
        <f>'P&amp;L Existing'!G27+'P&amp;L(Proposed)'!H28</f>
        <v>626.86445775000004</v>
      </c>
      <c r="H27" s="487">
        <f>'P&amp;L Existing'!H27+'P&amp;L(Proposed)'!I28</f>
        <v>742.6492770000001</v>
      </c>
      <c r="I27" s="487">
        <f>'P&amp;L Existing'!I27+'P&amp;L(Proposed)'!J28</f>
        <v>844.72763842500012</v>
      </c>
      <c r="J27" s="487">
        <f>'P&amp;L Existing'!J27+'P&amp;L(Proposed)'!K28</f>
        <v>925.91336010000032</v>
      </c>
      <c r="K27" s="487">
        <f>'P&amp;L Existing'!K27+'P&amp;L(Proposed)'!L28</f>
        <v>946.18976842500035</v>
      </c>
      <c r="L27" s="487">
        <f>'P&amp;L Existing'!L27+'P&amp;L(Proposed)'!M28</f>
        <v>1032.4647151500005</v>
      </c>
      <c r="M27" s="487">
        <f>'P&amp;L Existing'!M27+'P&amp;L(Proposed)'!N28</f>
        <v>1086.6584035500005</v>
      </c>
      <c r="N27" s="487">
        <f>'P&amp;L Existing'!N27+'P&amp;L(Proposed)'!O28</f>
        <v>1182.6817740300007</v>
      </c>
      <c r="O27" s="487">
        <f>'P&amp;L Existing'!O27+'P&amp;L(Proposed)'!P28</f>
        <v>1285.7789875830008</v>
      </c>
      <c r="P27" s="487">
        <f>'P&amp;L Existing'!P27+'P&amp;L(Proposed)'!Q28</f>
        <v>1396.657428516301</v>
      </c>
    </row>
    <row r="28" spans="1:16" x14ac:dyDescent="0.25">
      <c r="A28" s="251"/>
      <c r="C28" s="491">
        <f>C23-SUM(C24:C27)</f>
        <v>4480.5999999999995</v>
      </c>
      <c r="D28" s="491">
        <f ca="1">D23-SUM(D24:D27)</f>
        <v>5264.5284980237157</v>
      </c>
      <c r="E28" s="491">
        <f t="shared" ref="E28:P28" ca="1" si="3">E23-SUM(E24:E27)</f>
        <v>5903.0008858129331</v>
      </c>
      <c r="F28" s="491">
        <f t="shared" ca="1" si="3"/>
        <v>6982.6922168428191</v>
      </c>
      <c r="G28" s="491">
        <f t="shared" ca="1" si="3"/>
        <v>11107.562149656849</v>
      </c>
      <c r="H28" s="491">
        <f t="shared" ca="1" si="3"/>
        <v>12669.878904895817</v>
      </c>
      <c r="I28" s="491">
        <f t="shared" ca="1" si="3"/>
        <v>13927.445179388938</v>
      </c>
      <c r="J28" s="491">
        <f t="shared" ca="1" si="3"/>
        <v>15284.891212649507</v>
      </c>
      <c r="K28" s="491">
        <f t="shared" ca="1" si="3"/>
        <v>16871.057419944333</v>
      </c>
      <c r="L28" s="491">
        <f t="shared" ca="1" si="3"/>
        <v>18137.210047686061</v>
      </c>
      <c r="M28" s="491">
        <f t="shared" ca="1" si="3"/>
        <v>19968.425891641342</v>
      </c>
      <c r="N28" s="491">
        <f t="shared" ca="1" si="3"/>
        <v>21430.327936343889</v>
      </c>
      <c r="O28" s="491">
        <f t="shared" ca="1" si="3"/>
        <v>23258.483122727375</v>
      </c>
      <c r="P28" s="491">
        <f t="shared" ca="1" si="3"/>
        <v>25228.856635961922</v>
      </c>
    </row>
    <row r="29" spans="1:16" x14ac:dyDescent="0.25">
      <c r="A29" s="251"/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</row>
    <row r="30" spans="1:16" x14ac:dyDescent="0.25">
      <c r="A30" s="218">
        <v>4</v>
      </c>
      <c r="B30" s="216" t="s">
        <v>95</v>
      </c>
      <c r="C30" s="487">
        <f t="shared" ref="C30" si="4">C10-C28</f>
        <v>594.35000000000127</v>
      </c>
      <c r="D30" s="487">
        <f t="shared" ref="D30:P30" ca="1" si="5">D10-D28</f>
        <v>740.47150197628434</v>
      </c>
      <c r="E30" s="487">
        <f t="shared" ca="1" si="5"/>
        <v>702.49911418706779</v>
      </c>
      <c r="F30" s="487">
        <f t="shared" ca="1" si="5"/>
        <v>637.53750190718256</v>
      </c>
      <c r="G30" s="487">
        <f t="shared" ca="1" si="5"/>
        <v>2306.5942253431531</v>
      </c>
      <c r="H30" s="487">
        <f t="shared" ca="1" si="5"/>
        <v>2145.8953451041871</v>
      </c>
      <c r="I30" s="487">
        <f t="shared" ca="1" si="5"/>
        <v>2369.9064956110669</v>
      </c>
      <c r="J30" s="487">
        <f t="shared" ca="1" si="5"/>
        <v>2581.9933923504996</v>
      </c>
      <c r="K30" s="487">
        <f t="shared" ca="1" si="5"/>
        <v>2662.1111705556759</v>
      </c>
      <c r="L30" s="487">
        <f t="shared" ca="1" si="5"/>
        <v>3168.6686893639526</v>
      </c>
      <c r="M30" s="487">
        <f t="shared" ca="1" si="5"/>
        <v>3227.2317691136741</v>
      </c>
      <c r="N30" s="487">
        <f t="shared" ca="1" si="5"/>
        <v>3783.8843029866257</v>
      </c>
      <c r="O30" s="487">
        <f t="shared" ca="1" si="5"/>
        <v>4115.9369155361928</v>
      </c>
      <c r="P30" s="487">
        <f t="shared" ca="1" si="5"/>
        <v>4461.5897436280065</v>
      </c>
    </row>
    <row r="31" spans="1:16" x14ac:dyDescent="0.25">
      <c r="A31" s="218"/>
      <c r="B31" s="225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  <c r="P31" s="487"/>
    </row>
    <row r="32" spans="1:16" x14ac:dyDescent="0.25">
      <c r="A32" s="218">
        <v>5</v>
      </c>
      <c r="B32" s="216" t="s">
        <v>15</v>
      </c>
      <c r="C32" s="487">
        <f>'P&amp;L Existing'!C32+'P&amp;L(Proposed)'!D33</f>
        <v>347.54</v>
      </c>
      <c r="D32" s="487">
        <f>'P&amp;L Existing'!D32+'P&amp;L(Proposed)'!E33</f>
        <v>360</v>
      </c>
      <c r="E32" s="487">
        <f>'P&amp;L Existing'!E32+'P&amp;L(Proposed)'!F33</f>
        <v>396.00000000000006</v>
      </c>
      <c r="F32" s="487">
        <f>'P&amp;L Existing'!F32+'P&amp;L(Proposed)'!G33</f>
        <v>442.6235943750001</v>
      </c>
      <c r="G32" s="487">
        <f>'P&amp;L Existing'!G32+'P&amp;L(Proposed)'!H33</f>
        <v>587.5240275000001</v>
      </c>
      <c r="H32" s="487">
        <f>'P&amp;L Existing'!H32+'P&amp;L(Proposed)'!I33</f>
        <v>647.4804750000003</v>
      </c>
      <c r="I32" s="487">
        <f>'P&amp;L Existing'!I32+'P&amp;L(Proposed)'!J33</f>
        <v>712.22852250000028</v>
      </c>
      <c r="J32" s="487">
        <f>'P&amp;L Existing'!J32+'P&amp;L(Proposed)'!K33</f>
        <v>782.24733000000037</v>
      </c>
      <c r="K32" s="487">
        <f>'P&amp;L Existing'!K32+'P&amp;L(Proposed)'!L33</f>
        <v>858.06397350000054</v>
      </c>
      <c r="L32" s="487">
        <f>'P&amp;L Existing'!L32+'P&amp;L(Proposed)'!M33</f>
        <v>940.25823660000071</v>
      </c>
      <c r="M32" s="487">
        <f>'P&amp;L Existing'!M32+'P&amp;L(Proposed)'!N33</f>
        <v>1029.4678812600009</v>
      </c>
      <c r="N32" s="487">
        <f>'P&amp;L Existing'!N32+'P&amp;L(Proposed)'!O33</f>
        <v>1126.3944456360011</v>
      </c>
      <c r="O32" s="487">
        <f>'P&amp;L Existing'!O32+'P&amp;L(Proposed)'!P33</f>
        <v>1231.8096216996012</v>
      </c>
      <c r="P32" s="487">
        <f>'P&amp;L Existing'!P32+'P&amp;L(Proposed)'!Q33</f>
        <v>1346.5622706195613</v>
      </c>
    </row>
    <row r="33" spans="1:16" x14ac:dyDescent="0.25">
      <c r="A33" s="218"/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7"/>
      <c r="P33" s="487"/>
    </row>
    <row r="34" spans="1:16" x14ac:dyDescent="0.25">
      <c r="A34" s="218">
        <v>6</v>
      </c>
      <c r="B34" s="216" t="s">
        <v>18</v>
      </c>
      <c r="C34" s="487">
        <f>C30-C32</f>
        <v>246.81000000000125</v>
      </c>
      <c r="D34" s="487">
        <f ca="1">D30-D32</f>
        <v>380.47150197628434</v>
      </c>
      <c r="E34" s="487">
        <f t="shared" ref="E34:P34" ca="1" si="6">E30-E32</f>
        <v>306.49911418706773</v>
      </c>
      <c r="F34" s="487">
        <f t="shared" ca="1" si="6"/>
        <v>194.91390753218246</v>
      </c>
      <c r="G34" s="487">
        <f t="shared" ca="1" si="6"/>
        <v>1719.070197843153</v>
      </c>
      <c r="H34" s="487">
        <f t="shared" ca="1" si="6"/>
        <v>1498.4148701041868</v>
      </c>
      <c r="I34" s="487">
        <f t="shared" ca="1" si="6"/>
        <v>1657.6779731110666</v>
      </c>
      <c r="J34" s="487">
        <f t="shared" ca="1" si="6"/>
        <v>1799.7460623504992</v>
      </c>
      <c r="K34" s="487">
        <f t="shared" ca="1" si="6"/>
        <v>1804.0471970556755</v>
      </c>
      <c r="L34" s="487">
        <f t="shared" ca="1" si="6"/>
        <v>2228.410452763952</v>
      </c>
      <c r="M34" s="487">
        <f t="shared" ca="1" si="6"/>
        <v>2197.7638878536732</v>
      </c>
      <c r="N34" s="487">
        <f t="shared" ca="1" si="6"/>
        <v>2657.4898573506243</v>
      </c>
      <c r="O34" s="487">
        <f t="shared" ca="1" si="6"/>
        <v>2884.1272938365919</v>
      </c>
      <c r="P34" s="487">
        <f t="shared" ca="1" si="6"/>
        <v>3115.0274730084452</v>
      </c>
    </row>
    <row r="35" spans="1:16" x14ac:dyDescent="0.25">
      <c r="A35" s="218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</row>
    <row r="36" spans="1:16" x14ac:dyDescent="0.25">
      <c r="A36" s="218">
        <v>7</v>
      </c>
      <c r="B36" s="216" t="s">
        <v>37</v>
      </c>
      <c r="C36" s="487">
        <f>'P&amp;L Existing'!C36+'P&amp;L(Proposed)'!D36</f>
        <v>43.45</v>
      </c>
      <c r="D36" s="487">
        <f>'P&amp;L Existing'!D36+'P&amp;L(Proposed)'!E36</f>
        <v>27.658775000000006</v>
      </c>
      <c r="E36" s="487">
        <f>'P&amp;L Existing'!E36+'P&amp;L(Proposed)'!F36</f>
        <v>24.788350000000005</v>
      </c>
      <c r="F36" s="487">
        <f>'P&amp;L Existing'!F36+'P&amp;L(Proposed)'!G36</f>
        <v>38.748350000000009</v>
      </c>
      <c r="G36" s="487">
        <f>'P&amp;L Existing'!G36+'P&amp;L(Proposed)'!H36</f>
        <v>278.16640000000007</v>
      </c>
      <c r="H36" s="487">
        <f>'P&amp;L Existing'!H36+'P&amp;L(Proposed)'!I36</f>
        <v>254.84079999999997</v>
      </c>
      <c r="I36" s="487">
        <f>'P&amp;L Existing'!I36+'P&amp;L(Proposed)'!J36</f>
        <v>230.61944</v>
      </c>
      <c r="J36" s="487">
        <f>'P&amp;L Existing'!J36+'P&amp;L(Proposed)'!K36</f>
        <v>206.49599999999998</v>
      </c>
      <c r="K36" s="487">
        <f>'P&amp;L Existing'!K36+'P&amp;L(Proposed)'!L36</f>
        <v>180.09599999999998</v>
      </c>
      <c r="L36" s="487">
        <f>'P&amp;L Existing'!L36+'P&amp;L(Proposed)'!M36</f>
        <v>151.392</v>
      </c>
      <c r="M36" s="487">
        <f>'P&amp;L Existing'!M36+'P&amp;L(Proposed)'!N36</f>
        <v>120.38399999999999</v>
      </c>
      <c r="N36" s="487">
        <f>'P&amp;L Existing'!N36+'P&amp;L(Proposed)'!O36</f>
        <v>87.071999999999974</v>
      </c>
      <c r="O36" s="487">
        <f>'P&amp;L Existing'!O36+'P&amp;L(Proposed)'!P36</f>
        <v>52.511999999999979</v>
      </c>
      <c r="P36" s="487">
        <f>'P&amp;L Existing'!P36+'P&amp;L(Proposed)'!Q36</f>
        <v>39.599999999999966</v>
      </c>
    </row>
    <row r="37" spans="1:16" x14ac:dyDescent="0.25">
      <c r="A37" s="218"/>
      <c r="B37" s="216" t="s">
        <v>36</v>
      </c>
      <c r="C37" s="487">
        <f>'P&amp;L Existing'!C37+'P&amp;L(Proposed)'!D37</f>
        <v>0.39</v>
      </c>
      <c r="D37" s="487">
        <f>'P&amp;L Existing'!D37+'P&amp;L(Proposed)'!E37</f>
        <v>0</v>
      </c>
      <c r="E37" s="487">
        <f>'P&amp;L Existing'!E37+'P&amp;L(Proposed)'!F37</f>
        <v>0</v>
      </c>
      <c r="F37" s="487">
        <f>'P&amp;L Existing'!F37+'P&amp;L(Proposed)'!G37</f>
        <v>0</v>
      </c>
      <c r="G37" s="487">
        <f>'P&amp;L Existing'!G37+'P&amp;L(Proposed)'!H37</f>
        <v>0</v>
      </c>
      <c r="H37" s="487">
        <f>'P&amp;L Existing'!H37+'P&amp;L(Proposed)'!I37</f>
        <v>0</v>
      </c>
      <c r="I37" s="487">
        <f>'P&amp;L Existing'!I37+'P&amp;L(Proposed)'!J37</f>
        <v>0</v>
      </c>
      <c r="J37" s="487">
        <f>'P&amp;L Existing'!J37+'P&amp;L(Proposed)'!K37</f>
        <v>0</v>
      </c>
      <c r="K37" s="487">
        <f>'P&amp;L Existing'!K37+'P&amp;L(Proposed)'!L37</f>
        <v>0</v>
      </c>
      <c r="L37" s="487">
        <f>'P&amp;L Existing'!L37+'P&amp;L(Proposed)'!M37</f>
        <v>0</v>
      </c>
      <c r="M37" s="487">
        <f>'P&amp;L Existing'!M37+'P&amp;L(Proposed)'!N37</f>
        <v>0</v>
      </c>
      <c r="N37" s="487">
        <f>'P&amp;L Existing'!N37+'P&amp;L(Proposed)'!O37</f>
        <v>0</v>
      </c>
      <c r="O37" s="487">
        <f>'P&amp;L Existing'!O37+'P&amp;L(Proposed)'!P37</f>
        <v>0</v>
      </c>
      <c r="P37" s="487">
        <f>'P&amp;L Existing'!P37+'P&amp;L(Proposed)'!Q37</f>
        <v>0</v>
      </c>
    </row>
    <row r="38" spans="1:16" x14ac:dyDescent="0.25">
      <c r="B38" s="216" t="s">
        <v>38</v>
      </c>
      <c r="C38" s="487">
        <f>'P&amp;L Existing'!C38+'P&amp;L(Proposed)'!D38</f>
        <v>52.77</v>
      </c>
      <c r="D38" s="487">
        <f>'P&amp;L Existing'!D38+'P&amp;L(Proposed)'!E38</f>
        <v>76.8</v>
      </c>
      <c r="E38" s="487">
        <f>'P&amp;L Existing'!E38+'P&amp;L(Proposed)'!F38</f>
        <v>76.8</v>
      </c>
      <c r="F38" s="487">
        <f>'P&amp;L Existing'!F38+'P&amp;L(Proposed)'!G38</f>
        <v>80</v>
      </c>
      <c r="G38" s="487">
        <f>'P&amp;L Existing'!G38+'P&amp;L(Proposed)'!H38</f>
        <v>115.19999999999999</v>
      </c>
      <c r="H38" s="487">
        <f>'P&amp;L Existing'!H38+'P&amp;L(Proposed)'!I38</f>
        <v>115.19999999999999</v>
      </c>
      <c r="I38" s="487">
        <f>'P&amp;L Existing'!I38+'P&amp;L(Proposed)'!J38</f>
        <v>115.19999999999999</v>
      </c>
      <c r="J38" s="487">
        <f>'P&amp;L Existing'!J38+'P&amp;L(Proposed)'!K38</f>
        <v>115.19999999999999</v>
      </c>
      <c r="K38" s="487">
        <f>'P&amp;L Existing'!K38+'P&amp;L(Proposed)'!L38</f>
        <v>115.19999999999999</v>
      </c>
      <c r="L38" s="487">
        <f>'P&amp;L Existing'!L38+'P&amp;L(Proposed)'!M38</f>
        <v>115.19999999999999</v>
      </c>
      <c r="M38" s="487">
        <f>'P&amp;L Existing'!M38+'P&amp;L(Proposed)'!N38</f>
        <v>115.19999999999999</v>
      </c>
      <c r="N38" s="487">
        <f>'P&amp;L Existing'!N38+'P&amp;L(Proposed)'!O38</f>
        <v>115.19999999999999</v>
      </c>
      <c r="O38" s="487">
        <f>'P&amp;L Existing'!O38+'P&amp;L(Proposed)'!P38</f>
        <v>115.19999999999999</v>
      </c>
      <c r="P38" s="487">
        <f>'P&amp;L Existing'!P38+'P&amp;L(Proposed)'!Q38</f>
        <v>115.19999999999999</v>
      </c>
    </row>
    <row r="39" spans="1:16" x14ac:dyDescent="0.25">
      <c r="A39" s="218"/>
      <c r="B39" s="216" t="s">
        <v>19</v>
      </c>
      <c r="C39" s="487">
        <f>SUM(C36:C38)</f>
        <v>96.610000000000014</v>
      </c>
      <c r="D39" s="487">
        <f t="shared" ref="D39:P39" si="7">SUM(D36:D38)</f>
        <v>104.458775</v>
      </c>
      <c r="E39" s="487">
        <f t="shared" si="7"/>
        <v>101.58835000000001</v>
      </c>
      <c r="F39" s="487">
        <f t="shared" si="7"/>
        <v>118.74835000000002</v>
      </c>
      <c r="G39" s="487">
        <f t="shared" si="7"/>
        <v>393.36640000000006</v>
      </c>
      <c r="H39" s="487">
        <f t="shared" si="7"/>
        <v>370.04079999999999</v>
      </c>
      <c r="I39" s="487">
        <f t="shared" si="7"/>
        <v>345.81943999999999</v>
      </c>
      <c r="J39" s="487">
        <f t="shared" si="7"/>
        <v>321.69599999999997</v>
      </c>
      <c r="K39" s="487">
        <f t="shared" si="7"/>
        <v>295.29599999999994</v>
      </c>
      <c r="L39" s="487">
        <f t="shared" si="7"/>
        <v>266.59199999999998</v>
      </c>
      <c r="M39" s="487">
        <f t="shared" si="7"/>
        <v>235.58399999999997</v>
      </c>
      <c r="N39" s="487">
        <f t="shared" si="7"/>
        <v>202.27199999999996</v>
      </c>
      <c r="O39" s="487">
        <f t="shared" si="7"/>
        <v>167.71199999999996</v>
      </c>
      <c r="P39" s="487">
        <f t="shared" si="7"/>
        <v>154.79999999999995</v>
      </c>
    </row>
    <row r="40" spans="1:16" x14ac:dyDescent="0.25">
      <c r="A40" s="218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487"/>
      <c r="P40" s="487"/>
    </row>
    <row r="41" spans="1:16" x14ac:dyDescent="0.25">
      <c r="A41" s="218">
        <v>9</v>
      </c>
      <c r="B41" s="216" t="s">
        <v>20</v>
      </c>
      <c r="C41" s="487">
        <f>C34-C39</f>
        <v>150.20000000000124</v>
      </c>
      <c r="D41" s="487">
        <f ca="1">D34-D39</f>
        <v>276.01272697628434</v>
      </c>
      <c r="E41" s="487">
        <f t="shared" ref="E41:P41" ca="1" si="8">E34-E39</f>
        <v>204.91076418706774</v>
      </c>
      <c r="F41" s="487">
        <f ca="1">F34-F39</f>
        <v>76.165557532182447</v>
      </c>
      <c r="G41" s="487">
        <f t="shared" ca="1" si="8"/>
        <v>1325.7037978431529</v>
      </c>
      <c r="H41" s="487">
        <f t="shared" ca="1" si="8"/>
        <v>1128.3740701041868</v>
      </c>
      <c r="I41" s="487">
        <f t="shared" ca="1" si="8"/>
        <v>1311.8585331110667</v>
      </c>
      <c r="J41" s="487">
        <f t="shared" ca="1" si="8"/>
        <v>1478.0500623504993</v>
      </c>
      <c r="K41" s="487">
        <f t="shared" ca="1" si="8"/>
        <v>1508.7511970556757</v>
      </c>
      <c r="L41" s="487">
        <f t="shared" ca="1" si="8"/>
        <v>1961.8184527639519</v>
      </c>
      <c r="M41" s="487">
        <f t="shared" ca="1" si="8"/>
        <v>1962.1798878536731</v>
      </c>
      <c r="N41" s="487">
        <f t="shared" ca="1" si="8"/>
        <v>2455.2178573506244</v>
      </c>
      <c r="O41" s="487">
        <f t="shared" ca="1" si="8"/>
        <v>2716.4152938365919</v>
      </c>
      <c r="P41" s="487">
        <f t="shared" ca="1" si="8"/>
        <v>2960.2274730084455</v>
      </c>
    </row>
    <row r="42" spans="1:16" x14ac:dyDescent="0.25">
      <c r="A42" s="218"/>
      <c r="B42" s="225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</row>
    <row r="43" spans="1:16" x14ac:dyDescent="0.25">
      <c r="A43" s="218">
        <v>10</v>
      </c>
      <c r="B43" s="216" t="s">
        <v>21</v>
      </c>
      <c r="C43" s="487">
        <f>'P&amp;L Existing'!C43+'P&amp;L(Proposed)'!D43</f>
        <v>42.22</v>
      </c>
      <c r="D43" s="487">
        <f ca="1">'P&amp;L Existing'!D43+'P&amp;L(Proposed)'!E43</f>
        <v>71.763309013833933</v>
      </c>
      <c r="E43" s="487">
        <f ca="1">'P&amp;L Existing'!E43+'P&amp;L(Proposed)'!F43</f>
        <v>53.276798688637612</v>
      </c>
      <c r="F43" s="487">
        <f>'P&amp;L Existing'!F43+'P&amp;L(Proposed)'!G43</f>
        <v>0</v>
      </c>
      <c r="G43" s="487">
        <f ca="1">'P&amp;L Existing'!G43+'P&amp;L(Proposed)'!H43</f>
        <v>412.73662931321303</v>
      </c>
      <c r="H43" s="487">
        <f ca="1">'P&amp;L Existing'!H43+'P&amp;L(Proposed)'!I43</f>
        <v>293.3772582270891</v>
      </c>
      <c r="I43" s="487">
        <f ca="1">'P&amp;L Existing'!I43+'P&amp;L(Proposed)'!J43</f>
        <v>341.08321860887781</v>
      </c>
      <c r="J43" s="487">
        <f ca="1">'P&amp;L Existing'!J43+'P&amp;L(Proposed)'!K43</f>
        <v>384.29301621112955</v>
      </c>
      <c r="K43" s="487">
        <f ca="1">'P&amp;L Existing'!K43+'P&amp;L(Proposed)'!L43</f>
        <v>392.27531123447557</v>
      </c>
      <c r="L43" s="487">
        <f ca="1">'P&amp;L Existing'!L43+'P&amp;L(Proposed)'!M43</f>
        <v>510.07279771862613</v>
      </c>
      <c r="M43" s="487">
        <f ca="1">'P&amp;L Existing'!M43+'P&amp;L(Proposed)'!N43</f>
        <v>510.16677084195408</v>
      </c>
      <c r="N43" s="487">
        <f ca="1">'P&amp;L Existing'!N43+'P&amp;L(Proposed)'!O43</f>
        <v>638.35664291116404</v>
      </c>
      <c r="O43" s="487">
        <f ca="1">'P&amp;L Existing'!O43+'P&amp;L(Proposed)'!P43</f>
        <v>706.26797639751248</v>
      </c>
      <c r="P43" s="487">
        <f ca="1">'P&amp;L Existing'!P43+'P&amp;L(Proposed)'!Q43</f>
        <v>769.65914298219718</v>
      </c>
    </row>
    <row r="44" spans="1:16" x14ac:dyDescent="0.25">
      <c r="A44" s="218"/>
      <c r="C44" s="487"/>
      <c r="D44" s="487"/>
      <c r="E44" s="487"/>
      <c r="F44" s="487"/>
      <c r="G44" s="487"/>
      <c r="H44" s="487"/>
      <c r="I44" s="487"/>
      <c r="J44" s="487"/>
      <c r="K44" s="487"/>
      <c r="L44" s="487"/>
      <c r="M44" s="487"/>
      <c r="N44" s="487"/>
      <c r="O44" s="487"/>
      <c r="P44" s="487"/>
    </row>
    <row r="45" spans="1:16" x14ac:dyDescent="0.25">
      <c r="A45" s="218">
        <v>11</v>
      </c>
      <c r="B45" s="216" t="s">
        <v>22</v>
      </c>
      <c r="C45" s="487">
        <f>C41-C43</f>
        <v>107.98000000000124</v>
      </c>
      <c r="D45" s="487">
        <f ca="1">D41-D43</f>
        <v>204.24941796245042</v>
      </c>
      <c r="E45" s="487">
        <f ca="1">E41-E43</f>
        <v>151.63396549843014</v>
      </c>
      <c r="F45" s="487">
        <f t="shared" ref="F45:P45" ca="1" si="9">F41-F43</f>
        <v>76.165557532182447</v>
      </c>
      <c r="G45" s="487">
        <f t="shared" ca="1" si="9"/>
        <v>912.96716852993984</v>
      </c>
      <c r="H45" s="487">
        <f t="shared" ca="1" si="9"/>
        <v>834.99681187709768</v>
      </c>
      <c r="I45" s="487">
        <f t="shared" ca="1" si="9"/>
        <v>970.77531450218885</v>
      </c>
      <c r="J45" s="487">
        <f t="shared" ca="1" si="9"/>
        <v>1093.7570461393698</v>
      </c>
      <c r="K45" s="487">
        <f t="shared" ca="1" si="9"/>
        <v>1116.4758858212001</v>
      </c>
      <c r="L45" s="487">
        <f t="shared" ca="1" si="9"/>
        <v>1451.7456550453257</v>
      </c>
      <c r="M45" s="487">
        <f t="shared" ca="1" si="9"/>
        <v>1452.013117011719</v>
      </c>
      <c r="N45" s="487">
        <f t="shared" ca="1" si="9"/>
        <v>1816.8612144394604</v>
      </c>
      <c r="O45" s="487">
        <f t="shared" ca="1" si="9"/>
        <v>2010.1473174390794</v>
      </c>
      <c r="P45" s="487">
        <f t="shared" ca="1" si="9"/>
        <v>2190.5683300262481</v>
      </c>
    </row>
    <row r="46" spans="1:16" x14ac:dyDescent="0.25">
      <c r="A46" s="218"/>
      <c r="C46" s="424"/>
      <c r="D46" s="424"/>
      <c r="E46" s="424"/>
      <c r="F46" s="424"/>
      <c r="G46" s="424"/>
      <c r="H46" s="424"/>
      <c r="I46" s="424"/>
      <c r="J46" s="424"/>
      <c r="K46" s="424"/>
      <c r="L46" s="424"/>
      <c r="M46" s="424"/>
      <c r="N46" s="424"/>
      <c r="O46" s="424"/>
      <c r="P46" s="424"/>
    </row>
    <row r="47" spans="1:16" x14ac:dyDescent="0.25">
      <c r="A47" s="218">
        <v>12</v>
      </c>
      <c r="B47" s="216" t="s">
        <v>23</v>
      </c>
      <c r="C47" s="424">
        <f>C17</f>
        <v>91.36</v>
      </c>
      <c r="D47" s="424">
        <f ca="1">D17</f>
        <v>92.868498023715418</v>
      </c>
      <c r="E47" s="424">
        <f t="shared" ref="E47:P47" ca="1" si="10">E17</f>
        <v>82.500885812932552</v>
      </c>
      <c r="F47" s="424">
        <f t="shared" ca="1" si="10"/>
        <v>342.8046235615675</v>
      </c>
      <c r="G47" s="424">
        <f t="shared" ca="1" si="10"/>
        <v>568.23868884434319</v>
      </c>
      <c r="H47" s="424">
        <f t="shared" ca="1" si="10"/>
        <v>494.13952227081415</v>
      </c>
      <c r="I47" s="424">
        <f t="shared" ca="1" si="10"/>
        <v>430.04032359423508</v>
      </c>
      <c r="J47" s="424">
        <f t="shared" ca="1" si="10"/>
        <v>374.55345507385425</v>
      </c>
      <c r="K47" s="424">
        <f t="shared" ca="1" si="10"/>
        <v>326.48801178323419</v>
      </c>
      <c r="L47" s="424">
        <f t="shared" ca="1" si="10"/>
        <v>284.82148189583114</v>
      </c>
      <c r="M47" s="424">
        <f t="shared" ca="1" si="10"/>
        <v>248.67553660505436</v>
      </c>
      <c r="N47" s="424">
        <f t="shared" ca="1" si="10"/>
        <v>217.29534297514238</v>
      </c>
      <c r="O47" s="424">
        <f t="shared" ca="1" si="10"/>
        <v>190.0318826667505</v>
      </c>
      <c r="P47" s="424">
        <f t="shared" ca="1" si="10"/>
        <v>166.32683582870081</v>
      </c>
    </row>
    <row r="48" spans="1:16" x14ac:dyDescent="0.25">
      <c r="A48" s="218"/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424"/>
    </row>
    <row r="49" spans="1:17" x14ac:dyDescent="0.25">
      <c r="A49" s="218">
        <v>13</v>
      </c>
      <c r="B49" s="216" t="s">
        <v>24</v>
      </c>
      <c r="C49" s="424">
        <f>C45+C47</f>
        <v>199.34000000000123</v>
      </c>
      <c r="D49" s="424">
        <f ca="1">D45+D47</f>
        <v>297.11791598616583</v>
      </c>
      <c r="E49" s="424">
        <f t="shared" ref="E49:P49" ca="1" si="11">E45+E47</f>
        <v>234.1348513113627</v>
      </c>
      <c r="F49" s="424">
        <f t="shared" ca="1" si="11"/>
        <v>418.97018109374994</v>
      </c>
      <c r="G49" s="424">
        <f t="shared" ca="1" si="11"/>
        <v>1481.2058573742829</v>
      </c>
      <c r="H49" s="424">
        <f t="shared" ca="1" si="11"/>
        <v>1329.1363341479118</v>
      </c>
      <c r="I49" s="424">
        <f t="shared" ca="1" si="11"/>
        <v>1400.815638096424</v>
      </c>
      <c r="J49" s="424">
        <f t="shared" ca="1" si="11"/>
        <v>1468.3105012132241</v>
      </c>
      <c r="K49" s="424">
        <f t="shared" ca="1" si="11"/>
        <v>1442.9638976044344</v>
      </c>
      <c r="L49" s="424">
        <f t="shared" ca="1" si="11"/>
        <v>1736.5671369411568</v>
      </c>
      <c r="M49" s="424">
        <f t="shared" ca="1" si="11"/>
        <v>1700.6886536167733</v>
      </c>
      <c r="N49" s="424">
        <f t="shared" ca="1" si="11"/>
        <v>2034.1565574146027</v>
      </c>
      <c r="O49" s="424">
        <f t="shared" ca="1" si="11"/>
        <v>2200.1792001058298</v>
      </c>
      <c r="P49" s="424">
        <f t="shared" ca="1" si="11"/>
        <v>2356.895165854949</v>
      </c>
    </row>
    <row r="50" spans="1:17" x14ac:dyDescent="0.25">
      <c r="A50" s="273"/>
      <c r="B50" s="273"/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485"/>
      <c r="N50" s="485"/>
      <c r="O50" s="485"/>
      <c r="P50" s="485"/>
    </row>
    <row r="51" spans="1:17" x14ac:dyDescent="0.25">
      <c r="C51" s="225"/>
      <c r="D51" s="225"/>
      <c r="E51" s="225"/>
      <c r="F51" s="225">
        <f>600.09+294.99+186.79</f>
        <v>1081.8700000000001</v>
      </c>
      <c r="G51" s="225">
        <f>521.67+1377.61+278.84</f>
        <v>2178.12</v>
      </c>
      <c r="H51" s="225">
        <f>453.85+1661.93+259.64</f>
        <v>2375.42</v>
      </c>
      <c r="I51" s="225">
        <f>395.16+1965.37+239.5</f>
        <v>2600.0299999999997</v>
      </c>
      <c r="J51" s="225">
        <f>344.33+2269.57+218.83</f>
        <v>2832.73</v>
      </c>
      <c r="K51" s="225">
        <f>300.28+2576.6+195.89</f>
        <v>3072.77</v>
      </c>
      <c r="L51" s="225">
        <f>262.08+2888.44+171.17</f>
        <v>3321.69</v>
      </c>
      <c r="M51" s="225">
        <f>228.93+3207.09+144.77</f>
        <v>3580.79</v>
      </c>
      <c r="N51" s="225">
        <f>200.14+3534.54+116.06</f>
        <v>3850.74</v>
      </c>
      <c r="O51" s="225">
        <f>175.11+3872.85+85.06</f>
        <v>4133.0200000000004</v>
      </c>
      <c r="P51" s="225">
        <f>153.34+4224.13+52.27</f>
        <v>4429.7400000000007</v>
      </c>
    </row>
    <row r="52" spans="1:17" x14ac:dyDescent="0.25">
      <c r="C52" s="423"/>
      <c r="D52" s="423"/>
      <c r="E52" s="423"/>
      <c r="F52" s="423"/>
      <c r="G52" s="423"/>
      <c r="H52" s="423"/>
      <c r="I52" s="423"/>
      <c r="J52" s="423"/>
      <c r="K52" s="423"/>
      <c r="L52" s="423"/>
      <c r="M52" s="423"/>
      <c r="N52" s="423"/>
      <c r="O52" s="423"/>
      <c r="P52" s="423"/>
    </row>
    <row r="53" spans="1:17" x14ac:dyDescent="0.25"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</row>
    <row r="54" spans="1:17" x14ac:dyDescent="0.25">
      <c r="B54" s="216" t="s">
        <v>888</v>
      </c>
      <c r="C54" s="424">
        <f>C10</f>
        <v>5074.9500000000007</v>
      </c>
      <c r="D54" s="424">
        <f t="shared" ref="D54:P54" si="12">D10</f>
        <v>6005</v>
      </c>
      <c r="E54" s="424">
        <f t="shared" si="12"/>
        <v>6605.5000000000009</v>
      </c>
      <c r="F54" s="424">
        <f t="shared" si="12"/>
        <v>7620.2297187500017</v>
      </c>
      <c r="G54" s="424">
        <f t="shared" si="12"/>
        <v>13414.156375000002</v>
      </c>
      <c r="H54" s="424">
        <f t="shared" si="12"/>
        <v>14815.774250000004</v>
      </c>
      <c r="I54" s="424">
        <f t="shared" si="12"/>
        <v>16297.351675000005</v>
      </c>
      <c r="J54" s="424">
        <f t="shared" si="12"/>
        <v>17866.884605000007</v>
      </c>
      <c r="K54" s="424">
        <f t="shared" si="12"/>
        <v>19533.168590500009</v>
      </c>
      <c r="L54" s="424">
        <f t="shared" si="12"/>
        <v>21305.878737050014</v>
      </c>
      <c r="M54" s="424">
        <f t="shared" si="12"/>
        <v>23195.657660755016</v>
      </c>
      <c r="N54" s="424">
        <f t="shared" si="12"/>
        <v>25214.212239330514</v>
      </c>
      <c r="O54" s="424">
        <f t="shared" si="12"/>
        <v>27374.420038263568</v>
      </c>
      <c r="P54" s="424">
        <f t="shared" si="12"/>
        <v>29690.446379589928</v>
      </c>
      <c r="Q54" s="225"/>
    </row>
    <row r="55" spans="1:17" x14ac:dyDescent="0.25">
      <c r="B55" s="216" t="s">
        <v>819</v>
      </c>
      <c r="C55" s="424">
        <f>C34+C17</f>
        <v>338.17000000000127</v>
      </c>
      <c r="D55" s="424">
        <f t="shared" ref="D55:P55" ca="1" si="13">D34+D17</f>
        <v>473.33999999999975</v>
      </c>
      <c r="E55" s="424">
        <f t="shared" ca="1" si="13"/>
        <v>389.00000000000028</v>
      </c>
      <c r="F55" s="424">
        <f t="shared" ca="1" si="13"/>
        <v>537.71853109375002</v>
      </c>
      <c r="G55" s="424">
        <f t="shared" ca="1" si="13"/>
        <v>2287.3088866874959</v>
      </c>
      <c r="H55" s="424">
        <f t="shared" ca="1" si="13"/>
        <v>1992.554392375001</v>
      </c>
      <c r="I55" s="424">
        <f t="shared" ca="1" si="13"/>
        <v>2087.7182967053018</v>
      </c>
      <c r="J55" s="424">
        <f t="shared" ca="1" si="13"/>
        <v>2174.2995174243533</v>
      </c>
      <c r="K55" s="424">
        <f t="shared" ca="1" si="13"/>
        <v>2130.5352088389095</v>
      </c>
      <c r="L55" s="424">
        <f t="shared" ca="1" si="13"/>
        <v>2513.2319346597833</v>
      </c>
      <c r="M55" s="424">
        <f t="shared" ca="1" si="13"/>
        <v>2446.4394244587274</v>
      </c>
      <c r="N55" s="424">
        <f t="shared" ca="1" si="13"/>
        <v>2874.7852003257667</v>
      </c>
      <c r="O55" s="424">
        <f t="shared" ca="1" si="13"/>
        <v>3074.1591765033422</v>
      </c>
      <c r="P55" s="424">
        <f t="shared" ca="1" si="13"/>
        <v>3281.3543088371462</v>
      </c>
      <c r="Q55" s="225"/>
    </row>
    <row r="56" spans="1:17" x14ac:dyDescent="0.25">
      <c r="B56" s="216" t="s">
        <v>821</v>
      </c>
      <c r="C56" s="424">
        <f>C34</f>
        <v>246.81000000000125</v>
      </c>
      <c r="D56" s="424">
        <f t="shared" ref="D56:P56" ca="1" si="14">D34</f>
        <v>380.47150197628434</v>
      </c>
      <c r="E56" s="424">
        <f t="shared" ca="1" si="14"/>
        <v>306.49911418706773</v>
      </c>
      <c r="F56" s="424">
        <f t="shared" ca="1" si="14"/>
        <v>194.91390753218246</v>
      </c>
      <c r="G56" s="424">
        <f t="shared" ca="1" si="14"/>
        <v>1719.070197843153</v>
      </c>
      <c r="H56" s="424">
        <f t="shared" ca="1" si="14"/>
        <v>1498.4148701041868</v>
      </c>
      <c r="I56" s="424">
        <f t="shared" ca="1" si="14"/>
        <v>1657.6779731110666</v>
      </c>
      <c r="J56" s="424">
        <f t="shared" ca="1" si="14"/>
        <v>1799.7460623504992</v>
      </c>
      <c r="K56" s="424">
        <f t="shared" ca="1" si="14"/>
        <v>1804.0471970556755</v>
      </c>
      <c r="L56" s="424">
        <f t="shared" ca="1" si="14"/>
        <v>2228.410452763952</v>
      </c>
      <c r="M56" s="424">
        <f t="shared" ca="1" si="14"/>
        <v>2197.7638878536732</v>
      </c>
      <c r="N56" s="424">
        <f t="shared" ca="1" si="14"/>
        <v>2657.4898573506243</v>
      </c>
      <c r="O56" s="424">
        <f t="shared" ca="1" si="14"/>
        <v>2884.1272938365919</v>
      </c>
      <c r="P56" s="424">
        <f t="shared" ca="1" si="14"/>
        <v>3115.0274730084452</v>
      </c>
      <c r="Q56" s="225"/>
    </row>
    <row r="57" spans="1:17" x14ac:dyDescent="0.25">
      <c r="B57" s="216" t="s">
        <v>822</v>
      </c>
      <c r="C57" s="424">
        <f>C45</f>
        <v>107.98000000000124</v>
      </c>
      <c r="D57" s="424">
        <f t="shared" ref="D57:P57" ca="1" si="15">D45</f>
        <v>204.24941796245042</v>
      </c>
      <c r="E57" s="424">
        <f t="shared" ca="1" si="15"/>
        <v>151.63396549843014</v>
      </c>
      <c r="F57" s="424">
        <f t="shared" ca="1" si="15"/>
        <v>76.165557532182447</v>
      </c>
      <c r="G57" s="424">
        <f t="shared" ca="1" si="15"/>
        <v>912.96716852993984</v>
      </c>
      <c r="H57" s="424">
        <f t="shared" ca="1" si="15"/>
        <v>834.99681187709768</v>
      </c>
      <c r="I57" s="424">
        <f t="shared" ca="1" si="15"/>
        <v>970.77531450218885</v>
      </c>
      <c r="J57" s="424">
        <f t="shared" ca="1" si="15"/>
        <v>1093.7570461393698</v>
      </c>
      <c r="K57" s="424">
        <f t="shared" ca="1" si="15"/>
        <v>1116.4758858212001</v>
      </c>
      <c r="L57" s="424">
        <f t="shared" ca="1" si="15"/>
        <v>1451.7456550453257</v>
      </c>
      <c r="M57" s="424">
        <f t="shared" ca="1" si="15"/>
        <v>1452.013117011719</v>
      </c>
      <c r="N57" s="424">
        <f t="shared" ca="1" si="15"/>
        <v>1816.8612144394604</v>
      </c>
      <c r="O57" s="424">
        <f t="shared" ca="1" si="15"/>
        <v>2010.1473174390794</v>
      </c>
      <c r="P57" s="424">
        <f t="shared" ca="1" si="15"/>
        <v>2190.5683300262481</v>
      </c>
      <c r="Q57" s="225"/>
    </row>
    <row r="58" spans="1:17" x14ac:dyDescent="0.25">
      <c r="B58" s="216" t="s">
        <v>889</v>
      </c>
      <c r="C58" s="425">
        <f>C55/C54</f>
        <v>6.6635139262456025E-2</v>
      </c>
      <c r="D58" s="425">
        <f t="shared" ref="D58:P58" ca="1" si="16">D55/D54</f>
        <v>7.8824313072439589E-2</v>
      </c>
      <c r="E58" s="425">
        <f t="shared" ca="1" si="16"/>
        <v>5.8890318673832445E-2</v>
      </c>
      <c r="F58" s="425">
        <f t="shared" ca="1" si="16"/>
        <v>7.0564609065611697E-2</v>
      </c>
      <c r="G58" s="425">
        <f t="shared" ca="1" si="16"/>
        <v>0.1705145536360646</v>
      </c>
      <c r="H58" s="425">
        <f t="shared" ca="1" si="16"/>
        <v>0.13448871174417365</v>
      </c>
      <c r="I58" s="425">
        <f t="shared" ca="1" si="16"/>
        <v>0.12810169028308099</v>
      </c>
      <c r="J58" s="425">
        <f t="shared" ca="1" si="16"/>
        <v>0.12169438407946512</v>
      </c>
      <c r="K58" s="425">
        <f t="shared" ca="1" si="16"/>
        <v>0.10907268828238646</v>
      </c>
      <c r="L58" s="425">
        <f t="shared" ca="1" si="16"/>
        <v>0.11795955312039677</v>
      </c>
      <c r="M58" s="425">
        <f t="shared" ca="1" si="16"/>
        <v>0.1054697159373017</v>
      </c>
      <c r="N58" s="425">
        <f t="shared" ca="1" si="16"/>
        <v>0.11401447616283322</v>
      </c>
      <c r="O58" s="425">
        <f t="shared" ca="1" si="16"/>
        <v>0.11230043128608121</v>
      </c>
      <c r="P58" s="425">
        <f t="shared" ca="1" si="16"/>
        <v>0.11051886074346272</v>
      </c>
    </row>
    <row r="59" spans="1:17" x14ac:dyDescent="0.25">
      <c r="B59" s="216" t="s">
        <v>890</v>
      </c>
      <c r="C59" s="425">
        <f>C56/C54</f>
        <v>4.8632991458044159E-2</v>
      </c>
      <c r="D59" s="425">
        <f t="shared" ref="D59:P59" ca="1" si="17">D56/D54</f>
        <v>6.3359117731271328E-2</v>
      </c>
      <c r="E59" s="425">
        <f t="shared" ca="1" si="17"/>
        <v>4.6400592564842587E-2</v>
      </c>
      <c r="F59" s="425">
        <f t="shared" ca="1" si="17"/>
        <v>2.5578481847152966E-2</v>
      </c>
      <c r="G59" s="425">
        <f t="shared" ca="1" si="17"/>
        <v>0.12815343356567607</v>
      </c>
      <c r="H59" s="425">
        <f t="shared" ca="1" si="17"/>
        <v>0.1011364539456442</v>
      </c>
      <c r="I59" s="425">
        <f t="shared" ca="1" si="17"/>
        <v>0.10171456112430402</v>
      </c>
      <c r="J59" s="425">
        <f t="shared" ca="1" si="17"/>
        <v>0.10073082700981034</v>
      </c>
      <c r="K59" s="425">
        <f t="shared" ca="1" si="17"/>
        <v>9.2358143979419549E-2</v>
      </c>
      <c r="L59" s="425">
        <f t="shared" ca="1" si="17"/>
        <v>0.10459134214862686</v>
      </c>
      <c r="M59" s="425">
        <f t="shared" ca="1" si="17"/>
        <v>9.4748936201627665E-2</v>
      </c>
      <c r="N59" s="425">
        <f t="shared" ca="1" si="17"/>
        <v>0.10539650543614151</v>
      </c>
      <c r="O59" s="425">
        <f t="shared" ca="1" si="17"/>
        <v>0.10535848028214663</v>
      </c>
      <c r="P59" s="425">
        <f t="shared" ca="1" si="17"/>
        <v>0.10491682857115295</v>
      </c>
    </row>
    <row r="60" spans="1:17" x14ac:dyDescent="0.25">
      <c r="B60" s="216" t="s">
        <v>891</v>
      </c>
      <c r="C60" s="425">
        <f>C57/C54</f>
        <v>2.1277056916817156E-2</v>
      </c>
      <c r="D60" s="425">
        <f t="shared" ref="D60:P60" ca="1" si="18">D57/D54</f>
        <v>3.4013225305986751E-2</v>
      </c>
      <c r="E60" s="425">
        <f t="shared" ca="1" si="18"/>
        <v>2.2955713496091153E-2</v>
      </c>
      <c r="F60" s="425">
        <f t="shared" ca="1" si="18"/>
        <v>9.995178668272011E-3</v>
      </c>
      <c r="G60" s="425">
        <f t="shared" ca="1" si="18"/>
        <v>6.8059976565610872E-2</v>
      </c>
      <c r="H60" s="425">
        <f t="shared" ca="1" si="18"/>
        <v>5.6358634910834815E-2</v>
      </c>
      <c r="I60" s="425">
        <f t="shared" ca="1" si="18"/>
        <v>5.9566445755192834E-2</v>
      </c>
      <c r="J60" s="425">
        <f t="shared" ca="1" si="18"/>
        <v>6.1216998392281799E-2</v>
      </c>
      <c r="K60" s="425">
        <f t="shared" ca="1" si="18"/>
        <v>5.7157950623750828E-2</v>
      </c>
      <c r="L60" s="425">
        <f t="shared" ca="1" si="18"/>
        <v>6.81382670464937E-2</v>
      </c>
      <c r="M60" s="425">
        <f t="shared" ca="1" si="18"/>
        <v>6.2598488831312415E-2</v>
      </c>
      <c r="N60" s="425">
        <f t="shared" ca="1" si="18"/>
        <v>7.2057028678667992E-2</v>
      </c>
      <c r="O60" s="425">
        <f t="shared" ca="1" si="18"/>
        <v>7.3431594701525174E-2</v>
      </c>
      <c r="P60" s="425">
        <f t="shared" ca="1" si="18"/>
        <v>7.3780242372243621E-2</v>
      </c>
    </row>
    <row r="61" spans="1:17" x14ac:dyDescent="0.25">
      <c r="B61" s="216" t="s">
        <v>893</v>
      </c>
      <c r="C61" s="425" t="e">
        <f>C54/B54-1</f>
        <v>#VALUE!</v>
      </c>
      <c r="D61" s="425">
        <f>D54/C54-1</f>
        <v>0.18326288928954959</v>
      </c>
      <c r="E61" s="425">
        <f t="shared" ref="E61:P61" si="19">E54/D54-1</f>
        <v>0.10000000000000009</v>
      </c>
      <c r="F61" s="425">
        <f t="shared" si="19"/>
        <v>0.15361891132389682</v>
      </c>
      <c r="G61" s="425">
        <f t="shared" si="19"/>
        <v>0.76033490722644759</v>
      </c>
      <c r="H61" s="425">
        <f t="shared" si="19"/>
        <v>0.1044879630009532</v>
      </c>
      <c r="I61" s="425">
        <f t="shared" si="19"/>
        <v>0.10000000000000009</v>
      </c>
      <c r="J61" s="425">
        <f t="shared" si="19"/>
        <v>9.6306011019425375E-2</v>
      </c>
      <c r="K61" s="425">
        <f t="shared" si="19"/>
        <v>9.3261025765717154E-2</v>
      </c>
      <c r="L61" s="425">
        <f t="shared" si="19"/>
        <v>9.0753844586800136E-2</v>
      </c>
      <c r="M61" s="425">
        <f t="shared" si="19"/>
        <v>8.869753493991106E-2</v>
      </c>
      <c r="N61" s="425">
        <f t="shared" si="19"/>
        <v>8.7022950937524435E-2</v>
      </c>
      <c r="O61" s="425">
        <f t="shared" si="19"/>
        <v>8.5674213353508666E-2</v>
      </c>
      <c r="P61" s="425">
        <f t="shared" si="19"/>
        <v>8.460549440276921E-2</v>
      </c>
    </row>
  </sheetData>
  <mergeCells count="3">
    <mergeCell ref="A1:P1"/>
    <mergeCell ref="A2:P2"/>
    <mergeCell ref="A4:P4"/>
  </mergeCells>
  <pageMargins left="7.8740157480315001E-2" right="7.8740157480315001E-2" top="7.8740157480315001E-2" bottom="7.8740157480315001E-2" header="0.31496062992126" footer="0.31496062992126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opLeftCell="A71" zoomScaleNormal="100" workbookViewId="0">
      <selection activeCell="C88" sqref="C88"/>
    </sheetView>
  </sheetViews>
  <sheetFormatPr defaultColWidth="9.140625" defaultRowHeight="15" x14ac:dyDescent="0.25"/>
  <cols>
    <col min="1" max="1" width="34.140625" style="216" customWidth="1"/>
    <col min="2" max="3" width="11.7109375" style="243" bestFit="1" customWidth="1"/>
    <col min="4" max="5" width="11.42578125" style="243" bestFit="1" customWidth="1"/>
    <col min="6" max="6" width="11.28515625" style="243" customWidth="1"/>
    <col min="7" max="8" width="10.85546875" style="243" customWidth="1"/>
    <col min="9" max="15" width="10.85546875" style="243" bestFit="1" customWidth="1"/>
    <col min="16" max="16384" width="9.140625" style="216"/>
  </cols>
  <sheetData>
    <row r="1" spans="1:17" x14ac:dyDescent="0.25">
      <c r="A1" s="506" t="s">
        <v>832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</row>
    <row r="2" spans="1:17" x14ac:dyDescent="0.25">
      <c r="A2" s="506" t="s">
        <v>87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346"/>
    </row>
    <row r="4" spans="1:17" x14ac:dyDescent="0.25">
      <c r="A4" s="507" t="s">
        <v>833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</row>
    <row r="5" spans="1:17" ht="15.75" thickBot="1" x14ac:dyDescent="0.3">
      <c r="A5" s="420" t="s">
        <v>709</v>
      </c>
      <c r="B5" s="486" t="s">
        <v>110</v>
      </c>
      <c r="C5" s="486" t="str">
        <f>'P&amp;L(Proposed)'!E6</f>
        <v>2023-24</v>
      </c>
      <c r="D5" s="486" t="str">
        <f>'P&amp;L(Proposed)'!F6</f>
        <v>2024-25</v>
      </c>
      <c r="E5" s="486" t="str">
        <f>'P&amp;L(Proposed)'!G6</f>
        <v>2025-26</v>
      </c>
      <c r="F5" s="486" t="str">
        <f>'P&amp;L(Proposed)'!H6</f>
        <v>2026-27</v>
      </c>
      <c r="G5" s="486" t="str">
        <f>'P&amp;L(Proposed)'!I6</f>
        <v>2027-28</v>
      </c>
      <c r="H5" s="486" t="str">
        <f>'P&amp;L(Proposed)'!J6</f>
        <v>2028-29</v>
      </c>
      <c r="I5" s="486" t="str">
        <f>'P&amp;L(Proposed)'!K6</f>
        <v>2029-30</v>
      </c>
      <c r="J5" s="486" t="str">
        <f>'P&amp;L(Proposed)'!L6</f>
        <v>2030-31</v>
      </c>
      <c r="K5" s="486" t="str">
        <f>'P&amp;L(Proposed)'!M6</f>
        <v>2031-32</v>
      </c>
      <c r="L5" s="486" t="str">
        <f>'P&amp;L(Proposed)'!N6</f>
        <v>2032-33</v>
      </c>
      <c r="M5" s="486" t="str">
        <f>'P&amp;L(Proposed)'!O6</f>
        <v>2033-34</v>
      </c>
      <c r="N5" s="486" t="str">
        <f>'P&amp;L(Proposed)'!P6</f>
        <v>2034-35</v>
      </c>
      <c r="O5" s="486" t="str">
        <f>'P&amp;L(Proposed)'!Q6</f>
        <v>2035-36</v>
      </c>
    </row>
    <row r="6" spans="1:17" ht="15.75" thickTop="1" x14ac:dyDescent="0.25">
      <c r="A6" s="216" t="s">
        <v>123</v>
      </c>
      <c r="B6" s="487">
        <v>300</v>
      </c>
      <c r="C6" s="487">
        <v>800</v>
      </c>
      <c r="D6" s="487">
        <v>1200</v>
      </c>
      <c r="E6" s="487">
        <v>1500</v>
      </c>
      <c r="F6" s="487">
        <v>1500</v>
      </c>
      <c r="G6" s="487">
        <v>1500</v>
      </c>
      <c r="H6" s="487">
        <v>1500</v>
      </c>
      <c r="I6" s="487">
        <v>1500</v>
      </c>
      <c r="J6" s="487">
        <v>1500</v>
      </c>
      <c r="K6" s="487">
        <v>1500</v>
      </c>
      <c r="L6" s="487">
        <v>1500</v>
      </c>
      <c r="M6" s="487">
        <v>1500</v>
      </c>
      <c r="N6" s="487">
        <v>1500</v>
      </c>
      <c r="O6" s="487">
        <v>1500</v>
      </c>
    </row>
    <row r="7" spans="1:17" x14ac:dyDescent="0.25">
      <c r="A7" s="474" t="s">
        <v>635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</row>
    <row r="8" spans="1:17" x14ac:dyDescent="0.25">
      <c r="A8" s="216" t="s">
        <v>27</v>
      </c>
      <c r="B8" s="487">
        <v>191.23</v>
      </c>
      <c r="C8" s="487">
        <f>B10</f>
        <v>284.52</v>
      </c>
      <c r="D8" s="487">
        <f t="shared" ref="D8:O8" si="0">C10</f>
        <v>629.72</v>
      </c>
      <c r="E8" s="487">
        <f>D10</f>
        <v>1029.72</v>
      </c>
      <c r="F8" s="487">
        <f t="shared" si="0"/>
        <v>1284.52</v>
      </c>
      <c r="G8" s="487">
        <f t="shared" si="0"/>
        <v>1484.52</v>
      </c>
      <c r="H8" s="487">
        <f t="shared" si="0"/>
        <v>1484.52</v>
      </c>
      <c r="I8" s="487">
        <f t="shared" si="0"/>
        <v>1484.52</v>
      </c>
      <c r="J8" s="487">
        <f t="shared" si="0"/>
        <v>1484.52</v>
      </c>
      <c r="K8" s="487">
        <f t="shared" si="0"/>
        <v>1484.52</v>
      </c>
      <c r="L8" s="487">
        <f t="shared" si="0"/>
        <v>1484.52</v>
      </c>
      <c r="M8" s="487">
        <f t="shared" si="0"/>
        <v>1484.52</v>
      </c>
      <c r="N8" s="487">
        <f t="shared" si="0"/>
        <v>1484.52</v>
      </c>
      <c r="O8" s="487">
        <f t="shared" si="0"/>
        <v>1484.52</v>
      </c>
    </row>
    <row r="9" spans="1:17" x14ac:dyDescent="0.25">
      <c r="A9" s="216" t="s">
        <v>97</v>
      </c>
      <c r="B9" s="489">
        <v>93.29</v>
      </c>
      <c r="C9" s="489">
        <f>'BS Existing'!C9+'BS(Proposed)'!C10</f>
        <v>345.2</v>
      </c>
      <c r="D9" s="489">
        <f>'BS Existing'!D9+'BS(Proposed)'!D10</f>
        <v>400</v>
      </c>
      <c r="E9" s="489">
        <f>'BS Existing'!E9+'BS(Proposed)'!E10</f>
        <v>254.8</v>
      </c>
      <c r="F9" s="489">
        <f>'BS Existing'!F9+'BS(Proposed)'!F10</f>
        <v>200</v>
      </c>
      <c r="G9" s="489">
        <f>'BS Existing'!G9+'BS(Proposed)'!G10</f>
        <v>0</v>
      </c>
      <c r="H9" s="489">
        <f>'BS Existing'!H9+'BS(Proposed)'!H10</f>
        <v>0</v>
      </c>
      <c r="I9" s="489">
        <f>'BS Existing'!I9+'BS(Proposed)'!I10</f>
        <v>0</v>
      </c>
      <c r="J9" s="489">
        <f>'BS Existing'!J9+'BS(Proposed)'!J10</f>
        <v>0</v>
      </c>
      <c r="K9" s="489">
        <f>'BS Existing'!K9+'BS(Proposed)'!K10</f>
        <v>0</v>
      </c>
      <c r="L9" s="489">
        <f>'BS Existing'!L9+'BS(Proposed)'!L10</f>
        <v>0</v>
      </c>
      <c r="M9" s="489">
        <f>'BS Existing'!M9+'BS(Proposed)'!M10</f>
        <v>0</v>
      </c>
      <c r="N9" s="489">
        <f>'BS Existing'!N9+'BS(Proposed)'!N10</f>
        <v>0</v>
      </c>
      <c r="O9" s="489">
        <f>'BS Existing'!O9+'BS(Proposed)'!O10</f>
        <v>0</v>
      </c>
    </row>
    <row r="10" spans="1:17" x14ac:dyDescent="0.25">
      <c r="A10" s="328" t="s">
        <v>636</v>
      </c>
      <c r="B10" s="490">
        <f>B8+B9</f>
        <v>284.52</v>
      </c>
      <c r="C10" s="490">
        <f t="shared" ref="C10:O10" si="1">C8+C9</f>
        <v>629.72</v>
      </c>
      <c r="D10" s="490">
        <f t="shared" si="1"/>
        <v>1029.72</v>
      </c>
      <c r="E10" s="490">
        <f t="shared" si="1"/>
        <v>1284.52</v>
      </c>
      <c r="F10" s="490">
        <f t="shared" si="1"/>
        <v>1484.52</v>
      </c>
      <c r="G10" s="490">
        <f t="shared" si="1"/>
        <v>1484.52</v>
      </c>
      <c r="H10" s="490">
        <f t="shared" si="1"/>
        <v>1484.52</v>
      </c>
      <c r="I10" s="490">
        <f t="shared" si="1"/>
        <v>1484.52</v>
      </c>
      <c r="J10" s="490">
        <f t="shared" si="1"/>
        <v>1484.52</v>
      </c>
      <c r="K10" s="490">
        <f t="shared" si="1"/>
        <v>1484.52</v>
      </c>
      <c r="L10" s="490">
        <f t="shared" si="1"/>
        <v>1484.52</v>
      </c>
      <c r="M10" s="490">
        <f t="shared" si="1"/>
        <v>1484.52</v>
      </c>
      <c r="N10" s="490">
        <f t="shared" si="1"/>
        <v>1484.52</v>
      </c>
      <c r="O10" s="490">
        <f t="shared" si="1"/>
        <v>1484.52</v>
      </c>
    </row>
    <row r="11" spans="1:17" ht="30" x14ac:dyDescent="0.25">
      <c r="A11" s="355" t="s">
        <v>637</v>
      </c>
      <c r="B11" s="487">
        <f>'BS Existing'!B12</f>
        <v>124.35</v>
      </c>
      <c r="C11" s="487">
        <f>'BS Existing'!C12+'BS(Proposed)'!C11</f>
        <v>124.35</v>
      </c>
      <c r="D11" s="487">
        <f>'BS Existing'!D12+'BS(Proposed)'!D11</f>
        <v>471.08999999999992</v>
      </c>
      <c r="E11" s="487">
        <f>'BS Existing'!E12+'BS(Proposed)'!E11</f>
        <v>477.33999999999992</v>
      </c>
      <c r="F11" s="487">
        <f>'BS Existing'!F12+'BS(Proposed)'!F11</f>
        <v>477.33999999999992</v>
      </c>
      <c r="G11" s="487">
        <f>'BS Existing'!G12+'BS(Proposed)'!G11</f>
        <v>577.34</v>
      </c>
      <c r="H11" s="487">
        <f>'BS Existing'!H12+'BS(Proposed)'!H11</f>
        <v>577.34</v>
      </c>
      <c r="I11" s="487">
        <f>'BS Existing'!I12+'BS(Proposed)'!I11</f>
        <v>677.34</v>
      </c>
      <c r="J11" s="487">
        <f>'BS Existing'!J12+'BS(Proposed)'!J11</f>
        <v>677.34</v>
      </c>
      <c r="K11" s="487">
        <f>'BS Existing'!K12+'BS(Proposed)'!K11</f>
        <v>677.34</v>
      </c>
      <c r="L11" s="487">
        <f>'BS Existing'!L12+'BS(Proposed)'!L11</f>
        <v>677.34</v>
      </c>
      <c r="M11" s="487">
        <f>'BS Existing'!M12+'BS(Proposed)'!M11</f>
        <v>677.34</v>
      </c>
      <c r="N11" s="487">
        <f>'BS Existing'!N12+'BS(Proposed)'!N11</f>
        <v>777.34</v>
      </c>
      <c r="O11" s="487">
        <f>'BS Existing'!O12+'BS(Proposed)'!O11</f>
        <v>777.34</v>
      </c>
    </row>
    <row r="12" spans="1:17" x14ac:dyDescent="0.25">
      <c r="A12" s="328" t="s">
        <v>5</v>
      </c>
      <c r="B12" s="490">
        <f>B10+B11</f>
        <v>408.87</v>
      </c>
      <c r="C12" s="490">
        <f t="shared" ref="C12:O12" si="2">C10+C11</f>
        <v>754.07</v>
      </c>
      <c r="D12" s="490">
        <f t="shared" si="2"/>
        <v>1500.81</v>
      </c>
      <c r="E12" s="490">
        <f t="shared" si="2"/>
        <v>1761.86</v>
      </c>
      <c r="F12" s="490">
        <f t="shared" si="2"/>
        <v>1961.86</v>
      </c>
      <c r="G12" s="490">
        <f t="shared" si="2"/>
        <v>2061.86</v>
      </c>
      <c r="H12" s="490">
        <f t="shared" si="2"/>
        <v>2061.86</v>
      </c>
      <c r="I12" s="490">
        <f t="shared" si="2"/>
        <v>2161.86</v>
      </c>
      <c r="J12" s="490">
        <f t="shared" si="2"/>
        <v>2161.86</v>
      </c>
      <c r="K12" s="490">
        <f t="shared" si="2"/>
        <v>2161.86</v>
      </c>
      <c r="L12" s="490">
        <f t="shared" si="2"/>
        <v>2161.86</v>
      </c>
      <c r="M12" s="490">
        <f t="shared" si="2"/>
        <v>2161.86</v>
      </c>
      <c r="N12" s="490">
        <f t="shared" si="2"/>
        <v>2261.86</v>
      </c>
      <c r="O12" s="490">
        <f t="shared" si="2"/>
        <v>2261.86</v>
      </c>
    </row>
    <row r="13" spans="1:17" x14ac:dyDescent="0.25">
      <c r="A13" s="216" t="s">
        <v>124</v>
      </c>
      <c r="B13" s="487">
        <f>'BS Existing'!B11</f>
        <v>399.9500000000013</v>
      </c>
      <c r="C13" s="487">
        <f ca="1">'BS(Proposed)'!C11+'BS Existing'!C11</f>
        <v>604.19941796245166</v>
      </c>
      <c r="D13" s="487">
        <f ca="1">'BS(Proposed)'!D13+'BS Existing'!D11</f>
        <v>755.83338346088181</v>
      </c>
      <c r="E13" s="487">
        <f ca="1">'BS(Proposed)'!E13+'BS Existing'!E11</f>
        <v>831.99894099306425</v>
      </c>
      <c r="F13" s="487">
        <f ca="1">'BS Existing'!F11+'BS(Proposed)'!F13</f>
        <v>1930.5453284292571</v>
      </c>
      <c r="G13" s="487">
        <f ca="1">'BS Existing'!G11+'BS(Proposed)'!G13</f>
        <v>2021.6694249076065</v>
      </c>
      <c r="H13" s="487">
        <f ca="1">'BS Existing'!H11+'BS(Proposed)'!H13</f>
        <v>2439.0108805897962</v>
      </c>
      <c r="I13" s="487">
        <f ca="1">'BS Existing'!I11+'BS(Proposed)'!I13</f>
        <v>2888.3845360841165</v>
      </c>
      <c r="J13" s="487">
        <f ca="1">'BS Existing'!J11+'BS(Proposed)'!J13</f>
        <v>3283.843205489638</v>
      </c>
      <c r="K13" s="487">
        <f ca="1">'BS Existing'!K11+'BS(Proposed)'!K13</f>
        <v>4041.9224009098571</v>
      </c>
      <c r="L13" s="487">
        <f ca="1">'BS Existing'!L11+'BS(Proposed)'!L13</f>
        <v>4519.2873471498642</v>
      </c>
      <c r="M13" s="487">
        <f ca="1">'BS Existing'!M11+'BS(Proposed)'!M13</f>
        <v>5420.2514869862971</v>
      </c>
      <c r="N13" s="487">
        <f ca="1">'BS Existing'!N11+'BS(Proposed)'!N13</f>
        <v>6213.9553191527903</v>
      </c>
      <c r="O13" s="487">
        <f ca="1">'BS Existing'!O11+'BS(Proposed)'!O13</f>
        <v>7064.977433789003</v>
      </c>
      <c r="P13" s="225"/>
      <c r="Q13" s="225"/>
    </row>
    <row r="14" spans="1:17" x14ac:dyDescent="0.25">
      <c r="A14" s="328" t="s">
        <v>493</v>
      </c>
      <c r="B14" s="490">
        <f>B12+B13</f>
        <v>808.8200000000013</v>
      </c>
      <c r="C14" s="490">
        <f t="shared" ref="C14:O14" ca="1" si="3">C12+C13</f>
        <v>1358.2694179624518</v>
      </c>
      <c r="D14" s="490">
        <f t="shared" ca="1" si="3"/>
        <v>2256.6433834608815</v>
      </c>
      <c r="E14" s="490">
        <f t="shared" ca="1" si="3"/>
        <v>2593.8589409930642</v>
      </c>
      <c r="F14" s="490">
        <f t="shared" ca="1" si="3"/>
        <v>3892.4053284292568</v>
      </c>
      <c r="G14" s="490">
        <f t="shared" ca="1" si="3"/>
        <v>4083.5294249076069</v>
      </c>
      <c r="H14" s="490">
        <f t="shared" ca="1" si="3"/>
        <v>4500.8708805897968</v>
      </c>
      <c r="I14" s="490">
        <f t="shared" ca="1" si="3"/>
        <v>5050.2445360841166</v>
      </c>
      <c r="J14" s="490">
        <f t="shared" ca="1" si="3"/>
        <v>5445.7032054896381</v>
      </c>
      <c r="K14" s="490">
        <f t="shared" ca="1" si="3"/>
        <v>6203.7824009098567</v>
      </c>
      <c r="L14" s="490">
        <f t="shared" ca="1" si="3"/>
        <v>6681.1473471498648</v>
      </c>
      <c r="M14" s="490">
        <f t="shared" ca="1" si="3"/>
        <v>7582.1114869862977</v>
      </c>
      <c r="N14" s="490">
        <f t="shared" ca="1" si="3"/>
        <v>8475.8153191527908</v>
      </c>
      <c r="O14" s="490">
        <f t="shared" ca="1" si="3"/>
        <v>9326.8374337890036</v>
      </c>
      <c r="Q14" s="225"/>
    </row>
    <row r="15" spans="1:17" x14ac:dyDescent="0.25">
      <c r="A15" s="216" t="s">
        <v>122</v>
      </c>
      <c r="B15" s="487">
        <v>47.78</v>
      </c>
      <c r="C15" s="487">
        <v>47.78</v>
      </c>
      <c r="D15" s="487">
        <v>47.78</v>
      </c>
      <c r="E15" s="487">
        <v>47.78</v>
      </c>
      <c r="F15" s="487">
        <v>47.78</v>
      </c>
      <c r="G15" s="487">
        <v>47.78</v>
      </c>
      <c r="H15" s="487">
        <v>47.78</v>
      </c>
      <c r="I15" s="487">
        <v>47.78</v>
      </c>
      <c r="J15" s="487">
        <v>47.78</v>
      </c>
      <c r="K15" s="487">
        <v>47.78</v>
      </c>
      <c r="L15" s="487">
        <v>47.78</v>
      </c>
      <c r="M15" s="487">
        <v>47.78</v>
      </c>
      <c r="N15" s="487">
        <v>47.78</v>
      </c>
      <c r="O15" s="487">
        <v>47.78</v>
      </c>
    </row>
    <row r="16" spans="1:17" x14ac:dyDescent="0.25">
      <c r="B16" s="491"/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</row>
    <row r="17" spans="1:17" x14ac:dyDescent="0.25">
      <c r="A17" s="474" t="s">
        <v>128</v>
      </c>
      <c r="B17" s="488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</row>
    <row r="18" spans="1:17" x14ac:dyDescent="0.25">
      <c r="A18" s="216" t="s">
        <v>88</v>
      </c>
      <c r="B18" s="487">
        <f>'BS Existing'!B17</f>
        <v>163.43</v>
      </c>
      <c r="C18" s="487">
        <f>'BS Existing'!C17</f>
        <v>123.43000000000004</v>
      </c>
      <c r="D18" s="487">
        <f>'BS Existing'!D17</f>
        <v>83.430000000000049</v>
      </c>
      <c r="E18" s="487">
        <f>'BS Existing'!E17</f>
        <v>43.430000000000064</v>
      </c>
      <c r="F18" s="487">
        <f>'BS Existing'!F17</f>
        <v>3.4300000000000637</v>
      </c>
      <c r="G18" s="487">
        <f>'BS Existing'!G17</f>
        <v>0</v>
      </c>
      <c r="H18" s="487">
        <f>'BS Existing'!H17</f>
        <v>0</v>
      </c>
      <c r="I18" s="487">
        <f>'BS Existing'!I17</f>
        <v>0</v>
      </c>
      <c r="J18" s="487">
        <f>'BS Existing'!J17</f>
        <v>0</v>
      </c>
      <c r="K18" s="487">
        <f>'BS Existing'!K17</f>
        <v>0</v>
      </c>
      <c r="L18" s="487">
        <f>'BS Existing'!L17</f>
        <v>0</v>
      </c>
      <c r="M18" s="487">
        <f>'BS Existing'!M17</f>
        <v>0</v>
      </c>
      <c r="N18" s="487">
        <f>'BS Existing'!N17</f>
        <v>0</v>
      </c>
      <c r="O18" s="487">
        <f>'BS Existing'!O17</f>
        <v>0</v>
      </c>
    </row>
    <row r="19" spans="1:17" x14ac:dyDescent="0.25">
      <c r="A19" s="216" t="s">
        <v>89</v>
      </c>
      <c r="B19" s="487">
        <f>'BS Existing'!B18</f>
        <v>94.22</v>
      </c>
      <c r="C19" s="487">
        <f>'BS Existing'!C18</f>
        <v>64.22</v>
      </c>
      <c r="D19" s="487">
        <f>'BS Existing'!D18</f>
        <v>34.22</v>
      </c>
      <c r="E19" s="487">
        <f>'BS Existing'!E18</f>
        <v>4.2200000000000131</v>
      </c>
      <c r="F19" s="487">
        <f>'BS Existing'!F18</f>
        <v>2.042810365310288E-14</v>
      </c>
      <c r="G19" s="487">
        <f>'BS Existing'!G18</f>
        <v>0</v>
      </c>
      <c r="H19" s="487">
        <f>'BS Existing'!H18</f>
        <v>0</v>
      </c>
      <c r="I19" s="487">
        <f>'BS Existing'!I18</f>
        <v>0</v>
      </c>
      <c r="J19" s="487">
        <f>'BS Existing'!J18</f>
        <v>0</v>
      </c>
      <c r="K19" s="487">
        <f>'BS Existing'!K18</f>
        <v>0</v>
      </c>
      <c r="L19" s="487">
        <f>'BS Existing'!L18</f>
        <v>0</v>
      </c>
      <c r="M19" s="487">
        <f>'BS Existing'!M18</f>
        <v>0</v>
      </c>
      <c r="N19" s="487">
        <f>'BS Existing'!N18</f>
        <v>0</v>
      </c>
      <c r="O19" s="487">
        <f>'BS Existing'!O18</f>
        <v>0</v>
      </c>
      <c r="Q19" s="225"/>
    </row>
    <row r="20" spans="1:17" x14ac:dyDescent="0.25">
      <c r="A20" s="216" t="s">
        <v>120</v>
      </c>
      <c r="B20" s="487">
        <f>'BS Existing'!B19</f>
        <v>47.870000000000005</v>
      </c>
      <c r="C20" s="487">
        <f>'BS Existing'!C19</f>
        <v>23.869999999999997</v>
      </c>
      <c r="D20" s="487">
        <f>'BS Existing'!D19</f>
        <v>0</v>
      </c>
      <c r="E20" s="487">
        <f>'BS Existing'!E19</f>
        <v>0</v>
      </c>
      <c r="F20" s="487">
        <f>'BS Existing'!F19</f>
        <v>0</v>
      </c>
      <c r="G20" s="487">
        <f>'BS Existing'!G19</f>
        <v>0</v>
      </c>
      <c r="H20" s="487">
        <f>'BS Existing'!H19</f>
        <v>0</v>
      </c>
      <c r="I20" s="487">
        <f>'BS Existing'!I19</f>
        <v>0</v>
      </c>
      <c r="J20" s="487">
        <f>'BS Existing'!J19</f>
        <v>0</v>
      </c>
      <c r="K20" s="487">
        <f>'BS Existing'!K19</f>
        <v>0</v>
      </c>
      <c r="L20" s="487">
        <f>'BS Existing'!L19</f>
        <v>0</v>
      </c>
      <c r="M20" s="487">
        <f>'BS Existing'!M19</f>
        <v>0</v>
      </c>
      <c r="N20" s="487">
        <f>'BS Existing'!N19</f>
        <v>0</v>
      </c>
      <c r="O20" s="487">
        <f>'BS Existing'!O19</f>
        <v>0</v>
      </c>
      <c r="Q20" s="225"/>
    </row>
    <row r="21" spans="1:17" x14ac:dyDescent="0.25">
      <c r="A21" s="328" t="s">
        <v>5</v>
      </c>
      <c r="B21" s="492">
        <f>SUM(B18:B20)</f>
        <v>305.52</v>
      </c>
      <c r="C21" s="492">
        <f t="shared" ref="C21:O21" si="4">SUM(C18:C20)</f>
        <v>211.52000000000004</v>
      </c>
      <c r="D21" s="492">
        <f t="shared" si="4"/>
        <v>117.65000000000005</v>
      </c>
      <c r="E21" s="492">
        <f t="shared" si="4"/>
        <v>47.650000000000077</v>
      </c>
      <c r="F21" s="492">
        <f t="shared" si="4"/>
        <v>3.4300000000000841</v>
      </c>
      <c r="G21" s="492">
        <f t="shared" si="4"/>
        <v>0</v>
      </c>
      <c r="H21" s="492">
        <f t="shared" si="4"/>
        <v>0</v>
      </c>
      <c r="I21" s="492">
        <f t="shared" si="4"/>
        <v>0</v>
      </c>
      <c r="J21" s="492">
        <f t="shared" si="4"/>
        <v>0</v>
      </c>
      <c r="K21" s="492">
        <f t="shared" si="4"/>
        <v>0</v>
      </c>
      <c r="L21" s="492">
        <f t="shared" si="4"/>
        <v>0</v>
      </c>
      <c r="M21" s="492">
        <f t="shared" si="4"/>
        <v>0</v>
      </c>
      <c r="N21" s="492">
        <f t="shared" si="4"/>
        <v>0</v>
      </c>
      <c r="O21" s="492">
        <f t="shared" si="4"/>
        <v>0</v>
      </c>
      <c r="Q21" s="225"/>
    </row>
    <row r="22" spans="1:17" x14ac:dyDescent="0.25"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87"/>
      <c r="N22" s="487"/>
      <c r="O22" s="487"/>
    </row>
    <row r="23" spans="1:17" x14ac:dyDescent="0.25">
      <c r="A23" s="474" t="s">
        <v>129</v>
      </c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87"/>
      <c r="N23" s="487"/>
      <c r="O23" s="487"/>
    </row>
    <row r="24" spans="1:17" x14ac:dyDescent="0.25">
      <c r="A24" s="216" t="s">
        <v>88</v>
      </c>
      <c r="B24" s="487">
        <v>0</v>
      </c>
      <c r="C24" s="487">
        <f>'BS(Proposed)'!C16</f>
        <v>500</v>
      </c>
      <c r="D24" s="487">
        <f>'BS(Proposed)'!D16</f>
        <v>1190</v>
      </c>
      <c r="E24" s="487">
        <f>'BS(Proposed)'!E16</f>
        <v>1148</v>
      </c>
      <c r="F24" s="487">
        <f>'BS(Proposed)'!F16</f>
        <v>1064</v>
      </c>
      <c r="G24" s="487">
        <f>'BS(Proposed)'!G16</f>
        <v>968</v>
      </c>
      <c r="H24" s="487">
        <f>'BS(Proposed)'!H16</f>
        <v>859.99999999999989</v>
      </c>
      <c r="I24" s="487">
        <f>'BS(Proposed)'!I16</f>
        <v>739.99999999999989</v>
      </c>
      <c r="J24" s="487">
        <f>'BS(Proposed)'!J16</f>
        <v>607.99999999999989</v>
      </c>
      <c r="K24" s="487">
        <f>'BS(Proposed)'!K16</f>
        <v>463.99999999999989</v>
      </c>
      <c r="L24" s="487">
        <f>'BS(Proposed)'!L16</f>
        <v>307.99999999999989</v>
      </c>
      <c r="M24" s="487">
        <f>'BS(Proposed)'!M16</f>
        <v>151.99999999999989</v>
      </c>
      <c r="N24" s="487">
        <f>'BS(Proposed)'!N16</f>
        <v>0</v>
      </c>
      <c r="O24" s="487">
        <f>'BS(Proposed)'!O16</f>
        <v>0</v>
      </c>
    </row>
    <row r="25" spans="1:17" x14ac:dyDescent="0.25">
      <c r="A25" s="216" t="s">
        <v>89</v>
      </c>
      <c r="B25" s="489">
        <v>0</v>
      </c>
      <c r="C25" s="489">
        <f>'BS(Proposed)'!C17</f>
        <v>100</v>
      </c>
      <c r="D25" s="489">
        <f>'BS(Proposed)'!D17</f>
        <v>1100</v>
      </c>
      <c r="E25" s="489">
        <f>'BS(Proposed)'!E17</f>
        <v>1580</v>
      </c>
      <c r="F25" s="489">
        <f>'BS(Proposed)'!F17</f>
        <v>1448</v>
      </c>
      <c r="G25" s="489">
        <f>'BS(Proposed)'!G17</f>
        <v>1304</v>
      </c>
      <c r="H25" s="489">
        <f>'BS(Proposed)'!H17</f>
        <v>1148</v>
      </c>
      <c r="I25" s="489">
        <f>'BS(Proposed)'!I17</f>
        <v>980</v>
      </c>
      <c r="J25" s="489">
        <f>'BS(Proposed)'!J17</f>
        <v>799.99999999999989</v>
      </c>
      <c r="K25" s="489">
        <f>'BS(Proposed)'!K17</f>
        <v>607.99999999999989</v>
      </c>
      <c r="L25" s="489">
        <f>'BS(Proposed)'!L17</f>
        <v>403.99999999999989</v>
      </c>
      <c r="M25" s="489">
        <f>'BS(Proposed)'!M17</f>
        <v>199.99999999999989</v>
      </c>
      <c r="N25" s="489">
        <f>'BS(Proposed)'!N17</f>
        <v>0</v>
      </c>
      <c r="O25" s="489">
        <f>'BS(Proposed)'!O17</f>
        <v>0</v>
      </c>
    </row>
    <row r="26" spans="1:17" x14ac:dyDescent="0.25">
      <c r="A26" s="328" t="s">
        <v>5</v>
      </c>
      <c r="B26" s="490">
        <f>B24+B25</f>
        <v>0</v>
      </c>
      <c r="C26" s="490">
        <f t="shared" ref="C26:O26" si="5">C24+C25</f>
        <v>600</v>
      </c>
      <c r="D26" s="490">
        <f t="shared" si="5"/>
        <v>2290</v>
      </c>
      <c r="E26" s="490">
        <f t="shared" si="5"/>
        <v>2728</v>
      </c>
      <c r="F26" s="490">
        <f t="shared" si="5"/>
        <v>2512</v>
      </c>
      <c r="G26" s="490">
        <f t="shared" si="5"/>
        <v>2272</v>
      </c>
      <c r="H26" s="490">
        <f t="shared" si="5"/>
        <v>2008</v>
      </c>
      <c r="I26" s="490">
        <f t="shared" si="5"/>
        <v>1720</v>
      </c>
      <c r="J26" s="490">
        <f t="shared" si="5"/>
        <v>1407.9999999999998</v>
      </c>
      <c r="K26" s="490">
        <f t="shared" si="5"/>
        <v>1071.9999999999998</v>
      </c>
      <c r="L26" s="490">
        <f t="shared" si="5"/>
        <v>711.99999999999977</v>
      </c>
      <c r="M26" s="490">
        <f t="shared" si="5"/>
        <v>351.99999999999977</v>
      </c>
      <c r="N26" s="490">
        <f t="shared" si="5"/>
        <v>0</v>
      </c>
      <c r="O26" s="490">
        <f t="shared" si="5"/>
        <v>0</v>
      </c>
    </row>
    <row r="27" spans="1:17" x14ac:dyDescent="0.25">
      <c r="A27" s="474" t="s">
        <v>121</v>
      </c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</row>
    <row r="28" spans="1:17" x14ac:dyDescent="0.25">
      <c r="A28" s="216" t="s">
        <v>16</v>
      </c>
      <c r="B28" s="487">
        <f>'BS Existing'!B22</f>
        <v>0</v>
      </c>
      <c r="C28" s="487">
        <f>'BS Existing'!C22</f>
        <v>240</v>
      </c>
      <c r="D28" s="487">
        <f>'BS Existing'!D22</f>
        <v>198</v>
      </c>
      <c r="E28" s="487">
        <f>'BS Existing'!E22</f>
        <v>363</v>
      </c>
      <c r="F28" s="487">
        <f>'BS Existing'!F22</f>
        <v>0</v>
      </c>
      <c r="G28" s="487">
        <f>'BS Existing'!G22</f>
        <v>0</v>
      </c>
      <c r="H28" s="487">
        <f>'BS Existing'!H22</f>
        <v>0</v>
      </c>
      <c r="I28" s="487">
        <f>'BS Existing'!I22</f>
        <v>0</v>
      </c>
      <c r="J28" s="487">
        <f>'BS Existing'!J22</f>
        <v>0</v>
      </c>
      <c r="K28" s="487">
        <f>'BS Existing'!K22</f>
        <v>0</v>
      </c>
      <c r="L28" s="487">
        <f>'BS Existing'!L22</f>
        <v>0</v>
      </c>
      <c r="M28" s="487">
        <f>'BS Existing'!M22</f>
        <v>0</v>
      </c>
      <c r="N28" s="487">
        <f>'BS Existing'!N22</f>
        <v>0</v>
      </c>
      <c r="O28" s="487">
        <f>'BS Existing'!O22</f>
        <v>0</v>
      </c>
    </row>
    <row r="29" spans="1:17" x14ac:dyDescent="0.25">
      <c r="A29" s="216" t="s">
        <v>17</v>
      </c>
      <c r="B29" s="489">
        <v>0</v>
      </c>
      <c r="C29" s="489">
        <f>'BS(Proposed)'!C20</f>
        <v>0</v>
      </c>
      <c r="D29" s="489">
        <f>'BS(Proposed)'!D20</f>
        <v>0</v>
      </c>
      <c r="E29" s="489">
        <f>'BS(Proposed)'!E20</f>
        <v>0</v>
      </c>
      <c r="F29" s="489">
        <f>'BS(Proposed)'!F20</f>
        <v>0</v>
      </c>
      <c r="G29" s="489">
        <f>'BS(Proposed)'!G20</f>
        <v>0</v>
      </c>
      <c r="H29" s="489">
        <f>'BS(Proposed)'!H20</f>
        <v>0</v>
      </c>
      <c r="I29" s="489">
        <f>'BS(Proposed)'!I20</f>
        <v>0</v>
      </c>
      <c r="J29" s="489">
        <f>'BS(Proposed)'!J20</f>
        <v>0</v>
      </c>
      <c r="K29" s="489">
        <f>'BS(Proposed)'!K20</f>
        <v>0</v>
      </c>
      <c r="L29" s="489">
        <f>'BS(Proposed)'!L20</f>
        <v>0</v>
      </c>
      <c r="M29" s="489">
        <f>'BS(Proposed)'!M20</f>
        <v>0</v>
      </c>
      <c r="N29" s="489">
        <f>'BS(Proposed)'!N20</f>
        <v>0</v>
      </c>
      <c r="O29" s="489">
        <f>'BS(Proposed)'!O20</f>
        <v>0</v>
      </c>
    </row>
    <row r="30" spans="1:17" x14ac:dyDescent="0.25">
      <c r="A30" s="328" t="s">
        <v>5</v>
      </c>
      <c r="B30" s="490">
        <f>B28+B29</f>
        <v>0</v>
      </c>
      <c r="C30" s="490">
        <f t="shared" ref="C30:O30" si="6">C28+C29</f>
        <v>240</v>
      </c>
      <c r="D30" s="490">
        <f t="shared" si="6"/>
        <v>198</v>
      </c>
      <c r="E30" s="490">
        <f t="shared" si="6"/>
        <v>363</v>
      </c>
      <c r="F30" s="490">
        <f t="shared" si="6"/>
        <v>0</v>
      </c>
      <c r="G30" s="490">
        <f t="shared" si="6"/>
        <v>0</v>
      </c>
      <c r="H30" s="490">
        <f t="shared" si="6"/>
        <v>0</v>
      </c>
      <c r="I30" s="490">
        <f t="shared" si="6"/>
        <v>0</v>
      </c>
      <c r="J30" s="490">
        <f t="shared" si="6"/>
        <v>0</v>
      </c>
      <c r="K30" s="490">
        <f t="shared" si="6"/>
        <v>0</v>
      </c>
      <c r="L30" s="490">
        <f t="shared" si="6"/>
        <v>0</v>
      </c>
      <c r="M30" s="490">
        <f t="shared" si="6"/>
        <v>0</v>
      </c>
      <c r="N30" s="490">
        <f t="shared" si="6"/>
        <v>0</v>
      </c>
      <c r="O30" s="490">
        <f t="shared" si="6"/>
        <v>0</v>
      </c>
    </row>
    <row r="31" spans="1:17" x14ac:dyDescent="0.25">
      <c r="A31" s="216" t="s">
        <v>908</v>
      </c>
      <c r="B31" s="487">
        <v>0</v>
      </c>
      <c r="C31" s="487">
        <v>0</v>
      </c>
      <c r="D31" s="487">
        <v>0</v>
      </c>
      <c r="E31" s="487">
        <v>0</v>
      </c>
      <c r="F31" s="487">
        <v>0</v>
      </c>
      <c r="G31" s="487">
        <v>0</v>
      </c>
      <c r="H31" s="487">
        <v>0</v>
      </c>
      <c r="I31" s="487">
        <v>0</v>
      </c>
      <c r="J31" s="487">
        <v>0</v>
      </c>
      <c r="K31" s="487">
        <v>0</v>
      </c>
      <c r="L31" s="487">
        <v>0</v>
      </c>
      <c r="M31" s="487">
        <v>0</v>
      </c>
      <c r="N31" s="487">
        <v>0</v>
      </c>
      <c r="O31" s="487">
        <v>0</v>
      </c>
    </row>
    <row r="32" spans="1:17" x14ac:dyDescent="0.25">
      <c r="A32" s="474" t="s">
        <v>99</v>
      </c>
      <c r="B32" s="488"/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</row>
    <row r="33" spans="1:15" x14ac:dyDescent="0.25">
      <c r="A33" s="216" t="s">
        <v>90</v>
      </c>
      <c r="B33" s="493">
        <f>'BS Existing'!B25</f>
        <v>486.49</v>
      </c>
      <c r="C33" s="493">
        <f>'BS Existing'!C25+'BS(Proposed)'!C23</f>
        <v>800</v>
      </c>
      <c r="D33" s="493">
        <f>'BS Existing'!D25+'BS(Proposed)'!D23</f>
        <v>800</v>
      </c>
      <c r="E33" s="493">
        <f>'BS Existing'!E25+'BS(Proposed)'!E23</f>
        <v>1200</v>
      </c>
      <c r="F33" s="493">
        <f>'BS Existing'!F25+'BS(Proposed)'!F23</f>
        <v>1200</v>
      </c>
      <c r="G33" s="493">
        <f>'BS Existing'!G25+'BS(Proposed)'!G23</f>
        <v>1200</v>
      </c>
      <c r="H33" s="493">
        <f>'BS Existing'!H25+'BS(Proposed)'!H23</f>
        <v>1200</v>
      </c>
      <c r="I33" s="493">
        <f>'BS Existing'!I25+'BS(Proposed)'!I23</f>
        <v>1200</v>
      </c>
      <c r="J33" s="493">
        <f>'BS Existing'!J25+'BS(Proposed)'!J23</f>
        <v>1200</v>
      </c>
      <c r="K33" s="493">
        <f>'BS Existing'!K25+'BS(Proposed)'!K23</f>
        <v>1200</v>
      </c>
      <c r="L33" s="493">
        <f>'BS Existing'!L25+'BS(Proposed)'!L23</f>
        <v>1200</v>
      </c>
      <c r="M33" s="493">
        <f>'BS Existing'!M25+'BS(Proposed)'!M23</f>
        <v>1200</v>
      </c>
      <c r="N33" s="493">
        <f>'BS Existing'!N25+'BS(Proposed)'!N23</f>
        <v>1200</v>
      </c>
      <c r="O33" s="493">
        <f>'BS Existing'!O25+'BS(Proposed)'!O23</f>
        <v>1200</v>
      </c>
    </row>
    <row r="34" spans="1:15" x14ac:dyDescent="0.25">
      <c r="A34" s="216" t="s">
        <v>100</v>
      </c>
      <c r="B34" s="493">
        <f>'BS Existing'!B26</f>
        <v>1405.53</v>
      </c>
      <c r="C34" s="493">
        <f>'BS Existing'!C26+'BS(Proposed)'!C24</f>
        <v>1200</v>
      </c>
      <c r="D34" s="493">
        <f>'BS Existing'!D26+'BS(Proposed)'!D24</f>
        <v>1320.0000000000002</v>
      </c>
      <c r="E34" s="493">
        <f>'BS Existing'!E26+'BS(Proposed)'!E24</f>
        <v>1498.7069025937503</v>
      </c>
      <c r="F34" s="493">
        <f>'BS Existing'!F26+'BS(Proposed)'!F24</f>
        <v>2545.3852406250007</v>
      </c>
      <c r="G34" s="493">
        <f>'BS Existing'!G26+'BS(Proposed)'!G24</f>
        <v>2810.4591562500009</v>
      </c>
      <c r="H34" s="493">
        <f>'BS Existing'!H26+'BS(Proposed)'!H24</f>
        <v>2859.5916318750005</v>
      </c>
      <c r="I34" s="493">
        <f>'BS Existing'!I26+'BS(Proposed)'!I24</f>
        <v>3049.9804755000014</v>
      </c>
      <c r="J34" s="493">
        <f>'BS Existing'!J26+'BS(Proposed)'!J24</f>
        <v>3240.3693191250013</v>
      </c>
      <c r="K34" s="493">
        <f>'BS Existing'!K26+'BS(Proposed)'!K24</f>
        <v>3429.9078134700021</v>
      </c>
      <c r="L34" s="493">
        <f>'BS Existing'!L26+'BS(Proposed)'!L24</f>
        <v>3617.5755393990021</v>
      </c>
      <c r="M34" s="493">
        <f>'BS Existing'!M26+'BS(Proposed)'!M24</f>
        <v>3667.3034854416023</v>
      </c>
      <c r="N34" s="493">
        <f>'BS Existing'!N26+'BS(Proposed)'!N24</f>
        <v>3838.9288706674824</v>
      </c>
      <c r="O34" s="493">
        <f>'BS Existing'!O26+'BS(Proposed)'!O24</f>
        <v>4004.3292739891231</v>
      </c>
    </row>
    <row r="35" spans="1:15" x14ac:dyDescent="0.25">
      <c r="A35" s="216" t="s">
        <v>101</v>
      </c>
      <c r="B35" s="493">
        <f>'BS Existing'!B27</f>
        <v>214.39000000000001</v>
      </c>
      <c r="C35" s="493">
        <f>'BS Existing'!C27+'BS(Proposed)'!C25</f>
        <v>89.15</v>
      </c>
      <c r="D35" s="493">
        <f>'BS Existing'!D27+'BS(Proposed)'!D25</f>
        <v>72.349999999999994</v>
      </c>
      <c r="E35" s="493">
        <f>'BS Existing'!E27+'BS(Proposed)'!E25</f>
        <v>103.87</v>
      </c>
      <c r="F35" s="493">
        <f>'BS Existing'!F27+'BS(Proposed)'!F25</f>
        <v>123.07999999999998</v>
      </c>
      <c r="G35" s="493">
        <f>'BS Existing'!G27+'BS(Proposed)'!G25</f>
        <v>63.55</v>
      </c>
      <c r="H35" s="493">
        <f>'BS Existing'!H27+'BS(Proposed)'!H25-0.01</f>
        <v>131.63</v>
      </c>
      <c r="I35" s="493">
        <f>'BS Existing'!I27+'BS(Proposed)'!I25-0.01</f>
        <v>116.33999999999999</v>
      </c>
      <c r="J35" s="493">
        <f>'BS Existing'!J27+'BS(Proposed)'!J25</f>
        <v>99.53</v>
      </c>
      <c r="K35" s="493">
        <f>'BS Existing'!K27+'BS(Proposed)'!K25</f>
        <v>190.69</v>
      </c>
      <c r="L35" s="493">
        <f>'BS Existing'!L27+'BS(Proposed)'!L25+0.01</f>
        <v>100.31</v>
      </c>
      <c r="M35" s="493">
        <f>'BS Existing'!M27+'BS(Proposed)'!M25</f>
        <v>152.81227380300007</v>
      </c>
      <c r="N35" s="493">
        <f>'BS Existing'!N27+'BS(Proposed)'!N25</f>
        <v>160.59350118330008</v>
      </c>
      <c r="O35" s="493">
        <f>'BS Existing'!O27+'BS(Proposed)'!O25</f>
        <v>269.15285130163011</v>
      </c>
    </row>
    <row r="36" spans="1:15" x14ac:dyDescent="0.25">
      <c r="A36" s="355" t="s">
        <v>638</v>
      </c>
      <c r="B36" s="493">
        <f>'BS Existing'!B28</f>
        <v>94</v>
      </c>
      <c r="C36" s="487">
        <f>'BS Existing'!C28+'BS(Proposed)'!D26</f>
        <v>94</v>
      </c>
      <c r="D36" s="487">
        <f>'BS Existing'!D28+'BS(Proposed)'!D26</f>
        <v>93.87</v>
      </c>
      <c r="E36" s="487">
        <f>'BS Existing'!E28+'BS(Proposed)'!E26</f>
        <v>182</v>
      </c>
      <c r="F36" s="487">
        <f>'BS Existing'!F28+'BS(Proposed)'!F26</f>
        <v>260.22000000000003</v>
      </c>
      <c r="G36" s="487">
        <f>'BS Existing'!G28+'BS(Proposed)'!G26</f>
        <v>243.43</v>
      </c>
      <c r="H36" s="487">
        <f>'BS Existing'!H28+'BS(Proposed)'!H26</f>
        <v>264</v>
      </c>
      <c r="I36" s="487">
        <f>'BS Existing'!I28+'BS(Proposed)'!I26</f>
        <v>288</v>
      </c>
      <c r="J36" s="487">
        <f>'BS Existing'!J28+'BS(Proposed)'!J26</f>
        <v>312</v>
      </c>
      <c r="K36" s="487">
        <f>'BS Existing'!K28+'BS(Proposed)'!K26</f>
        <v>336</v>
      </c>
      <c r="L36" s="487">
        <f>'BS Existing'!L28+'BS(Proposed)'!L26</f>
        <v>360</v>
      </c>
      <c r="M36" s="487">
        <f>'BS Existing'!M28+'BS(Proposed)'!M26</f>
        <v>360</v>
      </c>
      <c r="N36" s="487">
        <f>'BS Existing'!N28+'BS(Proposed)'!N26</f>
        <v>352</v>
      </c>
      <c r="O36" s="487">
        <f>'BS Existing'!O28+'BS(Proposed)'!O26</f>
        <v>0</v>
      </c>
    </row>
    <row r="37" spans="1:15" x14ac:dyDescent="0.25">
      <c r="A37" s="328" t="s">
        <v>157</v>
      </c>
      <c r="B37" s="492">
        <f>SUM(B33:B36)</f>
        <v>2200.41</v>
      </c>
      <c r="C37" s="492">
        <f t="shared" ref="C37:O37" si="7">SUM(C33:C36)</f>
        <v>2183.15</v>
      </c>
      <c r="D37" s="492">
        <f t="shared" si="7"/>
        <v>2286.2199999999998</v>
      </c>
      <c r="E37" s="492">
        <f t="shared" si="7"/>
        <v>2984.5769025937502</v>
      </c>
      <c r="F37" s="492">
        <f t="shared" si="7"/>
        <v>4128.6852406250009</v>
      </c>
      <c r="G37" s="492">
        <f t="shared" si="7"/>
        <v>4317.4391562500014</v>
      </c>
      <c r="H37" s="492">
        <f t="shared" si="7"/>
        <v>4455.2216318750006</v>
      </c>
      <c r="I37" s="492">
        <f t="shared" si="7"/>
        <v>4654.3204755000015</v>
      </c>
      <c r="J37" s="492">
        <f t="shared" si="7"/>
        <v>4851.8993191250011</v>
      </c>
      <c r="K37" s="492">
        <f t="shared" si="7"/>
        <v>5156.5978134700017</v>
      </c>
      <c r="L37" s="492">
        <f t="shared" si="7"/>
        <v>5277.8855393990025</v>
      </c>
      <c r="M37" s="492">
        <f t="shared" si="7"/>
        <v>5380.1157592446016</v>
      </c>
      <c r="N37" s="492">
        <f t="shared" si="7"/>
        <v>5551.5223718507823</v>
      </c>
      <c r="O37" s="492">
        <f t="shared" si="7"/>
        <v>5473.4821252907532</v>
      </c>
    </row>
    <row r="38" spans="1:15" x14ac:dyDescent="0.25">
      <c r="B38" s="487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  <c r="O38" s="487"/>
    </row>
    <row r="39" spans="1:15" ht="15.75" thickBot="1" x14ac:dyDescent="0.3">
      <c r="B39" s="494">
        <f>B14+B15+B21+B26+B30+B31+B37</f>
        <v>3362.5300000000011</v>
      </c>
      <c r="C39" s="494">
        <f t="shared" ref="C39:O39" ca="1" si="8">C14+C15+C21+C26+C30+C31+C37</f>
        <v>4640.7194179624512</v>
      </c>
      <c r="D39" s="494">
        <f t="shared" ca="1" si="8"/>
        <v>7196.2933834608812</v>
      </c>
      <c r="E39" s="494">
        <f t="shared" ca="1" si="8"/>
        <v>8764.8658435868147</v>
      </c>
      <c r="F39" s="494">
        <f t="shared" ca="1" si="8"/>
        <v>10584.30056905426</v>
      </c>
      <c r="G39" s="494">
        <f t="shared" ca="1" si="8"/>
        <v>10720.748581157608</v>
      </c>
      <c r="H39" s="494">
        <f t="shared" ca="1" si="8"/>
        <v>11011.872512464797</v>
      </c>
      <c r="I39" s="494">
        <f t="shared" ca="1" si="8"/>
        <v>11472.345011584119</v>
      </c>
      <c r="J39" s="494">
        <f t="shared" ca="1" si="8"/>
        <v>11753.382524614639</v>
      </c>
      <c r="K39" s="494">
        <f t="shared" ca="1" si="8"/>
        <v>12480.160214379859</v>
      </c>
      <c r="L39" s="494">
        <f t="shared" ca="1" si="8"/>
        <v>12718.812886548867</v>
      </c>
      <c r="M39" s="494">
        <f t="shared" ca="1" si="8"/>
        <v>13362.0072462309</v>
      </c>
      <c r="N39" s="494">
        <f t="shared" ca="1" si="8"/>
        <v>14075.117691003574</v>
      </c>
      <c r="O39" s="494">
        <f t="shared" ca="1" si="8"/>
        <v>14848.099559079757</v>
      </c>
    </row>
    <row r="40" spans="1:15" ht="15.75" thickTop="1" x14ac:dyDescent="0.25">
      <c r="B40" s="487">
        <f>'BS Existing'!B31</f>
        <v>3362.5300000000011</v>
      </c>
      <c r="C40" s="487">
        <f ca="1">'BS Existing'!C31+'BS(Proposed)'!C29</f>
        <v>4640.7194179624521</v>
      </c>
      <c r="D40" s="487">
        <f ca="1">'BS Existing'!D31+'BS(Proposed)'!D29</f>
        <v>7196.2933834608812</v>
      </c>
      <c r="E40" s="487">
        <f ca="1">'BS Existing'!E31+'BS(Proposed)'!E29</f>
        <v>8764.8658435868147</v>
      </c>
      <c r="F40" s="487">
        <f ca="1">'BS Existing'!F31+'BS(Proposed)'!F29</f>
        <v>10584.30056905426</v>
      </c>
      <c r="G40" s="487">
        <f ca="1">'BS Existing'!G31+'BS(Proposed)'!G29</f>
        <v>10720.748581157608</v>
      </c>
      <c r="H40" s="487">
        <f ca="1">'BS Existing'!H31+'BS(Proposed)'!H29</f>
        <v>11011.882512464796</v>
      </c>
      <c r="I40" s="487">
        <f ca="1">'BS Existing'!I31+'BS(Proposed)'!I29</f>
        <v>11472.355011584117</v>
      </c>
      <c r="J40" s="487">
        <f ca="1">'BS Existing'!J31+'BS(Proposed)'!J29</f>
        <v>11753.382524614641</v>
      </c>
      <c r="K40" s="487">
        <f ca="1">'BS Existing'!K31+'BS(Proposed)'!K29</f>
        <v>12480.160214379859</v>
      </c>
      <c r="L40" s="487">
        <f ca="1">'BS Existing'!L31+'BS(Proposed)'!L29</f>
        <v>12718.802886548867</v>
      </c>
      <c r="M40" s="487">
        <f ca="1">'BS Existing'!M31+'BS(Proposed)'!M29</f>
        <v>13362.0072462309</v>
      </c>
      <c r="N40" s="487">
        <f ca="1">'BS Existing'!N31+'BS(Proposed)'!N29</f>
        <v>14075.117691003574</v>
      </c>
      <c r="O40" s="487">
        <f ca="1">'BS Existing'!O31+'BS(Proposed)'!O29</f>
        <v>14848.099559079756</v>
      </c>
    </row>
    <row r="41" spans="1:15" x14ac:dyDescent="0.25">
      <c r="A41" s="474" t="s">
        <v>96</v>
      </c>
      <c r="B41" s="487">
        <f ca="1">'Dep(Existing)'!D18</f>
        <v>965.00150197628454</v>
      </c>
      <c r="C41" s="487">
        <f ca="1">'Dep(Existing)'!E18+'Dep(Proposed)'!C17</f>
        <v>1662.3006161633521</v>
      </c>
      <c r="D41" s="487">
        <f ca="1">'Dep(Existing)'!F18+'Dep(Proposed)'!D17</f>
        <v>4025.7137426017844</v>
      </c>
      <c r="E41" s="487">
        <f ca="1">'Dep(Existing)'!G18+'Dep(Proposed)'!E17</f>
        <v>4667.4807912574415</v>
      </c>
      <c r="F41" s="487">
        <f ca="1">'Dep(Existing)'!H18+'Dep(Proposed)'!F17</f>
        <v>4106.4355808616274</v>
      </c>
      <c r="G41" s="487">
        <f ca="1">'Dep(Existing)'!I18+'Dep(Proposed)'!G17</f>
        <v>3618.6704888611425</v>
      </c>
      <c r="H41" s="487">
        <f ca="1">'Dep(Existing)'!J18+'Dep(Proposed)'!H17</f>
        <v>3194.2815404919756</v>
      </c>
      <c r="I41" s="487">
        <f ca="1">'Dep(Existing)'!K18+'Dep(Proposed)'!I17</f>
        <v>2824.7408632727261</v>
      </c>
      <c r="J41" s="487">
        <f ca="1">'Dep(Existing)'!L18+'Dep(Proposed)'!J17</f>
        <v>2502.7013692347814</v>
      </c>
      <c r="K41" s="487">
        <f ca="1">'Dep(Existing)'!M18+'Dep(Proposed)'!K17</f>
        <v>2221.8296004395811</v>
      </c>
      <c r="L41" s="487">
        <f ca="1">'Dep(Existing)'!N18+'Dep(Proposed)'!L17</f>
        <v>1976.6626304203992</v>
      </c>
      <c r="M41" s="487">
        <f ca="1">'Dep(Existing)'!O18+'Dep(Proposed)'!M17</f>
        <v>1762.4855180520417</v>
      </c>
      <c r="N41" s="487">
        <f ca="1">'Dep(Existing)'!P18+'Dep(Proposed)'!N17</f>
        <v>1575.2263249342188</v>
      </c>
      <c r="O41" s="487">
        <f ca="1">'Dep(Existing)'!Q18+'Dep(Proposed)'!O17</f>
        <v>1411.3661459263105</v>
      </c>
    </row>
    <row r="42" spans="1:15" x14ac:dyDescent="0.25">
      <c r="B42" s="487"/>
      <c r="C42" s="488"/>
      <c r="D42" s="488"/>
      <c r="E42" s="488"/>
      <c r="F42" s="488"/>
      <c r="G42" s="488"/>
      <c r="H42" s="488"/>
      <c r="I42" s="488"/>
      <c r="J42" s="488"/>
      <c r="K42" s="488"/>
      <c r="L42" s="488"/>
      <c r="M42" s="488"/>
      <c r="N42" s="488"/>
      <c r="O42" s="488"/>
    </row>
    <row r="43" spans="1:15" x14ac:dyDescent="0.25">
      <c r="A43" s="474" t="s">
        <v>105</v>
      </c>
      <c r="B43" s="488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487"/>
      <c r="N43" s="487"/>
      <c r="O43" s="487"/>
    </row>
    <row r="44" spans="1:15" x14ac:dyDescent="0.25">
      <c r="A44" s="216" t="s">
        <v>106</v>
      </c>
      <c r="B44" s="487">
        <f>'BS Existing'!B36</f>
        <v>26.85</v>
      </c>
      <c r="C44" s="487">
        <f>'BS Existing'!C36+'BS(Proposed)'!C34</f>
        <v>28.74</v>
      </c>
      <c r="D44" s="487">
        <f>'BS Existing'!D36+'BS(Proposed)'!D34</f>
        <v>28.74</v>
      </c>
      <c r="E44" s="487">
        <f>'BS Existing'!E36+'BS(Proposed)'!E34</f>
        <v>53.739999999999995</v>
      </c>
      <c r="F44" s="487">
        <f>'BS Existing'!F36+'BS(Proposed)'!F34</f>
        <v>53.739999999999995</v>
      </c>
      <c r="G44" s="487">
        <f>'BS Existing'!G36+'BS(Proposed)'!G34</f>
        <v>53.739999999999995</v>
      </c>
      <c r="H44" s="487">
        <f>'BS Existing'!H36+'BS(Proposed)'!H34</f>
        <v>53.739999999999995</v>
      </c>
      <c r="I44" s="487">
        <f>'BS Existing'!I36+'BS(Proposed)'!I34</f>
        <v>53.739999999999995</v>
      </c>
      <c r="J44" s="487">
        <f>'BS Existing'!J36+'BS(Proposed)'!J34</f>
        <v>53.739999999999995</v>
      </c>
      <c r="K44" s="487">
        <f>'BS Existing'!K36+'BS(Proposed)'!K34</f>
        <v>53.739999999999995</v>
      </c>
      <c r="L44" s="487">
        <f>'BS Existing'!L36+'BS(Proposed)'!L34</f>
        <v>53.739999999999995</v>
      </c>
      <c r="M44" s="487">
        <f>'BS Existing'!M36+'BS(Proposed)'!M34</f>
        <v>53.739999999999995</v>
      </c>
      <c r="N44" s="487">
        <f>'BS Existing'!N36+'BS(Proposed)'!N34</f>
        <v>53.739999999999995</v>
      </c>
      <c r="O44" s="487">
        <f>'BS Existing'!O36+'BS(Proposed)'!O34</f>
        <v>53.739999999999995</v>
      </c>
    </row>
    <row r="45" spans="1:15" x14ac:dyDescent="0.25">
      <c r="A45" s="216" t="s">
        <v>107</v>
      </c>
      <c r="B45" s="487">
        <f>'BS Existing'!B37</f>
        <v>0</v>
      </c>
      <c r="C45" s="489">
        <f>'BS Existing'!C37+'BS(Proposed)'!C35</f>
        <v>36.4</v>
      </c>
      <c r="D45" s="489">
        <f>'BS Existing'!D37+'BS(Proposed)'!D35</f>
        <v>40.04</v>
      </c>
      <c r="E45" s="489">
        <f>'BS Existing'!E37+'BS(Proposed)'!E35</f>
        <v>45</v>
      </c>
      <c r="F45" s="489">
        <f>'BS Existing'!F37+'BS(Proposed)'!F35</f>
        <v>50</v>
      </c>
      <c r="G45" s="489">
        <f>'BS Existing'!G37+'BS(Proposed)'!G35</f>
        <v>125</v>
      </c>
      <c r="H45" s="489">
        <f>'BS Existing'!H37+'BS(Proposed)'!H35</f>
        <v>150</v>
      </c>
      <c r="I45" s="489">
        <f>'BS Existing'!I37+'BS(Proposed)'!I35</f>
        <v>225</v>
      </c>
      <c r="J45" s="489">
        <f>'BS Existing'!J37+'BS(Proposed)'!J35</f>
        <v>225</v>
      </c>
      <c r="K45" s="489">
        <f>'BS Existing'!K37+'BS(Proposed)'!K35</f>
        <v>275</v>
      </c>
      <c r="L45" s="489">
        <f>'BS Existing'!L37+'BS(Proposed)'!L35</f>
        <v>275</v>
      </c>
      <c r="M45" s="489">
        <f>'BS Existing'!M37+'BS(Proposed)'!M35</f>
        <v>325</v>
      </c>
      <c r="N45" s="489">
        <f>'BS Existing'!N37+'BS(Proposed)'!N35</f>
        <v>375</v>
      </c>
      <c r="O45" s="489">
        <f>'BS Existing'!O37+'BS(Proposed)'!O35</f>
        <v>475</v>
      </c>
    </row>
    <row r="46" spans="1:15" x14ac:dyDescent="0.25">
      <c r="A46" s="328" t="s">
        <v>629</v>
      </c>
      <c r="B46" s="490">
        <f>SUM(B44:B45)</f>
        <v>26.85</v>
      </c>
      <c r="C46" s="490">
        <f t="shared" ref="C46:O46" si="9">SUM(C44:C45)</f>
        <v>65.14</v>
      </c>
      <c r="D46" s="490">
        <f t="shared" si="9"/>
        <v>68.78</v>
      </c>
      <c r="E46" s="490">
        <f t="shared" si="9"/>
        <v>98.74</v>
      </c>
      <c r="F46" s="490">
        <f t="shared" si="9"/>
        <v>103.74</v>
      </c>
      <c r="G46" s="490">
        <f t="shared" si="9"/>
        <v>178.74</v>
      </c>
      <c r="H46" s="490">
        <f t="shared" si="9"/>
        <v>203.74</v>
      </c>
      <c r="I46" s="490">
        <f t="shared" si="9"/>
        <v>278.74</v>
      </c>
      <c r="J46" s="490">
        <f t="shared" si="9"/>
        <v>278.74</v>
      </c>
      <c r="K46" s="490">
        <f t="shared" si="9"/>
        <v>328.74</v>
      </c>
      <c r="L46" s="490">
        <f t="shared" si="9"/>
        <v>328.74</v>
      </c>
      <c r="M46" s="490">
        <f t="shared" si="9"/>
        <v>378.74</v>
      </c>
      <c r="N46" s="490">
        <f t="shared" si="9"/>
        <v>428.74</v>
      </c>
      <c r="O46" s="490">
        <f t="shared" si="9"/>
        <v>528.74</v>
      </c>
    </row>
    <row r="47" spans="1:15" x14ac:dyDescent="0.25">
      <c r="A47" s="474" t="s">
        <v>102</v>
      </c>
      <c r="B47" s="488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N47" s="487"/>
      <c r="O47" s="487"/>
    </row>
    <row r="48" spans="1:15" x14ac:dyDescent="0.25">
      <c r="A48" s="216" t="s">
        <v>2</v>
      </c>
      <c r="B48" s="487">
        <f>'BS Existing'!B40</f>
        <v>1742</v>
      </c>
      <c r="C48" s="487">
        <f>'BS Existing'!C40+'BS(Proposed)'!C38</f>
        <v>2040.0000000000002</v>
      </c>
      <c r="D48" s="487">
        <f>'BS Existing'!D40+'BS(Proposed)'!D38</f>
        <v>2178.0000000000005</v>
      </c>
      <c r="E48" s="487">
        <f>'BS Existing'!E40+'BS(Proposed)'!E38</f>
        <v>2682.6539156250005</v>
      </c>
      <c r="F48" s="487">
        <f>'BS Existing'!F40+'BS(Proposed)'!F38</f>
        <v>3750.3503437500003</v>
      </c>
      <c r="G48" s="487">
        <f>'BS Existing'!G40+'BS(Proposed)'!G38</f>
        <v>3959.8292250000013</v>
      </c>
      <c r="H48" s="487">
        <f>'BS Existing'!H40+'BS(Proposed)'!H38</f>
        <v>4223.3672250000018</v>
      </c>
      <c r="I48" s="487">
        <f>'BS Existing'!I40+'BS(Proposed)'!I38</f>
        <v>4633.6635000000015</v>
      </c>
      <c r="J48" s="487">
        <f>'BS Existing'!J40+'BS(Proposed)'!J38</f>
        <v>5072.9489550000017</v>
      </c>
      <c r="K48" s="487">
        <f>'BS Existing'!K40+'BS(Proposed)'!K38</f>
        <v>5544.1225080000031</v>
      </c>
      <c r="L48" s="487">
        <f>'BS Existing'!L40+'BS(Proposed)'!L38</f>
        <v>6230.9796813000039</v>
      </c>
      <c r="M48" s="487">
        <f>'BS Existing'!M40+'BS(Proposed)'!M38</f>
        <v>6787.8551881800049</v>
      </c>
      <c r="N48" s="487">
        <f>'BS Existing'!N40+'BS(Proposed)'!N38</f>
        <v>7489.5175572480048</v>
      </c>
      <c r="O48" s="487">
        <f>'BS Existing'!O40+'BS(Proposed)'!O38</f>
        <v>8033.1796830978064</v>
      </c>
    </row>
    <row r="49" spans="1:16" x14ac:dyDescent="0.25">
      <c r="A49" s="216" t="s">
        <v>103</v>
      </c>
      <c r="B49" s="487">
        <f>'BS Existing'!B41</f>
        <v>516.66</v>
      </c>
      <c r="C49" s="487">
        <f>'P&amp;L Existing'!D24+'P&amp;L Existing'!D25+'P&amp;L Existing'!D26+'P&amp;L Existing'!D27+'P&amp;L(Proposed)'!E25+'P&amp;L(Proposed)'!E26+'P&amp;L(Proposed)'!E27+'P&amp;L(Proposed)'!E28</f>
        <v>700</v>
      </c>
      <c r="D49" s="487">
        <f>'P&amp;L Existing'!E24+'P&amp;L Existing'!E25+'P&amp;L Existing'!E26+'P&amp;L Existing'!E27+'P&amp;L(Proposed)'!F25+'P&amp;L(Proposed)'!F26+'P&amp;L(Proposed)'!F27+'P&amp;L(Proposed)'!F28</f>
        <v>770</v>
      </c>
      <c r="E49" s="487">
        <f>'P&amp;L Existing'!F24+'P&amp;L Existing'!F25+'P&amp;L Existing'!F26+'P&amp;L Existing'!F27+'P&amp;L(Proposed)'!G25+'P&amp;L(Proposed)'!G26+'P&amp;L(Proposed)'!G27+'P&amp;L(Proposed)'!G28</f>
        <v>882.00000000000023</v>
      </c>
      <c r="F49" s="487">
        <f>'P&amp;L Existing'!G24+'P&amp;L Existing'!G25+'P&amp;L Existing'!G26+'P&amp;L Existing'!G27+'P&amp;L(Proposed)'!H25+'P&amp;L(Proposed)'!H26+'P&amp;L(Proposed)'!H27+'P&amp;L(Proposed)'!H28</f>
        <v>1690.2481925000002</v>
      </c>
      <c r="G49" s="487">
        <f>'P&amp;L Existing'!H24+'P&amp;L Existing'!H25+'P&amp;L Existing'!H26+'P&amp;L Existing'!H27+'P&amp;L(Proposed)'!I25+'P&amp;L(Proposed)'!I26+'P&amp;L(Proposed)'!I27+'P&amp;L(Proposed)'!I28</f>
        <v>2036.2675900000004</v>
      </c>
      <c r="H49" s="487">
        <f>'P&amp;L Existing'!I24+'P&amp;L Existing'!I25+'P&amp;L Existing'!I26+'P&amp;L Existing'!I27+'P&amp;L(Proposed)'!J25+'P&amp;L(Proposed)'!J26+'P&amp;L(Proposed)'!J27+'P&amp;L(Proposed)'!J28</f>
        <v>2332.6057947500008</v>
      </c>
      <c r="I49" s="487">
        <f>'P&amp;L Existing'!J24+'P&amp;L Existing'!J25+'P&amp;L Existing'!J26+'P&amp;L Existing'!J27+'P&amp;L(Proposed)'!K25+'P&amp;L(Proposed)'!K26+'P&amp;L(Proposed)'!K27+'P&amp;L(Proposed)'!K28</f>
        <v>2554.9095670000006</v>
      </c>
      <c r="J49" s="487">
        <f>'P&amp;L Existing'!K24+'P&amp;L Existing'!K25+'P&amp;L Existing'!K26+'P&amp;L Existing'!K27+'P&amp;L(Proposed)'!L25+'P&amp;L(Proposed)'!L26+'P&amp;L(Proposed)'!L27+'P&amp;L(Proposed)'!L28</f>
        <v>2569.3507647500014</v>
      </c>
      <c r="K49" s="487">
        <f>'P&amp;L Existing'!L24+'P&amp;L Existing'!L25+'P&amp;L Existing'!L26+'P&amp;L Existing'!L27+'P&amp;L(Proposed)'!M25+'P&amp;L(Proposed)'!M26+'P&amp;L(Proposed)'!M27+'P&amp;L(Proposed)'!M28</f>
        <v>2798.4724075000017</v>
      </c>
      <c r="L49" s="487">
        <f>'P&amp;L Existing'!M24+'P&amp;L Existing'!M25+'P&amp;L Existing'!M26+'P&amp;L Existing'!M27+'P&amp;L(Proposed)'!N25+'P&amp;L(Proposed)'!N26+'P&amp;L(Proposed)'!N27+'P&amp;L(Proposed)'!N28</f>
        <v>2788.3856724500015</v>
      </c>
      <c r="M49" s="487">
        <f>'P&amp;L Existing'!N24+'P&amp;L Existing'!N25+'P&amp;L Existing'!N26+'P&amp;L Existing'!N27+'P&amp;L(Proposed)'!O25+'P&amp;L(Proposed)'!O26+'P&amp;L(Proposed)'!O27+'P&amp;L(Proposed)'!O28</f>
        <v>3029.2968300700018</v>
      </c>
      <c r="N49" s="487">
        <f>'P&amp;L Existing'!O24+'P&amp;L Existing'!O25+'P&amp;L Existing'!O26+'P&amp;L Existing'!O27+'P&amp;L(Proposed)'!P25+'P&amp;L(Proposed)'!P26+'P&amp;L(Proposed)'!P27+'P&amp;L(Proposed)'!P28</f>
        <v>3286.713621527002</v>
      </c>
      <c r="O49" s="487">
        <f>'P&amp;L Existing'!P24+'P&amp;L Existing'!P25+'P&amp;L Existing'!P26+'P&amp;L Existing'!P27+'P&amp;L(Proposed)'!Q25+'P&amp;L(Proposed)'!Q26+'P&amp;L(Proposed)'!Q27+'P&amp;L(Proposed)'!Q28</f>
        <v>3562.2866102047033</v>
      </c>
    </row>
    <row r="50" spans="1:16" x14ac:dyDescent="0.25">
      <c r="A50" s="216" t="s">
        <v>104</v>
      </c>
      <c r="B50" s="487">
        <f>'BS Existing'!B42</f>
        <v>36.4</v>
      </c>
      <c r="C50" s="487">
        <f>'BS Existing'!C42+'BS(Proposed)'!C40</f>
        <v>35.49</v>
      </c>
      <c r="D50" s="487">
        <f>'BS Existing'!D42+'BS(Proposed)'!D40</f>
        <v>51.52</v>
      </c>
      <c r="E50" s="487">
        <f>'BS Existing'!E42+'BS(Proposed)'!E40</f>
        <v>151.50538352500001</v>
      </c>
      <c r="F50" s="487">
        <f>'BS Existing'!F42+'BS(Proposed)'!F40</f>
        <v>420.96548783349903</v>
      </c>
      <c r="G50" s="487">
        <f>'BS Existing'!G42+'BS(Proposed)'!G40</f>
        <v>258.492571712499</v>
      </c>
      <c r="H50" s="487">
        <f>'BS Existing'!H42+'BS(Proposed)'!H40</f>
        <v>314.34664827804801</v>
      </c>
      <c r="I50" s="487">
        <f>'BS Existing'!I42+'BS(Proposed)'!I40</f>
        <v>334.54366285486503</v>
      </c>
      <c r="J50" s="487">
        <f>'BS Existing'!J42+'BS(Proposed)'!J40</f>
        <v>417.063246226459</v>
      </c>
      <c r="K50" s="487">
        <f>'BS Existing'!K42+'BS(Proposed)'!K40</f>
        <v>497.09322924312403</v>
      </c>
      <c r="L50" s="487">
        <f>'BS Existing'!L42+'BS(Proposed)'!L40</f>
        <v>527.99370525236498</v>
      </c>
      <c r="M50" s="487">
        <f>'BS Existing'!M42+'BS(Proposed)'!M40</f>
        <v>598.51963060978301</v>
      </c>
      <c r="N50" s="487">
        <f>'BS Existing'!N42+'BS(Proposed)'!N40</f>
        <v>618.50445774951197</v>
      </c>
      <c r="O50" s="487">
        <f>'BS Existing'!O42+'BS(Proposed)'!O40</f>
        <v>663.08171634718099</v>
      </c>
    </row>
    <row r="51" spans="1:16" x14ac:dyDescent="0.25">
      <c r="A51" s="216" t="s">
        <v>108</v>
      </c>
      <c r="B51" s="487">
        <f>'BS Existing'!B43</f>
        <v>0</v>
      </c>
      <c r="C51" s="487">
        <f>'BS Existing'!C43+'BS(Proposed)'!C41</f>
        <v>35</v>
      </c>
      <c r="D51" s="487">
        <f>'BS Existing'!D43+'BS(Proposed)'!D41</f>
        <v>38</v>
      </c>
      <c r="E51" s="487">
        <f>'BS Existing'!E43+'BS(Proposed)'!E41</f>
        <v>186.32999999999998</v>
      </c>
      <c r="F51" s="487">
        <f>'BS Existing'!F43+'BS(Proposed)'!F41</f>
        <v>198.32999999999998</v>
      </c>
      <c r="G51" s="487">
        <f>'BS Existing'!G43+'BS(Proposed)'!G41</f>
        <v>189.07999999999998</v>
      </c>
      <c r="H51" s="487">
        <f>'BS Existing'!H43+'BS(Proposed)'!H41</f>
        <v>248.68</v>
      </c>
      <c r="I51" s="487">
        <f>'BS Existing'!I43+'BS(Proposed)'!I41</f>
        <v>384.66999999999996</v>
      </c>
      <c r="J51" s="487">
        <f>'BS Existing'!J43+'BS(Proposed)'!J41</f>
        <v>362.44</v>
      </c>
      <c r="K51" s="487">
        <f>'BS Existing'!K43+'BS(Proposed)'!K41</f>
        <v>393.67</v>
      </c>
      <c r="L51" s="487">
        <f>'BS Existing'!L43+'BS(Proposed)'!L41</f>
        <v>241.25</v>
      </c>
      <c r="M51" s="487">
        <f>'BS Existing'!M43+'BS(Proposed)'!M41</f>
        <v>263.99</v>
      </c>
      <c r="N51" s="487">
        <f>'BS Existing'!N43+'BS(Proposed)'!N41</f>
        <v>210.67000000000002</v>
      </c>
      <c r="O51" s="487">
        <f>'BS Existing'!O43+'BS(Proposed)'!O41</f>
        <v>235.97</v>
      </c>
    </row>
    <row r="52" spans="1:16" x14ac:dyDescent="0.25">
      <c r="A52" s="216" t="s">
        <v>1</v>
      </c>
      <c r="B52" s="487">
        <f>'BS Existing'!B44</f>
        <v>75.62</v>
      </c>
      <c r="C52" s="487">
        <f>'BS Existing'!C44+'BS(Proposed)'!C42</f>
        <v>102.79</v>
      </c>
      <c r="D52" s="487">
        <f>'BS Existing'!D44+'BS(Proposed)'!D42</f>
        <v>64.28</v>
      </c>
      <c r="E52" s="487">
        <f>'BS Existing'!E44+'BS(Proposed)'!E42</f>
        <v>96.16</v>
      </c>
      <c r="F52" s="487">
        <f>'BS Existing'!F44+'BS(Proposed)'!F42</f>
        <v>314.24</v>
      </c>
      <c r="G52" s="487">
        <f>'BS Existing'!G44+'BS(Proposed)'!G42</f>
        <v>479.67</v>
      </c>
      <c r="H52" s="487">
        <f>'BS Existing'!H44+'BS(Proposed)'!H42</f>
        <v>494.86</v>
      </c>
      <c r="I52" s="487">
        <f>'BS Existing'!I44+'BS(Proposed)'!I42</f>
        <v>461.09000000000003</v>
      </c>
      <c r="J52" s="487">
        <f>'BS Existing'!J44+'BS(Proposed)'!J42</f>
        <v>550.14</v>
      </c>
      <c r="K52" s="487">
        <f>'BS Existing'!K44+'BS(Proposed)'!K42</f>
        <v>696.23</v>
      </c>
      <c r="L52" s="487">
        <f>'BS Existing'!L44+'BS(Proposed)'!L42</f>
        <v>624.79</v>
      </c>
      <c r="M52" s="487">
        <f>'BS Existing'!M44+'BS(Proposed)'!M42</f>
        <v>541.12</v>
      </c>
      <c r="N52" s="487">
        <f>'BS Existing'!N44+'BS(Proposed)'!N42</f>
        <v>465.74</v>
      </c>
      <c r="O52" s="487">
        <f>'BS Existing'!O44+'BS(Proposed)'!O42</f>
        <v>413.47</v>
      </c>
    </row>
    <row r="53" spans="1:16" x14ac:dyDescent="0.25">
      <c r="A53" s="328" t="s">
        <v>630</v>
      </c>
      <c r="B53" s="492">
        <f>SUM(B48:B52)</f>
        <v>2370.6799999999998</v>
      </c>
      <c r="C53" s="492">
        <f t="shared" ref="C53:O53" si="10">SUM(C48:C52)</f>
        <v>2913.2799999999997</v>
      </c>
      <c r="D53" s="492">
        <f t="shared" si="10"/>
        <v>3101.8000000000006</v>
      </c>
      <c r="E53" s="492">
        <f t="shared" si="10"/>
        <v>3998.6492991500008</v>
      </c>
      <c r="F53" s="492">
        <f t="shared" si="10"/>
        <v>6374.1340240834988</v>
      </c>
      <c r="G53" s="492">
        <f t="shared" si="10"/>
        <v>6923.3393867125005</v>
      </c>
      <c r="H53" s="492">
        <f t="shared" si="10"/>
        <v>7613.8596680280507</v>
      </c>
      <c r="I53" s="492">
        <f t="shared" si="10"/>
        <v>8368.8767298548664</v>
      </c>
      <c r="J53" s="492">
        <f t="shared" si="10"/>
        <v>8971.942965976461</v>
      </c>
      <c r="K53" s="492">
        <f t="shared" si="10"/>
        <v>9929.5881447431293</v>
      </c>
      <c r="L53" s="492">
        <f t="shared" si="10"/>
        <v>10413.399059002371</v>
      </c>
      <c r="M53" s="492">
        <f t="shared" si="10"/>
        <v>11220.781648859789</v>
      </c>
      <c r="N53" s="492">
        <f t="shared" si="10"/>
        <v>12071.145636524519</v>
      </c>
      <c r="O53" s="492">
        <f t="shared" si="10"/>
        <v>12907.988009649689</v>
      </c>
    </row>
    <row r="54" spans="1:16" x14ac:dyDescent="0.25">
      <c r="B54" s="487"/>
      <c r="C54" s="487"/>
      <c r="D54" s="487"/>
      <c r="E54" s="487"/>
      <c r="F54" s="487"/>
      <c r="G54" s="487"/>
      <c r="H54" s="487"/>
      <c r="I54" s="487"/>
      <c r="J54" s="487"/>
      <c r="K54" s="487"/>
      <c r="L54" s="487"/>
      <c r="M54" s="487"/>
      <c r="N54" s="487"/>
      <c r="O54" s="487"/>
    </row>
    <row r="55" spans="1:16" ht="15.75" thickBot="1" x14ac:dyDescent="0.3">
      <c r="A55" s="328" t="s">
        <v>831</v>
      </c>
      <c r="B55" s="494">
        <f ca="1">B41+B46+B53</f>
        <v>3362.5315019762843</v>
      </c>
      <c r="C55" s="494">
        <f t="shared" ref="C55:O55" ca="1" si="11">C41+C46+C53</f>
        <v>4640.7206161633521</v>
      </c>
      <c r="D55" s="494">
        <f t="shared" ca="1" si="11"/>
        <v>7196.2937426017852</v>
      </c>
      <c r="E55" s="494">
        <f t="shared" ca="1" si="11"/>
        <v>8764.8700904074431</v>
      </c>
      <c r="F55" s="494">
        <f t="shared" ca="1" si="11"/>
        <v>10584.309604945127</v>
      </c>
      <c r="G55" s="494">
        <f t="shared" ca="1" si="11"/>
        <v>10720.749875573643</v>
      </c>
      <c r="H55" s="494">
        <f t="shared" ca="1" si="11"/>
        <v>11011.881208520026</v>
      </c>
      <c r="I55" s="494">
        <f t="shared" ca="1" si="11"/>
        <v>11472.357593127592</v>
      </c>
      <c r="J55" s="494">
        <f t="shared" ca="1" si="11"/>
        <v>11753.384335211242</v>
      </c>
      <c r="K55" s="494">
        <f t="shared" ca="1" si="11"/>
        <v>12480.157745182711</v>
      </c>
      <c r="L55" s="494">
        <f t="shared" ca="1" si="11"/>
        <v>12718.801689422769</v>
      </c>
      <c r="M55" s="494">
        <f t="shared" ca="1" si="11"/>
        <v>13362.00716691183</v>
      </c>
      <c r="N55" s="494">
        <f t="shared" ca="1" si="11"/>
        <v>14075.111961458739</v>
      </c>
      <c r="O55" s="494">
        <f t="shared" ca="1" si="11"/>
        <v>14848.094155576</v>
      </c>
    </row>
    <row r="56" spans="1:16" ht="15.75" thickTop="1" x14ac:dyDescent="0.25"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</row>
    <row r="57" spans="1:16" x14ac:dyDescent="0.25">
      <c r="B57" s="227">
        <f t="shared" ref="B57" ca="1" si="12">B39-B55</f>
        <v>-1.5019762831798289E-3</v>
      </c>
      <c r="C57" s="227">
        <f ca="1">C55-C39</f>
        <v>1.1982009009443573E-3</v>
      </c>
      <c r="D57" s="227">
        <f t="shared" ref="D57:O57" ca="1" si="13">D55-D39</f>
        <v>3.5914090403821319E-4</v>
      </c>
      <c r="E57" s="227">
        <f t="shared" ca="1" si="13"/>
        <v>4.2468206283956533E-3</v>
      </c>
      <c r="F57" s="227">
        <f t="shared" ca="1" si="13"/>
        <v>9.0358908673806582E-3</v>
      </c>
      <c r="G57" s="227">
        <f ca="1">G55-G39-0.01</f>
        <v>-8.7055839646927782E-3</v>
      </c>
      <c r="H57" s="227">
        <f ca="1">H55-H39-0.01</f>
        <v>-1.3039447710616516E-3</v>
      </c>
      <c r="I57" s="227">
        <f ca="1">I55-I39-0.01</f>
        <v>2.5815434730611739E-3</v>
      </c>
      <c r="J57" s="227">
        <f t="shared" ca="1" si="13"/>
        <v>1.8105966028088005E-3</v>
      </c>
      <c r="K57" s="227">
        <f t="shared" ca="1" si="13"/>
        <v>-2.4691971484571695E-3</v>
      </c>
      <c r="L57" s="227">
        <f ca="1">L55-L39+0.01</f>
        <v>-1.1971260976133633E-3</v>
      </c>
      <c r="M57" s="227">
        <f ca="1">M55-M39-0.01</f>
        <v>-1.0079319070209749E-2</v>
      </c>
      <c r="N57" s="227">
        <f ca="1">N55-N39+0.01</f>
        <v>4.2704551649512725E-3</v>
      </c>
      <c r="O57" s="227">
        <f t="shared" ca="1" si="13"/>
        <v>-5.4035037574067246E-3</v>
      </c>
    </row>
    <row r="59" spans="1:16" x14ac:dyDescent="0.25"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</row>
    <row r="60" spans="1:16" x14ac:dyDescent="0.25"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</row>
    <row r="61" spans="1:16" x14ac:dyDescent="0.25"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</row>
    <row r="62" spans="1:16" x14ac:dyDescent="0.25"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</row>
    <row r="64" spans="1:16" x14ac:dyDescent="0.25">
      <c r="A64" s="216" t="s">
        <v>853</v>
      </c>
      <c r="B64" s="413">
        <f>B53/B37</f>
        <v>1.0773810335346594</v>
      </c>
      <c r="C64" s="413">
        <f t="shared" ref="C64:N64" si="14">C53/C37</f>
        <v>1.3344387696676818</v>
      </c>
      <c r="D64" s="413">
        <f t="shared" si="14"/>
        <v>1.3567373218675371</v>
      </c>
      <c r="E64" s="413">
        <f t="shared" si="14"/>
        <v>1.339770905442232</v>
      </c>
      <c r="F64" s="413">
        <f t="shared" si="14"/>
        <v>1.5438653354738618</v>
      </c>
      <c r="G64" s="413">
        <f t="shared" si="14"/>
        <v>1.6035754381599454</v>
      </c>
      <c r="H64" s="413">
        <f t="shared" si="14"/>
        <v>1.7089743894118512</v>
      </c>
      <c r="I64" s="413">
        <f t="shared" si="14"/>
        <v>1.7980877711167536</v>
      </c>
      <c r="J64" s="413">
        <f t="shared" si="14"/>
        <v>1.8491609936362972</v>
      </c>
      <c r="K64" s="413">
        <f t="shared" si="14"/>
        <v>1.9256084154566371</v>
      </c>
      <c r="L64" s="413">
        <f t="shared" si="14"/>
        <v>1.9730247996602357</v>
      </c>
      <c r="M64" s="413">
        <f t="shared" si="14"/>
        <v>2.0856022715829536</v>
      </c>
      <c r="N64" s="413">
        <f t="shared" si="14"/>
        <v>2.1743847593466881</v>
      </c>
      <c r="O64" s="413">
        <f t="shared" ref="O64" si="15">O53/O37</f>
        <v>2.3582771833687155</v>
      </c>
      <c r="P64" s="225">
        <v>1.2</v>
      </c>
    </row>
    <row r="65" spans="1:16" x14ac:dyDescent="0.25">
      <c r="A65" s="216" t="s">
        <v>854</v>
      </c>
      <c r="B65" s="227">
        <f>(B53-B49)/B37</f>
        <v>0.84257933748710467</v>
      </c>
      <c r="C65" s="227">
        <f t="shared" ref="C65:N65" si="16">(C53-C49)/C37</f>
        <v>1.0138011588759359</v>
      </c>
      <c r="D65" s="227">
        <f t="shared" si="16"/>
        <v>1.0199368389743773</v>
      </c>
      <c r="E65" s="227">
        <f t="shared" si="16"/>
        <v>1.0442516312585119</v>
      </c>
      <c r="F65" s="227">
        <f t="shared" si="16"/>
        <v>1.1344739447549776</v>
      </c>
      <c r="G65" s="227">
        <f t="shared" si="16"/>
        <v>1.1319376185389638</v>
      </c>
      <c r="H65" s="227">
        <f t="shared" si="16"/>
        <v>1.185407665354554</v>
      </c>
      <c r="I65" s="227">
        <f t="shared" si="16"/>
        <v>1.2491548859729704</v>
      </c>
      <c r="J65" s="227">
        <f t="shared" si="16"/>
        <v>1.3196053298115662</v>
      </c>
      <c r="K65" s="227">
        <f t="shared" si="16"/>
        <v>1.382910980300871</v>
      </c>
      <c r="L65" s="227">
        <f t="shared" si="16"/>
        <v>1.4447098804307599</v>
      </c>
      <c r="M65" s="227">
        <f t="shared" si="16"/>
        <v>1.5225480612967179</v>
      </c>
      <c r="N65" s="227">
        <f t="shared" si="16"/>
        <v>1.5823465036436373</v>
      </c>
      <c r="O65" s="227">
        <f t="shared" ref="O65" si="17">(O53-O49)/O37</f>
        <v>1.7074507937574637</v>
      </c>
      <c r="P65" s="225">
        <v>0.9</v>
      </c>
    </row>
    <row r="66" spans="1:16" x14ac:dyDescent="0.25">
      <c r="A66" s="216" t="s">
        <v>855</v>
      </c>
      <c r="B66" s="227">
        <f>(B21+B26)/B14</f>
        <v>0.37773546648203493</v>
      </c>
      <c r="C66" s="227">
        <f t="shared" ref="C66:N66" ca="1" si="18">(C21+C26)/C14</f>
        <v>0.59746615013784676</v>
      </c>
      <c r="D66" s="227">
        <f t="shared" ca="1" si="18"/>
        <v>1.0669164732211824</v>
      </c>
      <c r="E66" s="227">
        <f t="shared" ca="1" si="18"/>
        <v>1.0700851754634495</v>
      </c>
      <c r="F66" s="227">
        <f t="shared" ca="1" si="18"/>
        <v>0.64624050882570294</v>
      </c>
      <c r="G66" s="227">
        <f t="shared" ca="1" si="18"/>
        <v>0.55638144447836468</v>
      </c>
      <c r="H66" s="227">
        <f t="shared" ca="1" si="18"/>
        <v>0.44613588198221549</v>
      </c>
      <c r="I66" s="227">
        <f t="shared" ca="1" si="18"/>
        <v>0.34057756762282687</v>
      </c>
      <c r="J66" s="227">
        <f t="shared" ca="1" si="18"/>
        <v>0.25855246730681913</v>
      </c>
      <c r="K66" s="227">
        <f t="shared" ca="1" si="18"/>
        <v>0.17279780796998595</v>
      </c>
      <c r="L66" s="227">
        <f t="shared" ca="1" si="18"/>
        <v>0.10656852229186869</v>
      </c>
      <c r="M66" s="227">
        <f t="shared" ca="1" si="18"/>
        <v>4.6425062544142449E-2</v>
      </c>
      <c r="N66" s="227">
        <f t="shared" ca="1" si="18"/>
        <v>0</v>
      </c>
      <c r="O66" s="227">
        <f t="shared" ref="O66" ca="1" si="19">(O21+O26)/O14</f>
        <v>0</v>
      </c>
      <c r="P66" s="225">
        <v>2.5</v>
      </c>
    </row>
    <row r="67" spans="1:16" x14ac:dyDescent="0.25">
      <c r="A67" s="216" t="s">
        <v>856</v>
      </c>
      <c r="B67" s="227">
        <f>(B39-B14)/(B14+B15)</f>
        <v>2.9812164370768111</v>
      </c>
      <c r="C67" s="227">
        <f t="shared" ref="C67:N67" ca="1" si="20">(C39-C14)/(C14+C15)</f>
        <v>2.3345196534818071</v>
      </c>
      <c r="D67" s="227">
        <f t="shared" ca="1" si="20"/>
        <v>2.1435514131007567</v>
      </c>
      <c r="E67" s="227">
        <f t="shared" ca="1" si="20"/>
        <v>2.3360523676539611</v>
      </c>
      <c r="F67" s="227">
        <f t="shared" ca="1" si="20"/>
        <v>1.6983706812828285</v>
      </c>
      <c r="G67" s="227">
        <f t="shared" ca="1" si="20"/>
        <v>1.6065654913752767</v>
      </c>
      <c r="H67" s="227">
        <f t="shared" ca="1" si="20"/>
        <v>1.4314137978051984</v>
      </c>
      <c r="I67" s="227">
        <f t="shared" ca="1" si="20"/>
        <v>1.2597233359792599</v>
      </c>
      <c r="J67" s="227">
        <f t="shared" ca="1" si="20"/>
        <v>1.1482112683664414</v>
      </c>
      <c r="K67" s="227">
        <f t="shared" ca="1" si="20"/>
        <v>1.0039694737041309</v>
      </c>
      <c r="L67" s="227">
        <f t="shared" ca="1" si="20"/>
        <v>0.8972701335460761</v>
      </c>
      <c r="M67" s="227">
        <f t="shared" ca="1" si="20"/>
        <v>0.75753315353211947</v>
      </c>
      <c r="N67" s="227">
        <f t="shared" ca="1" si="20"/>
        <v>0.65691790402918016</v>
      </c>
      <c r="O67" s="227">
        <f t="shared" ref="O67" ca="1" si="21">(O39-O14)/(O14+O15)</f>
        <v>0.58895866037054767</v>
      </c>
      <c r="P67" s="225">
        <v>4</v>
      </c>
    </row>
    <row r="68" spans="1:16" x14ac:dyDescent="0.25">
      <c r="A68" s="216" t="s">
        <v>857</v>
      </c>
      <c r="B68" s="227">
        <f ca="1">B41/(B21+B26)</f>
        <v>3.1585542746016122</v>
      </c>
      <c r="C68" s="227">
        <f t="shared" ref="C68:N68" ca="1" si="22">C41/(C21+C26)</f>
        <v>2.0483791110057079</v>
      </c>
      <c r="D68" s="227">
        <f t="shared" ca="1" si="22"/>
        <v>1.672051063319745</v>
      </c>
      <c r="E68" s="227">
        <f t="shared" ca="1" si="22"/>
        <v>1.6815811760335206</v>
      </c>
      <c r="F68" s="227">
        <f t="shared" ca="1" si="22"/>
        <v>1.6324984518995269</v>
      </c>
      <c r="G68" s="227">
        <f t="shared" ca="1" si="22"/>
        <v>1.5927246869987424</v>
      </c>
      <c r="H68" s="227">
        <f t="shared" ca="1" si="22"/>
        <v>1.5907776596075576</v>
      </c>
      <c r="I68" s="227">
        <f t="shared" ca="1" si="22"/>
        <v>1.6422911995771663</v>
      </c>
      <c r="J68" s="227">
        <f t="shared" ca="1" si="22"/>
        <v>1.7774867679224302</v>
      </c>
      <c r="K68" s="227">
        <f t="shared" ca="1" si="22"/>
        <v>2.0726022392160277</v>
      </c>
      <c r="L68" s="227">
        <f t="shared" ca="1" si="22"/>
        <v>2.7762115595792132</v>
      </c>
      <c r="M68" s="227">
        <f t="shared" ca="1" si="22"/>
        <v>5.0070611308296673</v>
      </c>
      <c r="N68" s="227" t="e">
        <f t="shared" ca="1" si="22"/>
        <v>#DIV/0!</v>
      </c>
      <c r="O68" s="227" t="e">
        <f t="shared" ref="O68" ca="1" si="23">O41/(O21+O26)</f>
        <v>#DIV/0!</v>
      </c>
      <c r="P68" s="225">
        <v>1.4</v>
      </c>
    </row>
    <row r="69" spans="1:16" x14ac:dyDescent="0.25">
      <c r="A69" s="216" t="s">
        <v>859</v>
      </c>
      <c r="B69" s="227">
        <f>(CONPL!C49+CONPL!C39)/CONPL!C39</f>
        <v>3.0633474795569939</v>
      </c>
      <c r="C69" s="227">
        <f ca="1">(CONPL!D49+CONPL!D39)/CONPL!D39</f>
        <v>3.8443557373343293</v>
      </c>
      <c r="D69" s="227">
        <f ca="1">(CONPL!E49+CONPL!E39)/CONPL!E39</f>
        <v>3.3047411569472551</v>
      </c>
      <c r="E69" s="227">
        <f ca="1">(CONPL!F49+CONPL!F39)/CONPL!F39</f>
        <v>4.528218969726737</v>
      </c>
      <c r="F69" s="227">
        <f ca="1">(CONPL!G49+CONPL!G39)/CONPL!G39</f>
        <v>4.7654610494802876</v>
      </c>
      <c r="G69" s="227">
        <f ca="1">(CONPL!H49+CONPL!H39)/CONPL!H39</f>
        <v>4.5918642867162536</v>
      </c>
      <c r="H69" s="227">
        <f ca="1">(CONPL!I49+CONPL!I39)/CONPL!I39</f>
        <v>5.050713974021888</v>
      </c>
      <c r="I69" s="227">
        <f ca="1">(CONPL!J49+CONPL!J39)/CONPL!J39</f>
        <v>5.5642796342299068</v>
      </c>
      <c r="J69" s="227">
        <f ca="1">(CONPL!K49+CONPL!K39)/CONPL!K39</f>
        <v>5.886499978341849</v>
      </c>
      <c r="K69" s="227">
        <f ca="1">(CONPL!L49+CONPL!L39)/CONPL!L39</f>
        <v>7.5139506697168592</v>
      </c>
      <c r="L69" s="227">
        <f ca="1">(CONPL!M49+CONPL!M39)/CONPL!M39</f>
        <v>8.2190329293023865</v>
      </c>
      <c r="M69" s="227">
        <f ca="1">(CONPL!N49+CONPL!N39)/CONPL!N39</f>
        <v>11.056540487139117</v>
      </c>
      <c r="N69" s="227">
        <f ca="1">(CONPL!O49+CONPL!O39)/CONPL!O39</f>
        <v>14.118794123889945</v>
      </c>
      <c r="O69" s="227">
        <f ca="1">(CONPL!P49+CONPL!P39)/CONPL!P39</f>
        <v>16.225420968055229</v>
      </c>
      <c r="P69" s="225">
        <v>1.7</v>
      </c>
    </row>
    <row r="72" spans="1:16" x14ac:dyDescent="0.25">
      <c r="A72" s="216" t="s">
        <v>870</v>
      </c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5"/>
    </row>
    <row r="73" spans="1:16" x14ac:dyDescent="0.25"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5"/>
    </row>
    <row r="74" spans="1:16" x14ac:dyDescent="0.25">
      <c r="A74" s="328" t="s">
        <v>871</v>
      </c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5"/>
    </row>
    <row r="75" spans="1:16" x14ac:dyDescent="0.25">
      <c r="A75" s="216" t="str">
        <f>A48</f>
        <v>Sundry Debtors</v>
      </c>
      <c r="B75" s="226">
        <f>B48</f>
        <v>1742</v>
      </c>
      <c r="C75" s="226">
        <f t="shared" ref="C75:O75" si="24">C48</f>
        <v>2040.0000000000002</v>
      </c>
      <c r="D75" s="226">
        <f t="shared" si="24"/>
        <v>2178.0000000000005</v>
      </c>
      <c r="E75" s="226">
        <f t="shared" si="24"/>
        <v>2682.6539156250005</v>
      </c>
      <c r="F75" s="226">
        <f t="shared" si="24"/>
        <v>3750.3503437500003</v>
      </c>
      <c r="G75" s="226">
        <f t="shared" si="24"/>
        <v>3959.8292250000013</v>
      </c>
      <c r="H75" s="226">
        <f t="shared" si="24"/>
        <v>4223.3672250000018</v>
      </c>
      <c r="I75" s="226">
        <f t="shared" si="24"/>
        <v>4633.6635000000015</v>
      </c>
      <c r="J75" s="226">
        <f t="shared" si="24"/>
        <v>5072.9489550000017</v>
      </c>
      <c r="K75" s="226">
        <f t="shared" si="24"/>
        <v>5544.1225080000031</v>
      </c>
      <c r="L75" s="226">
        <f t="shared" si="24"/>
        <v>6230.9796813000039</v>
      </c>
      <c r="M75" s="226">
        <f t="shared" si="24"/>
        <v>6787.8551881800049</v>
      </c>
      <c r="N75" s="226">
        <f t="shared" si="24"/>
        <v>7489.5175572480048</v>
      </c>
      <c r="O75" s="226">
        <f t="shared" si="24"/>
        <v>8033.1796830978064</v>
      </c>
    </row>
    <row r="76" spans="1:16" x14ac:dyDescent="0.25">
      <c r="A76" s="216" t="str">
        <f>A49</f>
        <v>Stock in Hand</v>
      </c>
      <c r="B76" s="226">
        <f>B49</f>
        <v>516.66</v>
      </c>
      <c r="C76" s="226">
        <f t="shared" ref="C76:O76" si="25">C49</f>
        <v>700</v>
      </c>
      <c r="D76" s="226">
        <f t="shared" si="25"/>
        <v>770</v>
      </c>
      <c r="E76" s="226">
        <f t="shared" si="25"/>
        <v>882.00000000000023</v>
      </c>
      <c r="F76" s="226">
        <f t="shared" si="25"/>
        <v>1690.2481925000002</v>
      </c>
      <c r="G76" s="226">
        <f t="shared" si="25"/>
        <v>2036.2675900000004</v>
      </c>
      <c r="H76" s="226">
        <f t="shared" si="25"/>
        <v>2332.6057947500008</v>
      </c>
      <c r="I76" s="226">
        <f t="shared" si="25"/>
        <v>2554.9095670000006</v>
      </c>
      <c r="J76" s="226">
        <f t="shared" si="25"/>
        <v>2569.3507647500014</v>
      </c>
      <c r="K76" s="226">
        <f t="shared" si="25"/>
        <v>2798.4724075000017</v>
      </c>
      <c r="L76" s="226">
        <f t="shared" si="25"/>
        <v>2788.3856724500015</v>
      </c>
      <c r="M76" s="226">
        <f t="shared" si="25"/>
        <v>3029.2968300700018</v>
      </c>
      <c r="N76" s="226">
        <f t="shared" si="25"/>
        <v>3286.713621527002</v>
      </c>
      <c r="O76" s="226">
        <f t="shared" si="25"/>
        <v>3562.2866102047033</v>
      </c>
    </row>
    <row r="77" spans="1:16" x14ac:dyDescent="0.25">
      <c r="A77" s="216" t="str">
        <f>A51</f>
        <v>Advance to Supplier</v>
      </c>
      <c r="B77" s="226">
        <f>B51</f>
        <v>0</v>
      </c>
      <c r="C77" s="226">
        <f t="shared" ref="C77:O77" si="26">C51</f>
        <v>35</v>
      </c>
      <c r="D77" s="226">
        <f t="shared" si="26"/>
        <v>38</v>
      </c>
      <c r="E77" s="226">
        <f t="shared" si="26"/>
        <v>186.32999999999998</v>
      </c>
      <c r="F77" s="226">
        <f t="shared" si="26"/>
        <v>198.32999999999998</v>
      </c>
      <c r="G77" s="226">
        <f t="shared" si="26"/>
        <v>189.07999999999998</v>
      </c>
      <c r="H77" s="226">
        <f t="shared" si="26"/>
        <v>248.68</v>
      </c>
      <c r="I77" s="226">
        <f t="shared" si="26"/>
        <v>384.66999999999996</v>
      </c>
      <c r="J77" s="226">
        <f t="shared" si="26"/>
        <v>362.44</v>
      </c>
      <c r="K77" s="226">
        <f t="shared" si="26"/>
        <v>393.67</v>
      </c>
      <c r="L77" s="226">
        <f t="shared" si="26"/>
        <v>241.25</v>
      </c>
      <c r="M77" s="226">
        <f t="shared" si="26"/>
        <v>263.99</v>
      </c>
      <c r="N77" s="226">
        <f t="shared" si="26"/>
        <v>210.67000000000002</v>
      </c>
      <c r="O77" s="226">
        <f t="shared" si="26"/>
        <v>235.97</v>
      </c>
    </row>
    <row r="78" spans="1:16" x14ac:dyDescent="0.25">
      <c r="A78" s="216" t="str">
        <f>A52</f>
        <v>Other Current Assets</v>
      </c>
      <c r="B78" s="226">
        <f>B52</f>
        <v>75.62</v>
      </c>
      <c r="C78" s="226">
        <f t="shared" ref="C78:O78" si="27">C52</f>
        <v>102.79</v>
      </c>
      <c r="D78" s="226">
        <f t="shared" si="27"/>
        <v>64.28</v>
      </c>
      <c r="E78" s="226">
        <f t="shared" si="27"/>
        <v>96.16</v>
      </c>
      <c r="F78" s="226">
        <f t="shared" si="27"/>
        <v>314.24</v>
      </c>
      <c r="G78" s="226">
        <f t="shared" si="27"/>
        <v>479.67</v>
      </c>
      <c r="H78" s="226">
        <f t="shared" si="27"/>
        <v>494.86</v>
      </c>
      <c r="I78" s="226">
        <f t="shared" si="27"/>
        <v>461.09000000000003</v>
      </c>
      <c r="J78" s="226">
        <f t="shared" si="27"/>
        <v>550.14</v>
      </c>
      <c r="K78" s="226">
        <f t="shared" si="27"/>
        <v>696.23</v>
      </c>
      <c r="L78" s="226">
        <f t="shared" si="27"/>
        <v>624.79</v>
      </c>
      <c r="M78" s="226">
        <f t="shared" si="27"/>
        <v>541.12</v>
      </c>
      <c r="N78" s="226">
        <f t="shared" si="27"/>
        <v>465.74</v>
      </c>
      <c r="O78" s="226">
        <f t="shared" si="27"/>
        <v>413.47</v>
      </c>
    </row>
    <row r="79" spans="1:16" x14ac:dyDescent="0.25">
      <c r="A79" s="231" t="s">
        <v>630</v>
      </c>
      <c r="B79" s="229">
        <f>SUM(B75:B78)</f>
        <v>2334.2799999999997</v>
      </c>
      <c r="C79" s="229">
        <f t="shared" ref="C79:O79" si="28">SUM(C75:C78)</f>
        <v>2877.79</v>
      </c>
      <c r="D79" s="229">
        <f t="shared" si="28"/>
        <v>3050.2800000000007</v>
      </c>
      <c r="E79" s="229">
        <f t="shared" si="28"/>
        <v>3847.1439156250008</v>
      </c>
      <c r="F79" s="229">
        <f t="shared" si="28"/>
        <v>5953.1685362500002</v>
      </c>
      <c r="G79" s="229">
        <f t="shared" si="28"/>
        <v>6664.8468150000017</v>
      </c>
      <c r="H79" s="229">
        <f t="shared" si="28"/>
        <v>7299.513019750003</v>
      </c>
      <c r="I79" s="229">
        <f t="shared" si="28"/>
        <v>8034.3330670000023</v>
      </c>
      <c r="J79" s="229">
        <f t="shared" si="28"/>
        <v>8554.8797197500026</v>
      </c>
      <c r="K79" s="229">
        <f t="shared" si="28"/>
        <v>9432.4949155000049</v>
      </c>
      <c r="L79" s="229">
        <f t="shared" si="28"/>
        <v>9885.405353750004</v>
      </c>
      <c r="M79" s="229">
        <f t="shared" si="28"/>
        <v>10622.262018250007</v>
      </c>
      <c r="N79" s="229">
        <f t="shared" si="28"/>
        <v>11452.641178775008</v>
      </c>
      <c r="O79" s="229">
        <f t="shared" si="28"/>
        <v>12244.906293302509</v>
      </c>
    </row>
    <row r="80" spans="1:16" x14ac:dyDescent="0.25"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5"/>
    </row>
    <row r="81" spans="1:15" x14ac:dyDescent="0.25">
      <c r="A81" s="328" t="s">
        <v>872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5"/>
    </row>
    <row r="82" spans="1:15" x14ac:dyDescent="0.25">
      <c r="A82" s="216" t="str">
        <f>A34</f>
        <v>Sundry Creditors</v>
      </c>
      <c r="B82" s="226">
        <f>B34</f>
        <v>1405.53</v>
      </c>
      <c r="C82" s="226">
        <f t="shared" ref="C82:O82" si="29">C34</f>
        <v>1200</v>
      </c>
      <c r="D82" s="226">
        <f t="shared" si="29"/>
        <v>1320.0000000000002</v>
      </c>
      <c r="E82" s="226">
        <f t="shared" si="29"/>
        <v>1498.7069025937503</v>
      </c>
      <c r="F82" s="226">
        <f t="shared" si="29"/>
        <v>2545.3852406250007</v>
      </c>
      <c r="G82" s="226">
        <f t="shared" si="29"/>
        <v>2810.4591562500009</v>
      </c>
      <c r="H82" s="226">
        <f t="shared" si="29"/>
        <v>2859.5916318750005</v>
      </c>
      <c r="I82" s="226">
        <f t="shared" si="29"/>
        <v>3049.9804755000014</v>
      </c>
      <c r="J82" s="226">
        <f t="shared" si="29"/>
        <v>3240.3693191250013</v>
      </c>
      <c r="K82" s="226">
        <f t="shared" si="29"/>
        <v>3429.9078134700021</v>
      </c>
      <c r="L82" s="226">
        <f t="shared" si="29"/>
        <v>3617.5755393990021</v>
      </c>
      <c r="M82" s="226">
        <f t="shared" si="29"/>
        <v>3667.3034854416023</v>
      </c>
      <c r="N82" s="226">
        <f t="shared" si="29"/>
        <v>3838.9288706674824</v>
      </c>
      <c r="O82" s="226">
        <f t="shared" si="29"/>
        <v>4004.3292739891231</v>
      </c>
    </row>
    <row r="83" spans="1:15" x14ac:dyDescent="0.25">
      <c r="A83" s="216" t="str">
        <f>A35</f>
        <v>Other Liability</v>
      </c>
      <c r="B83" s="226">
        <f>B35</f>
        <v>214.39000000000001</v>
      </c>
      <c r="C83" s="226">
        <f t="shared" ref="C83:O83" si="30">C35</f>
        <v>89.15</v>
      </c>
      <c r="D83" s="226">
        <f t="shared" si="30"/>
        <v>72.349999999999994</v>
      </c>
      <c r="E83" s="226">
        <f t="shared" si="30"/>
        <v>103.87</v>
      </c>
      <c r="F83" s="226">
        <f t="shared" si="30"/>
        <v>123.07999999999998</v>
      </c>
      <c r="G83" s="226">
        <f t="shared" si="30"/>
        <v>63.55</v>
      </c>
      <c r="H83" s="226">
        <f t="shared" si="30"/>
        <v>131.63</v>
      </c>
      <c r="I83" s="226">
        <f t="shared" si="30"/>
        <v>116.33999999999999</v>
      </c>
      <c r="J83" s="226">
        <f t="shared" si="30"/>
        <v>99.53</v>
      </c>
      <c r="K83" s="226">
        <f t="shared" si="30"/>
        <v>190.69</v>
      </c>
      <c r="L83" s="226">
        <f t="shared" si="30"/>
        <v>100.31</v>
      </c>
      <c r="M83" s="226">
        <f t="shared" si="30"/>
        <v>152.81227380300007</v>
      </c>
      <c r="N83" s="226">
        <f t="shared" si="30"/>
        <v>160.59350118330008</v>
      </c>
      <c r="O83" s="226">
        <f t="shared" si="30"/>
        <v>269.15285130163011</v>
      </c>
    </row>
    <row r="84" spans="1:15" x14ac:dyDescent="0.25">
      <c r="A84" s="231" t="s">
        <v>630</v>
      </c>
      <c r="B84" s="229">
        <f>SUM(B82:B83)</f>
        <v>1619.92</v>
      </c>
      <c r="C84" s="229">
        <f t="shared" ref="C84:O84" si="31">SUM(C80:C83)</f>
        <v>1289.1500000000001</v>
      </c>
      <c r="D84" s="229">
        <f t="shared" si="31"/>
        <v>1392.3500000000001</v>
      </c>
      <c r="E84" s="229">
        <f t="shared" si="31"/>
        <v>1602.5769025937502</v>
      </c>
      <c r="F84" s="229">
        <f t="shared" si="31"/>
        <v>2668.4652406250007</v>
      </c>
      <c r="G84" s="229">
        <f t="shared" si="31"/>
        <v>2874.0091562500011</v>
      </c>
      <c r="H84" s="229">
        <f t="shared" si="31"/>
        <v>2991.2216318750006</v>
      </c>
      <c r="I84" s="229">
        <f t="shared" si="31"/>
        <v>3166.3204755000015</v>
      </c>
      <c r="J84" s="229">
        <f t="shared" si="31"/>
        <v>3339.8993191250015</v>
      </c>
      <c r="K84" s="229">
        <f t="shared" si="31"/>
        <v>3620.5978134700022</v>
      </c>
      <c r="L84" s="229">
        <f t="shared" si="31"/>
        <v>3717.885539399002</v>
      </c>
      <c r="M84" s="229">
        <f t="shared" si="31"/>
        <v>3820.1157592446025</v>
      </c>
      <c r="N84" s="229">
        <f t="shared" si="31"/>
        <v>3999.5223718507823</v>
      </c>
      <c r="O84" s="229">
        <f t="shared" si="31"/>
        <v>4273.4821252907532</v>
      </c>
    </row>
    <row r="85" spans="1:15" x14ac:dyDescent="0.25"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5"/>
    </row>
    <row r="86" spans="1:15" x14ac:dyDescent="0.25">
      <c r="A86" s="231" t="s">
        <v>873</v>
      </c>
      <c r="B86" s="229">
        <f>B79-B84</f>
        <v>714.35999999999967</v>
      </c>
      <c r="C86" s="229">
        <f t="shared" ref="C86:O86" si="32">C79-C84</f>
        <v>1588.6399999999999</v>
      </c>
      <c r="D86" s="229">
        <f t="shared" si="32"/>
        <v>1657.9300000000005</v>
      </c>
      <c r="E86" s="229">
        <f t="shared" si="32"/>
        <v>2244.5670130312506</v>
      </c>
      <c r="F86" s="229">
        <f t="shared" si="32"/>
        <v>3284.7032956249996</v>
      </c>
      <c r="G86" s="229">
        <f t="shared" si="32"/>
        <v>3790.8376587500006</v>
      </c>
      <c r="H86" s="229">
        <f t="shared" si="32"/>
        <v>4308.2913878750023</v>
      </c>
      <c r="I86" s="229">
        <f t="shared" si="32"/>
        <v>4868.0125915000008</v>
      </c>
      <c r="J86" s="229">
        <f t="shared" si="32"/>
        <v>5214.9804006250015</v>
      </c>
      <c r="K86" s="229">
        <f t="shared" si="32"/>
        <v>5811.8971020300032</v>
      </c>
      <c r="L86" s="229">
        <f t="shared" si="32"/>
        <v>6167.5198143510024</v>
      </c>
      <c r="M86" s="229">
        <f t="shared" si="32"/>
        <v>6802.1462590054043</v>
      </c>
      <c r="N86" s="229">
        <f t="shared" si="32"/>
        <v>7453.1188069242253</v>
      </c>
      <c r="O86" s="229">
        <f t="shared" si="32"/>
        <v>7971.4241680117557</v>
      </c>
    </row>
    <row r="87" spans="1:15" x14ac:dyDescent="0.25"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5"/>
    </row>
    <row r="88" spans="1:15" x14ac:dyDescent="0.25">
      <c r="A88" s="231" t="s">
        <v>870</v>
      </c>
      <c r="B88" s="229"/>
      <c r="C88" s="229">
        <f>C86-B86</f>
        <v>874.2800000000002</v>
      </c>
      <c r="D88" s="229">
        <f t="shared" ref="D88:O88" si="33">D86-C86</f>
        <v>69.290000000000646</v>
      </c>
      <c r="E88" s="229">
        <f t="shared" si="33"/>
        <v>586.63701303125004</v>
      </c>
      <c r="F88" s="229">
        <f t="shared" si="33"/>
        <v>1040.136282593749</v>
      </c>
      <c r="G88" s="229">
        <f t="shared" si="33"/>
        <v>506.13436312500107</v>
      </c>
      <c r="H88" s="229">
        <f t="shared" si="33"/>
        <v>517.4537291250017</v>
      </c>
      <c r="I88" s="229">
        <f t="shared" si="33"/>
        <v>559.72120362499845</v>
      </c>
      <c r="J88" s="229">
        <f t="shared" si="33"/>
        <v>346.96780912500071</v>
      </c>
      <c r="K88" s="229">
        <f t="shared" si="33"/>
        <v>596.91670140500173</v>
      </c>
      <c r="L88" s="229">
        <f t="shared" si="33"/>
        <v>355.6227123209992</v>
      </c>
      <c r="M88" s="229">
        <f t="shared" si="33"/>
        <v>634.62644465440189</v>
      </c>
      <c r="N88" s="229">
        <f t="shared" si="33"/>
        <v>650.97254791882096</v>
      </c>
      <c r="O88" s="229">
        <f t="shared" si="33"/>
        <v>518.3053610875304</v>
      </c>
    </row>
    <row r="99" spans="1:15" x14ac:dyDescent="0.25">
      <c r="A99" s="476" t="s">
        <v>896</v>
      </c>
      <c r="B99" s="495"/>
      <c r="C99" s="495"/>
      <c r="D99" s="495"/>
      <c r="E99" s="496"/>
      <c r="F99" s="496"/>
      <c r="G99" s="496"/>
      <c r="H99" s="495"/>
      <c r="I99" s="495"/>
      <c r="J99" s="495"/>
      <c r="K99" s="495"/>
      <c r="L99" s="495"/>
      <c r="M99" s="495"/>
      <c r="N99" s="495"/>
      <c r="O99" s="497"/>
    </row>
    <row r="100" spans="1:15" x14ac:dyDescent="0.25">
      <c r="A100" s="476" t="s">
        <v>897</v>
      </c>
      <c r="B100" s="495"/>
      <c r="C100" s="495"/>
      <c r="D100" s="495"/>
      <c r="E100" s="496"/>
      <c r="F100" s="496"/>
      <c r="G100" s="496"/>
      <c r="H100" s="495"/>
      <c r="I100" s="495"/>
      <c r="J100" s="495"/>
      <c r="K100" s="495"/>
      <c r="L100" s="495"/>
      <c r="M100" s="495"/>
      <c r="N100" s="495"/>
      <c r="O100" s="497"/>
    </row>
    <row r="101" spans="1:15" x14ac:dyDescent="0.25">
      <c r="A101" s="478"/>
      <c r="B101" s="498" t="s">
        <v>909</v>
      </c>
      <c r="C101" s="498" t="s">
        <v>906</v>
      </c>
      <c r="D101" s="498" t="s">
        <v>907</v>
      </c>
      <c r="E101" s="498" t="s">
        <v>907</v>
      </c>
      <c r="F101" s="498" t="s">
        <v>907</v>
      </c>
      <c r="G101" s="498" t="s">
        <v>906</v>
      </c>
      <c r="H101" s="498" t="s">
        <v>907</v>
      </c>
      <c r="I101" s="498" t="s">
        <v>907</v>
      </c>
      <c r="J101" s="498" t="s">
        <v>907</v>
      </c>
      <c r="K101" s="498" t="s">
        <v>907</v>
      </c>
      <c r="L101" s="498" t="s">
        <v>907</v>
      </c>
      <c r="M101" s="498" t="s">
        <v>907</v>
      </c>
      <c r="N101" s="498" t="s">
        <v>907</v>
      </c>
      <c r="O101" s="498" t="s">
        <v>907</v>
      </c>
    </row>
    <row r="102" spans="1:15" x14ac:dyDescent="0.25">
      <c r="A102" s="478"/>
      <c r="B102" s="498">
        <v>2023</v>
      </c>
      <c r="C102" s="498">
        <v>2024</v>
      </c>
      <c r="D102" s="498">
        <v>2025</v>
      </c>
      <c r="E102" s="498">
        <v>2026</v>
      </c>
      <c r="F102" s="498">
        <v>2027</v>
      </c>
      <c r="G102" s="498">
        <v>2028</v>
      </c>
      <c r="H102" s="498">
        <v>2029</v>
      </c>
      <c r="I102" s="498">
        <v>2030</v>
      </c>
      <c r="J102" s="498">
        <v>2031</v>
      </c>
      <c r="K102" s="498">
        <v>2032</v>
      </c>
      <c r="L102" s="498">
        <v>2033</v>
      </c>
      <c r="M102" s="498">
        <v>2034</v>
      </c>
      <c r="N102" s="498">
        <v>2035</v>
      </c>
      <c r="O102" s="498">
        <v>2036</v>
      </c>
    </row>
    <row r="103" spans="1:15" x14ac:dyDescent="0.25">
      <c r="A103" s="480" t="s">
        <v>898</v>
      </c>
      <c r="B103" s="499">
        <f>B53-B50-B51-B52</f>
        <v>2258.66</v>
      </c>
      <c r="C103" s="499">
        <f t="shared" ref="C103:O103" si="34">C53-C50-C51-C52</f>
        <v>2740</v>
      </c>
      <c r="D103" s="499">
        <f t="shared" si="34"/>
        <v>2948.0000000000005</v>
      </c>
      <c r="E103" s="499">
        <f t="shared" si="34"/>
        <v>3564.653915625001</v>
      </c>
      <c r="F103" s="499">
        <f t="shared" si="34"/>
        <v>5440.5985362500005</v>
      </c>
      <c r="G103" s="499">
        <f t="shared" si="34"/>
        <v>5996.0968150000017</v>
      </c>
      <c r="H103" s="499">
        <f t="shared" si="34"/>
        <v>6555.973019750003</v>
      </c>
      <c r="I103" s="499">
        <f t="shared" si="34"/>
        <v>7188.5730670000012</v>
      </c>
      <c r="J103" s="499">
        <f t="shared" si="34"/>
        <v>7642.2997197500017</v>
      </c>
      <c r="K103" s="499">
        <f t="shared" si="34"/>
        <v>8342.5949155000053</v>
      </c>
      <c r="L103" s="499">
        <f t="shared" si="34"/>
        <v>9019.3653537500068</v>
      </c>
      <c r="M103" s="499">
        <f t="shared" si="34"/>
        <v>9817.1520182500062</v>
      </c>
      <c r="N103" s="499">
        <f t="shared" si="34"/>
        <v>10776.231178775008</v>
      </c>
      <c r="O103" s="499">
        <f t="shared" si="34"/>
        <v>11595.46629330251</v>
      </c>
    </row>
    <row r="104" spans="1:15" x14ac:dyDescent="0.25">
      <c r="A104" s="482" t="s">
        <v>1</v>
      </c>
      <c r="B104" s="499">
        <f>B50+B51+B52</f>
        <v>112.02000000000001</v>
      </c>
      <c r="C104" s="499">
        <f t="shared" ref="C104:O104" si="35">C50+C51+C52</f>
        <v>173.28000000000003</v>
      </c>
      <c r="D104" s="499">
        <f t="shared" si="35"/>
        <v>153.80000000000001</v>
      </c>
      <c r="E104" s="499">
        <f t="shared" si="35"/>
        <v>433.99538352499997</v>
      </c>
      <c r="F104" s="499">
        <f t="shared" si="35"/>
        <v>933.53548783349902</v>
      </c>
      <c r="G104" s="499">
        <f t="shared" si="35"/>
        <v>927.24257171249906</v>
      </c>
      <c r="H104" s="499">
        <f t="shared" si="35"/>
        <v>1057.8866482780481</v>
      </c>
      <c r="I104" s="499">
        <f t="shared" si="35"/>
        <v>1180.303662854865</v>
      </c>
      <c r="J104" s="499">
        <f t="shared" si="35"/>
        <v>1329.6432462264588</v>
      </c>
      <c r="K104" s="499">
        <f t="shared" si="35"/>
        <v>1586.993229243124</v>
      </c>
      <c r="L104" s="499">
        <f t="shared" si="35"/>
        <v>1394.0337052523651</v>
      </c>
      <c r="M104" s="499">
        <f t="shared" si="35"/>
        <v>1403.6296306097829</v>
      </c>
      <c r="N104" s="499">
        <f t="shared" si="35"/>
        <v>1294.9144577495119</v>
      </c>
      <c r="O104" s="499">
        <f t="shared" si="35"/>
        <v>1312.5217163471812</v>
      </c>
    </row>
    <row r="105" spans="1:15" x14ac:dyDescent="0.25">
      <c r="A105" s="483" t="s">
        <v>630</v>
      </c>
      <c r="B105" s="500">
        <f t="shared" ref="B105:O105" si="36">B103+B104</f>
        <v>2370.6799999999998</v>
      </c>
      <c r="C105" s="500">
        <f t="shared" si="36"/>
        <v>2913.28</v>
      </c>
      <c r="D105" s="500">
        <f t="shared" si="36"/>
        <v>3101.8000000000006</v>
      </c>
      <c r="E105" s="500">
        <f t="shared" si="36"/>
        <v>3998.6492991500008</v>
      </c>
      <c r="F105" s="500">
        <f t="shared" si="36"/>
        <v>6374.1340240834998</v>
      </c>
      <c r="G105" s="500">
        <f t="shared" si="36"/>
        <v>6923.3393867125005</v>
      </c>
      <c r="H105" s="500">
        <f t="shared" si="36"/>
        <v>7613.8596680280516</v>
      </c>
      <c r="I105" s="500">
        <f t="shared" si="36"/>
        <v>8368.8767298548664</v>
      </c>
      <c r="J105" s="500">
        <f t="shared" si="36"/>
        <v>8971.942965976461</v>
      </c>
      <c r="K105" s="500">
        <f t="shared" si="36"/>
        <v>9929.5881447431293</v>
      </c>
      <c r="L105" s="500">
        <f t="shared" si="36"/>
        <v>10413.399059002371</v>
      </c>
      <c r="M105" s="500">
        <f t="shared" si="36"/>
        <v>11220.781648859789</v>
      </c>
      <c r="N105" s="500">
        <f t="shared" si="36"/>
        <v>12071.145636524519</v>
      </c>
      <c r="O105" s="500">
        <f t="shared" si="36"/>
        <v>12907.988009649691</v>
      </c>
    </row>
    <row r="106" spans="1:15" x14ac:dyDescent="0.25">
      <c r="A106" s="482" t="s">
        <v>899</v>
      </c>
      <c r="B106" s="499">
        <f>B37-B33</f>
        <v>1713.9199999999998</v>
      </c>
      <c r="C106" s="499">
        <f t="shared" ref="C106:O106" si="37">C37-C33</f>
        <v>1383.15</v>
      </c>
      <c r="D106" s="499">
        <f t="shared" si="37"/>
        <v>1486.2199999999998</v>
      </c>
      <c r="E106" s="499">
        <f t="shared" si="37"/>
        <v>1784.5769025937502</v>
      </c>
      <c r="F106" s="499">
        <f t="shared" si="37"/>
        <v>2928.6852406250009</v>
      </c>
      <c r="G106" s="499">
        <f t="shared" si="37"/>
        <v>3117.4391562500014</v>
      </c>
      <c r="H106" s="499">
        <f t="shared" si="37"/>
        <v>3255.2216318750006</v>
      </c>
      <c r="I106" s="499">
        <f t="shared" si="37"/>
        <v>3454.3204755000015</v>
      </c>
      <c r="J106" s="499">
        <f t="shared" si="37"/>
        <v>3651.8993191250011</v>
      </c>
      <c r="K106" s="499">
        <f t="shared" si="37"/>
        <v>3956.5978134700017</v>
      </c>
      <c r="L106" s="499">
        <f t="shared" si="37"/>
        <v>4077.8855393990025</v>
      </c>
      <c r="M106" s="499">
        <f t="shared" si="37"/>
        <v>4180.1157592446016</v>
      </c>
      <c r="N106" s="499">
        <f t="shared" si="37"/>
        <v>4351.5223718507823</v>
      </c>
      <c r="O106" s="499">
        <f t="shared" si="37"/>
        <v>4273.4821252907532</v>
      </c>
    </row>
    <row r="107" spans="1:15" x14ac:dyDescent="0.25">
      <c r="A107" s="482" t="s">
        <v>900</v>
      </c>
      <c r="B107" s="499">
        <f t="shared" ref="B107:O107" si="38">B105-B106</f>
        <v>656.76</v>
      </c>
      <c r="C107" s="499">
        <f t="shared" si="38"/>
        <v>1530.13</v>
      </c>
      <c r="D107" s="499">
        <f t="shared" si="38"/>
        <v>1615.5800000000008</v>
      </c>
      <c r="E107" s="499">
        <f t="shared" si="38"/>
        <v>2214.0723965562506</v>
      </c>
      <c r="F107" s="499">
        <f t="shared" si="38"/>
        <v>3445.4487834584988</v>
      </c>
      <c r="G107" s="499">
        <f t="shared" si="38"/>
        <v>3805.9002304624992</v>
      </c>
      <c r="H107" s="499">
        <f t="shared" si="38"/>
        <v>4358.638036153051</v>
      </c>
      <c r="I107" s="499">
        <f t="shared" si="38"/>
        <v>4914.5562543548649</v>
      </c>
      <c r="J107" s="499">
        <f t="shared" si="38"/>
        <v>5320.0436468514599</v>
      </c>
      <c r="K107" s="499">
        <f t="shared" si="38"/>
        <v>5972.9903312731276</v>
      </c>
      <c r="L107" s="499">
        <f t="shared" si="38"/>
        <v>6335.5135196033689</v>
      </c>
      <c r="M107" s="499">
        <f t="shared" si="38"/>
        <v>7040.6658896151876</v>
      </c>
      <c r="N107" s="499">
        <f t="shared" si="38"/>
        <v>7719.6232646737371</v>
      </c>
      <c r="O107" s="499">
        <f t="shared" si="38"/>
        <v>8634.5058843589377</v>
      </c>
    </row>
    <row r="108" spans="1:15" ht="45" x14ac:dyDescent="0.25">
      <c r="A108" s="482" t="s">
        <v>901</v>
      </c>
      <c r="B108" s="499">
        <f>B105*25%</f>
        <v>592.66999999999996</v>
      </c>
      <c r="C108" s="499">
        <f t="shared" ref="C108:O108" si="39">C105*25%</f>
        <v>728.32</v>
      </c>
      <c r="D108" s="499">
        <f t="shared" si="39"/>
        <v>775.45000000000016</v>
      </c>
      <c r="E108" s="499">
        <f t="shared" si="39"/>
        <v>999.66232478750021</v>
      </c>
      <c r="F108" s="499">
        <f t="shared" si="39"/>
        <v>1593.5335060208749</v>
      </c>
      <c r="G108" s="499">
        <f t="shared" si="39"/>
        <v>1730.8348466781251</v>
      </c>
      <c r="H108" s="499">
        <f t="shared" si="39"/>
        <v>1903.4649170070129</v>
      </c>
      <c r="I108" s="499">
        <f t="shared" si="39"/>
        <v>2092.2191824637166</v>
      </c>
      <c r="J108" s="499">
        <f t="shared" si="39"/>
        <v>2242.9857414941152</v>
      </c>
      <c r="K108" s="499">
        <f t="shared" si="39"/>
        <v>2482.3970361857823</v>
      </c>
      <c r="L108" s="499">
        <f t="shared" si="39"/>
        <v>2603.3497647505928</v>
      </c>
      <c r="M108" s="499">
        <f t="shared" si="39"/>
        <v>2805.1954122149473</v>
      </c>
      <c r="N108" s="499">
        <f t="shared" si="39"/>
        <v>3017.7864091311299</v>
      </c>
      <c r="O108" s="499">
        <f t="shared" si="39"/>
        <v>3226.9970024124227</v>
      </c>
    </row>
    <row r="109" spans="1:15" x14ac:dyDescent="0.25">
      <c r="A109" s="482" t="s">
        <v>902</v>
      </c>
      <c r="B109" s="499">
        <f>B53-B37</f>
        <v>170.26999999999998</v>
      </c>
      <c r="C109" s="499">
        <f t="shared" ref="C109:O109" si="40">C53-C37</f>
        <v>730.12999999999965</v>
      </c>
      <c r="D109" s="499">
        <f t="shared" si="40"/>
        <v>815.58000000000084</v>
      </c>
      <c r="E109" s="499">
        <f t="shared" si="40"/>
        <v>1014.0723965562506</v>
      </c>
      <c r="F109" s="499">
        <f t="shared" si="40"/>
        <v>2245.4487834584979</v>
      </c>
      <c r="G109" s="499">
        <f t="shared" si="40"/>
        <v>2605.9002304624992</v>
      </c>
      <c r="H109" s="499">
        <f t="shared" si="40"/>
        <v>3158.6380361530501</v>
      </c>
      <c r="I109" s="499">
        <f t="shared" si="40"/>
        <v>3714.5562543548649</v>
      </c>
      <c r="J109" s="499">
        <f t="shared" si="40"/>
        <v>4120.0436468514599</v>
      </c>
      <c r="K109" s="499">
        <f t="shared" si="40"/>
        <v>4772.9903312731276</v>
      </c>
      <c r="L109" s="499">
        <f t="shared" si="40"/>
        <v>5135.5135196033689</v>
      </c>
      <c r="M109" s="499">
        <f t="shared" si="40"/>
        <v>5840.6658896151876</v>
      </c>
      <c r="N109" s="499">
        <f t="shared" si="40"/>
        <v>6519.6232646737371</v>
      </c>
      <c r="O109" s="499">
        <f t="shared" si="40"/>
        <v>7434.5058843589359</v>
      </c>
    </row>
    <row r="110" spans="1:15" x14ac:dyDescent="0.25">
      <c r="A110" s="482" t="s">
        <v>903</v>
      </c>
      <c r="B110" s="499">
        <f>B107-B108</f>
        <v>64.090000000000032</v>
      </c>
      <c r="C110" s="499">
        <f t="shared" ref="C110:O110" si="41">C107-C108</f>
        <v>801.81000000000006</v>
      </c>
      <c r="D110" s="499">
        <f t="shared" si="41"/>
        <v>840.13000000000068</v>
      </c>
      <c r="E110" s="499">
        <f t="shared" si="41"/>
        <v>1214.4100717687504</v>
      </c>
      <c r="F110" s="499">
        <f t="shared" si="41"/>
        <v>1851.9152774376239</v>
      </c>
      <c r="G110" s="499">
        <f t="shared" si="41"/>
        <v>2075.0653837843738</v>
      </c>
      <c r="H110" s="499">
        <f t="shared" si="41"/>
        <v>2455.1731191460381</v>
      </c>
      <c r="I110" s="499">
        <f t="shared" si="41"/>
        <v>2822.3370718911483</v>
      </c>
      <c r="J110" s="499">
        <f t="shared" si="41"/>
        <v>3077.0579053573447</v>
      </c>
      <c r="K110" s="499">
        <f t="shared" si="41"/>
        <v>3490.5932950873453</v>
      </c>
      <c r="L110" s="499">
        <f t="shared" si="41"/>
        <v>3732.163754852776</v>
      </c>
      <c r="M110" s="499">
        <f t="shared" si="41"/>
        <v>4235.4704774002403</v>
      </c>
      <c r="N110" s="499">
        <f t="shared" si="41"/>
        <v>4701.8368555426077</v>
      </c>
      <c r="O110" s="499">
        <f t="shared" si="41"/>
        <v>5407.5088819465145</v>
      </c>
    </row>
    <row r="111" spans="1:15" x14ac:dyDescent="0.25">
      <c r="A111" s="482" t="s">
        <v>904</v>
      </c>
      <c r="B111" s="499">
        <f>B107-B109</f>
        <v>486.49</v>
      </c>
      <c r="C111" s="499">
        <f t="shared" ref="C111:O111" si="42">C107-C109</f>
        <v>800.00000000000045</v>
      </c>
      <c r="D111" s="499">
        <f t="shared" si="42"/>
        <v>800</v>
      </c>
      <c r="E111" s="499">
        <f t="shared" si="42"/>
        <v>1200</v>
      </c>
      <c r="F111" s="499">
        <f t="shared" si="42"/>
        <v>1200.0000000000009</v>
      </c>
      <c r="G111" s="499">
        <f t="shared" si="42"/>
        <v>1200</v>
      </c>
      <c r="H111" s="499">
        <f t="shared" si="42"/>
        <v>1200.0000000000009</v>
      </c>
      <c r="I111" s="499">
        <f t="shared" si="42"/>
        <v>1200</v>
      </c>
      <c r="J111" s="499">
        <f t="shared" si="42"/>
        <v>1200</v>
      </c>
      <c r="K111" s="499">
        <f t="shared" si="42"/>
        <v>1200</v>
      </c>
      <c r="L111" s="499">
        <f t="shared" si="42"/>
        <v>1200</v>
      </c>
      <c r="M111" s="499">
        <f t="shared" si="42"/>
        <v>1200</v>
      </c>
      <c r="N111" s="499">
        <f t="shared" si="42"/>
        <v>1200</v>
      </c>
      <c r="O111" s="499">
        <f t="shared" si="42"/>
        <v>1200.0000000000018</v>
      </c>
    </row>
    <row r="112" spans="1:15" x14ac:dyDescent="0.25">
      <c r="A112" s="482" t="s">
        <v>905</v>
      </c>
      <c r="B112" s="499">
        <f t="shared" ref="B112:O112" si="43">MIN(B110:B111)</f>
        <v>64.090000000000032</v>
      </c>
      <c r="C112" s="499">
        <f t="shared" si="43"/>
        <v>800.00000000000045</v>
      </c>
      <c r="D112" s="499">
        <f t="shared" si="43"/>
        <v>800</v>
      </c>
      <c r="E112" s="499">
        <f t="shared" si="43"/>
        <v>1200</v>
      </c>
      <c r="F112" s="499">
        <f t="shared" si="43"/>
        <v>1200.0000000000009</v>
      </c>
      <c r="G112" s="499">
        <f t="shared" si="43"/>
        <v>1200</v>
      </c>
      <c r="H112" s="499">
        <f t="shared" si="43"/>
        <v>1200.0000000000009</v>
      </c>
      <c r="I112" s="499">
        <f t="shared" si="43"/>
        <v>1200</v>
      </c>
      <c r="J112" s="499">
        <f t="shared" si="43"/>
        <v>1200</v>
      </c>
      <c r="K112" s="499">
        <f t="shared" si="43"/>
        <v>1200</v>
      </c>
      <c r="L112" s="499">
        <f t="shared" si="43"/>
        <v>1200</v>
      </c>
      <c r="M112" s="499">
        <f t="shared" si="43"/>
        <v>1200</v>
      </c>
      <c r="N112" s="499">
        <f t="shared" si="43"/>
        <v>1200</v>
      </c>
      <c r="O112" s="499">
        <f t="shared" si="43"/>
        <v>1200.0000000000018</v>
      </c>
    </row>
  </sheetData>
  <mergeCells count="3">
    <mergeCell ref="A1:O1"/>
    <mergeCell ref="A2:O2"/>
    <mergeCell ref="A4:O4"/>
  </mergeCells>
  <pageMargins left="7.874015748031496E-2" right="7.874015748031496E-2" top="7.874015748031496E-2" bottom="7.874015748031496E-2" header="0.31496062992125984" footer="0.31496062992125984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showGridLines="0" tabSelected="1" workbookViewId="0">
      <selection activeCell="B43" sqref="B43"/>
    </sheetView>
  </sheetViews>
  <sheetFormatPr defaultRowHeight="15" x14ac:dyDescent="0.25"/>
  <cols>
    <col min="1" max="1" width="3.5703125" style="216" customWidth="1"/>
    <col min="2" max="2" width="25.5703125" style="216" customWidth="1"/>
    <col min="3" max="3" width="10.7109375" style="216" hidden="1" customWidth="1"/>
    <col min="4" max="4" width="10.7109375" style="216" customWidth="1"/>
    <col min="5" max="5" width="14.28515625" style="216" bestFit="1" customWidth="1"/>
    <col min="6" max="16" width="10.7109375" style="216" customWidth="1"/>
    <col min="17" max="16384" width="9.140625" style="216"/>
  </cols>
  <sheetData>
    <row r="1" spans="2:17" ht="14.25" customHeight="1" x14ac:dyDescent="0.25">
      <c r="C1" s="503">
        <v>45016</v>
      </c>
      <c r="D1" s="503">
        <f>DATE(YEAR(C1)+1,MONTH(C1),DAY(C1))</f>
        <v>45382</v>
      </c>
      <c r="E1" s="503">
        <f t="shared" ref="E1:P1" si="0">DATE(YEAR(D1)+1,MONTH(D1),DAY(D1))</f>
        <v>45747</v>
      </c>
      <c r="F1" s="503">
        <f t="shared" si="0"/>
        <v>46112</v>
      </c>
      <c r="G1" s="503">
        <f t="shared" si="0"/>
        <v>46477</v>
      </c>
      <c r="H1" s="503">
        <f t="shared" si="0"/>
        <v>46843</v>
      </c>
      <c r="I1" s="503">
        <f t="shared" si="0"/>
        <v>47208</v>
      </c>
      <c r="J1" s="503">
        <f t="shared" si="0"/>
        <v>47573</v>
      </c>
      <c r="K1" s="503">
        <f t="shared" si="0"/>
        <v>47938</v>
      </c>
      <c r="L1" s="503">
        <f t="shared" si="0"/>
        <v>48304</v>
      </c>
      <c r="M1" s="503">
        <f t="shared" si="0"/>
        <v>48669</v>
      </c>
      <c r="N1" s="503">
        <f t="shared" si="0"/>
        <v>49034</v>
      </c>
      <c r="O1" s="503">
        <f t="shared" si="0"/>
        <v>49399</v>
      </c>
      <c r="P1" s="503">
        <f t="shared" si="0"/>
        <v>49765</v>
      </c>
    </row>
    <row r="2" spans="2:17" ht="17.25" customHeight="1" x14ac:dyDescent="0.25">
      <c r="B2" s="221" t="s">
        <v>709</v>
      </c>
      <c r="C2" s="223" t="str">
        <f>CONPL!C5</f>
        <v>2022-23</v>
      </c>
      <c r="D2" s="223" t="str">
        <f>'P&amp;L(Proposed)'!E6</f>
        <v>2023-24</v>
      </c>
      <c r="E2" s="223" t="str">
        <f>'P&amp;L(Proposed)'!F6</f>
        <v>2024-25</v>
      </c>
      <c r="F2" s="223" t="str">
        <f>'P&amp;L(Proposed)'!G6</f>
        <v>2025-26</v>
      </c>
      <c r="G2" s="223" t="str">
        <f>'P&amp;L(Proposed)'!H6</f>
        <v>2026-27</v>
      </c>
      <c r="H2" s="223" t="str">
        <f>'P&amp;L(Proposed)'!I6</f>
        <v>2027-28</v>
      </c>
      <c r="I2" s="223" t="str">
        <f>'P&amp;L(Proposed)'!J6</f>
        <v>2028-29</v>
      </c>
      <c r="J2" s="223" t="str">
        <f>'P&amp;L(Proposed)'!K6</f>
        <v>2029-30</v>
      </c>
      <c r="K2" s="223" t="str">
        <f>'P&amp;L(Proposed)'!L6</f>
        <v>2030-31</v>
      </c>
      <c r="L2" s="223" t="str">
        <f>'P&amp;L(Proposed)'!M6</f>
        <v>2031-32</v>
      </c>
      <c r="M2" s="223" t="str">
        <f>'P&amp;L(Proposed)'!N6</f>
        <v>2032-33</v>
      </c>
      <c r="N2" s="223" t="str">
        <f>'P&amp;L(Proposed)'!O6</f>
        <v>2033-34</v>
      </c>
      <c r="O2" s="223" t="str">
        <f>'P&amp;L(Proposed)'!P6</f>
        <v>2034-35</v>
      </c>
      <c r="P2" s="223" t="str">
        <f>'P&amp;L(Proposed)'!Q6</f>
        <v>2035-36</v>
      </c>
      <c r="Q2" s="223"/>
    </row>
    <row r="3" spans="2:17" hidden="1" x14ac:dyDescent="0.25"/>
    <row r="4" spans="2:17" x14ac:dyDescent="0.25">
      <c r="B4" s="216" t="s">
        <v>821</v>
      </c>
      <c r="C4" s="227">
        <f>CONPL!C56</f>
        <v>246.81000000000125</v>
      </c>
      <c r="D4" s="227">
        <f ca="1">CONPL!D56</f>
        <v>380.47150197628434</v>
      </c>
      <c r="E4" s="227">
        <f ca="1">CONPL!E56</f>
        <v>306.49911418706773</v>
      </c>
      <c r="F4" s="227">
        <f ca="1">CONPL!F56</f>
        <v>194.91390753218246</v>
      </c>
      <c r="G4" s="227">
        <f ca="1">CONPL!G56</f>
        <v>1719.070197843153</v>
      </c>
      <c r="H4" s="227">
        <f ca="1">CONPL!H56</f>
        <v>1498.4148701041868</v>
      </c>
      <c r="I4" s="227">
        <f ca="1">CONPL!I56</f>
        <v>1657.6779731110666</v>
      </c>
      <c r="J4" s="227">
        <f ca="1">CONPL!J56</f>
        <v>1799.7460623504992</v>
      </c>
      <c r="K4" s="227">
        <f ca="1">CONPL!K56</f>
        <v>1804.0471970556755</v>
      </c>
      <c r="L4" s="227">
        <f ca="1">CONPL!L56</f>
        <v>2228.410452763952</v>
      </c>
      <c r="M4" s="227">
        <f ca="1">CONPL!M56</f>
        <v>2197.7638878536732</v>
      </c>
      <c r="N4" s="227">
        <f ca="1">CONPL!N56</f>
        <v>2657.4898573506243</v>
      </c>
      <c r="O4" s="227">
        <f ca="1">CONPL!O56</f>
        <v>2884.1272938365919</v>
      </c>
      <c r="P4" s="227">
        <f ca="1">CONPL!P56</f>
        <v>3115.0274730084452</v>
      </c>
      <c r="Q4" s="227"/>
    </row>
    <row r="5" spans="2:17" x14ac:dyDescent="0.25">
      <c r="B5" s="216" t="s">
        <v>866</v>
      </c>
      <c r="C5" s="504">
        <v>0.26</v>
      </c>
      <c r="D5" s="504">
        <v>0.26</v>
      </c>
      <c r="E5" s="504">
        <v>0.26</v>
      </c>
      <c r="F5" s="504">
        <v>0.26</v>
      </c>
      <c r="G5" s="504">
        <v>0.26</v>
      </c>
      <c r="H5" s="504">
        <v>0.26</v>
      </c>
      <c r="I5" s="504">
        <v>0.26</v>
      </c>
      <c r="J5" s="504">
        <v>0.26</v>
      </c>
      <c r="K5" s="504">
        <v>0.26</v>
      </c>
      <c r="L5" s="504">
        <v>0.26</v>
      </c>
      <c r="M5" s="504">
        <v>0.26</v>
      </c>
      <c r="N5" s="504">
        <v>0.26</v>
      </c>
      <c r="O5" s="504">
        <v>0.26</v>
      </c>
      <c r="P5" s="504">
        <v>0.26</v>
      </c>
      <c r="Q5" s="504"/>
    </row>
    <row r="6" spans="2:17" x14ac:dyDescent="0.25">
      <c r="B6" s="216" t="s">
        <v>867</v>
      </c>
      <c r="C6" s="504">
        <f>1-C5</f>
        <v>0.74</v>
      </c>
      <c r="D6" s="504">
        <f>1-D5</f>
        <v>0.74</v>
      </c>
      <c r="E6" s="504">
        <f t="shared" ref="E6:P6" si="1">1-E5</f>
        <v>0.74</v>
      </c>
      <c r="F6" s="504">
        <f t="shared" si="1"/>
        <v>0.74</v>
      </c>
      <c r="G6" s="504">
        <f t="shared" si="1"/>
        <v>0.74</v>
      </c>
      <c r="H6" s="504">
        <f t="shared" si="1"/>
        <v>0.74</v>
      </c>
      <c r="I6" s="504">
        <f t="shared" si="1"/>
        <v>0.74</v>
      </c>
      <c r="J6" s="504">
        <f t="shared" si="1"/>
        <v>0.74</v>
      </c>
      <c r="K6" s="504">
        <f t="shared" si="1"/>
        <v>0.74</v>
      </c>
      <c r="L6" s="504">
        <f t="shared" si="1"/>
        <v>0.74</v>
      </c>
      <c r="M6" s="504">
        <f t="shared" si="1"/>
        <v>0.74</v>
      </c>
      <c r="N6" s="504">
        <f t="shared" si="1"/>
        <v>0.74</v>
      </c>
      <c r="O6" s="504">
        <f t="shared" si="1"/>
        <v>0.74</v>
      </c>
      <c r="P6" s="504">
        <f t="shared" si="1"/>
        <v>0.74</v>
      </c>
      <c r="Q6" s="504"/>
    </row>
    <row r="7" spans="2:17" x14ac:dyDescent="0.25">
      <c r="B7" s="216" t="s">
        <v>868</v>
      </c>
      <c r="C7" s="226">
        <f>C4*C6</f>
        <v>182.63940000000093</v>
      </c>
      <c r="D7" s="226">
        <f ca="1">D4*D6</f>
        <v>281.54891146245041</v>
      </c>
      <c r="E7" s="226">
        <f t="shared" ref="E7:P7" ca="1" si="2">E4*E6</f>
        <v>226.80934449843011</v>
      </c>
      <c r="F7" s="226">
        <f t="shared" ca="1" si="2"/>
        <v>144.23629157381501</v>
      </c>
      <c r="G7" s="226">
        <f t="shared" ca="1" si="2"/>
        <v>1272.1119464039332</v>
      </c>
      <c r="H7" s="226">
        <f t="shared" ca="1" si="2"/>
        <v>1108.8270038770982</v>
      </c>
      <c r="I7" s="226">
        <f t="shared" ca="1" si="2"/>
        <v>1226.6817001021893</v>
      </c>
      <c r="J7" s="226">
        <f t="shared" ca="1" si="2"/>
        <v>1331.8120861393693</v>
      </c>
      <c r="K7" s="226">
        <f t="shared" ca="1" si="2"/>
        <v>1334.9949258211998</v>
      </c>
      <c r="L7" s="226">
        <f t="shared" ca="1" si="2"/>
        <v>1649.0237350453244</v>
      </c>
      <c r="M7" s="226">
        <f t="shared" ca="1" si="2"/>
        <v>1626.3452770117181</v>
      </c>
      <c r="N7" s="226">
        <f t="shared" ca="1" si="2"/>
        <v>1966.542494439462</v>
      </c>
      <c r="O7" s="226">
        <f t="shared" ca="1" si="2"/>
        <v>2134.2541974390779</v>
      </c>
      <c r="P7" s="226">
        <f t="shared" ca="1" si="2"/>
        <v>2305.1203300262496</v>
      </c>
      <c r="Q7" s="226"/>
    </row>
    <row r="8" spans="2:17" hidden="1" x14ac:dyDescent="0.25"/>
    <row r="9" spans="2:17" x14ac:dyDescent="0.25">
      <c r="B9" s="216" t="s">
        <v>869</v>
      </c>
      <c r="C9" s="227">
        <f>CONPL!C17</f>
        <v>91.36</v>
      </c>
      <c r="D9" s="227">
        <f ca="1">CONPL!D17</f>
        <v>92.868498023715418</v>
      </c>
      <c r="E9" s="227">
        <f ca="1">CONPL!E17</f>
        <v>82.500885812932552</v>
      </c>
      <c r="F9" s="227">
        <f ca="1">CONPL!F17</f>
        <v>342.8046235615675</v>
      </c>
      <c r="G9" s="227">
        <f ca="1">CONPL!G17</f>
        <v>568.23868884434319</v>
      </c>
      <c r="H9" s="227">
        <f ca="1">CONPL!H17</f>
        <v>494.13952227081415</v>
      </c>
      <c r="I9" s="227">
        <f ca="1">CONPL!I17</f>
        <v>430.04032359423508</v>
      </c>
      <c r="J9" s="227">
        <f ca="1">CONPL!J17</f>
        <v>374.55345507385425</v>
      </c>
      <c r="K9" s="227">
        <f ca="1">CONPL!K17</f>
        <v>326.48801178323419</v>
      </c>
      <c r="L9" s="227">
        <f ca="1">CONPL!L17</f>
        <v>284.82148189583114</v>
      </c>
      <c r="M9" s="227">
        <f ca="1">CONPL!M17</f>
        <v>248.67553660505436</v>
      </c>
      <c r="N9" s="227">
        <f ca="1">CONPL!N17</f>
        <v>217.29534297514238</v>
      </c>
      <c r="O9" s="227">
        <f ca="1">CONPL!O17</f>
        <v>190.0318826667505</v>
      </c>
      <c r="P9" s="227">
        <f ca="1">CONPL!P17</f>
        <v>166.32683582870081</v>
      </c>
      <c r="Q9" s="227"/>
    </row>
    <row r="10" spans="2:17" hidden="1" x14ac:dyDescent="0.25"/>
    <row r="11" spans="2:17" x14ac:dyDescent="0.25">
      <c r="B11" s="216" t="s">
        <v>870</v>
      </c>
      <c r="C11" s="227">
        <f>-CONBS!B88</f>
        <v>0</v>
      </c>
      <c r="D11" s="227">
        <f>-CONBS!C88</f>
        <v>-874.2800000000002</v>
      </c>
      <c r="E11" s="227">
        <f>-CONBS!D88</f>
        <v>-69.290000000000646</v>
      </c>
      <c r="F11" s="227">
        <f>-CONBS!E88</f>
        <v>-586.63701303125004</v>
      </c>
      <c r="G11" s="227">
        <f>-CONBS!F88</f>
        <v>-1040.136282593749</v>
      </c>
      <c r="H11" s="227">
        <f>-CONBS!G88</f>
        <v>-506.13436312500107</v>
      </c>
      <c r="I11" s="227">
        <f>-CONBS!H88</f>
        <v>-517.4537291250017</v>
      </c>
      <c r="J11" s="227">
        <f>-CONBS!I88</f>
        <v>-559.72120362499845</v>
      </c>
      <c r="K11" s="227">
        <f>-CONBS!J88</f>
        <v>-346.96780912500071</v>
      </c>
      <c r="L11" s="227">
        <f>-CONBS!K88</f>
        <v>-596.91670140500173</v>
      </c>
      <c r="M11" s="227">
        <f>-CONBS!L88</f>
        <v>-355.6227123209992</v>
      </c>
      <c r="N11" s="227">
        <f>-CONBS!M88</f>
        <v>-634.62644465440189</v>
      </c>
      <c r="O11" s="227">
        <f>-CONBS!N88</f>
        <v>-650.97254791882096</v>
      </c>
      <c r="P11" s="227">
        <f>-CONBS!O88</f>
        <v>-518.3053610875304</v>
      </c>
      <c r="Q11" s="227"/>
    </row>
    <row r="12" spans="2:17" x14ac:dyDescent="0.25">
      <c r="B12" s="216" t="s">
        <v>874</v>
      </c>
      <c r="C12" s="227">
        <f>-'Dep(Existing)'!D33</f>
        <v>-243.16000000000003</v>
      </c>
      <c r="D12" s="227">
        <f>-('Dep(Existing)'!E33+'Dep(Proposed)'!C32)</f>
        <v>-945.2</v>
      </c>
      <c r="E12" s="227">
        <f>-('Dep(Existing)'!F33+'Dep(Proposed)'!D32)</f>
        <v>-2436.7399999999998</v>
      </c>
      <c r="F12" s="227">
        <f>-('Dep(Existing)'!G33+'Dep(Proposed)'!E32)</f>
        <v>-976.45</v>
      </c>
      <c r="G12" s="227">
        <f>-('Dep(Existing)'!H33+'Dep(Proposed)'!F32)</f>
        <v>0</v>
      </c>
      <c r="H12" s="227">
        <f>-('Dep(Existing)'!I33+'Dep(Proposed)'!G32)</f>
        <v>0</v>
      </c>
      <c r="I12" s="227">
        <f>-('Dep(Existing)'!J33+'Dep(Proposed)'!H32)</f>
        <v>0</v>
      </c>
      <c r="J12" s="227">
        <f>-('Dep(Existing)'!K33+'Dep(Proposed)'!I32)</f>
        <v>0</v>
      </c>
      <c r="K12" s="227">
        <f>-('Dep(Existing)'!L33+'Dep(Proposed)'!J32)</f>
        <v>0</v>
      </c>
      <c r="L12" s="227">
        <f>-('Dep(Existing)'!M33+'Dep(Proposed)'!K32)</f>
        <v>0</v>
      </c>
      <c r="M12" s="227">
        <f>-('Dep(Existing)'!N33+'Dep(Proposed)'!L32)</f>
        <v>0</v>
      </c>
      <c r="N12" s="227">
        <f>-('Dep(Existing)'!O33+'Dep(Proposed)'!M32)</f>
        <v>0</v>
      </c>
      <c r="O12" s="227">
        <f>-('Dep(Existing)'!P33+'Dep(Proposed)'!N32)</f>
        <v>0</v>
      </c>
      <c r="P12" s="227">
        <f>-('Dep(Existing)'!Q33+'Dep(Proposed)'!O32)</f>
        <v>0</v>
      </c>
      <c r="Q12" s="227"/>
    </row>
    <row r="13" spans="2:17" hidden="1" x14ac:dyDescent="0.25"/>
    <row r="14" spans="2:17" x14ac:dyDescent="0.25">
      <c r="B14" s="216" t="s">
        <v>875</v>
      </c>
      <c r="C14" s="227">
        <f>C7+C9+C11+C12</f>
        <v>30.839400000000921</v>
      </c>
      <c r="D14" s="227">
        <f t="shared" ref="D14:P14" ca="1" si="3">D7+D9+D11+D12</f>
        <v>-1445.0625905138345</v>
      </c>
      <c r="E14" s="227">
        <f t="shared" ca="1" si="3"/>
        <v>-2196.7197696886378</v>
      </c>
      <c r="F14" s="227">
        <f t="shared" ca="1" si="3"/>
        <v>-1076.0460978958677</v>
      </c>
      <c r="G14" s="227">
        <f t="shared" ca="1" si="3"/>
        <v>800.21435265452737</v>
      </c>
      <c r="H14" s="227">
        <f t="shared" ca="1" si="3"/>
        <v>1096.8321630229111</v>
      </c>
      <c r="I14" s="227">
        <f t="shared" ca="1" si="3"/>
        <v>1139.2682945714228</v>
      </c>
      <c r="J14" s="227">
        <f t="shared" ca="1" si="3"/>
        <v>1146.644337588225</v>
      </c>
      <c r="K14" s="227">
        <f t="shared" ca="1" si="3"/>
        <v>1314.5151284794333</v>
      </c>
      <c r="L14" s="227">
        <f t="shared" ca="1" si="3"/>
        <v>1336.9285155361538</v>
      </c>
      <c r="M14" s="227">
        <f t="shared" ca="1" si="3"/>
        <v>1519.3981012957731</v>
      </c>
      <c r="N14" s="227">
        <f t="shared" ca="1" si="3"/>
        <v>1549.2113927602022</v>
      </c>
      <c r="O14" s="227">
        <f t="shared" ca="1" si="3"/>
        <v>1673.3135321870072</v>
      </c>
      <c r="P14" s="227">
        <f t="shared" ca="1" si="3"/>
        <v>1953.1418047674201</v>
      </c>
      <c r="Q14" s="227"/>
    </row>
    <row r="15" spans="2:17" hidden="1" x14ac:dyDescent="0.25"/>
    <row r="16" spans="2:17" hidden="1" x14ac:dyDescent="0.25"/>
    <row r="17" spans="2:17" x14ac:dyDescent="0.25">
      <c r="B17" s="216" t="s">
        <v>876</v>
      </c>
      <c r="C17" s="343"/>
      <c r="D17" s="343">
        <v>0.09</v>
      </c>
    </row>
    <row r="18" spans="2:17" x14ac:dyDescent="0.25">
      <c r="B18" s="216" t="s">
        <v>877</v>
      </c>
      <c r="C18" s="343"/>
      <c r="D18" s="343">
        <v>0.01</v>
      </c>
    </row>
    <row r="19" spans="2:17" x14ac:dyDescent="0.25">
      <c r="B19" s="216" t="s">
        <v>878</v>
      </c>
      <c r="C19" s="343"/>
      <c r="D19" s="343">
        <f>SUM(D17:D18)</f>
        <v>9.9999999999999992E-2</v>
      </c>
    </row>
    <row r="20" spans="2:17" hidden="1" x14ac:dyDescent="0.25"/>
    <row r="21" spans="2:17" x14ac:dyDescent="0.25">
      <c r="B21" s="216" t="s">
        <v>879</v>
      </c>
      <c r="C21" s="243">
        <v>0.5</v>
      </c>
      <c r="D21" s="243">
        <f>C21+1</f>
        <v>1.5</v>
      </c>
      <c r="E21" s="243">
        <f>D21+1</f>
        <v>2.5</v>
      </c>
      <c r="F21" s="243">
        <f t="shared" ref="F21:P21" si="4">E21+1</f>
        <v>3.5</v>
      </c>
      <c r="G21" s="243">
        <f t="shared" si="4"/>
        <v>4.5</v>
      </c>
      <c r="H21" s="243">
        <f t="shared" si="4"/>
        <v>5.5</v>
      </c>
      <c r="I21" s="243">
        <f t="shared" si="4"/>
        <v>6.5</v>
      </c>
      <c r="J21" s="243">
        <f t="shared" si="4"/>
        <v>7.5</v>
      </c>
      <c r="K21" s="243">
        <f t="shared" si="4"/>
        <v>8.5</v>
      </c>
      <c r="L21" s="243">
        <f t="shared" si="4"/>
        <v>9.5</v>
      </c>
      <c r="M21" s="243">
        <f t="shared" si="4"/>
        <v>10.5</v>
      </c>
      <c r="N21" s="243">
        <f t="shared" si="4"/>
        <v>11.5</v>
      </c>
      <c r="O21" s="243">
        <f t="shared" si="4"/>
        <v>12.5</v>
      </c>
      <c r="P21" s="243">
        <f t="shared" si="4"/>
        <v>13.5</v>
      </c>
      <c r="Q21" s="243"/>
    </row>
    <row r="22" spans="2:17" x14ac:dyDescent="0.25">
      <c r="B22" s="216" t="s">
        <v>880</v>
      </c>
      <c r="C22" s="227">
        <f>1/(1+$D$19)^C21</f>
        <v>0.95346258924559224</v>
      </c>
      <c r="D22" s="227">
        <f>1/(1+$D$19)^D21</f>
        <v>0.86678417204144742</v>
      </c>
      <c r="E22" s="227">
        <f t="shared" ref="E22:P22" si="5">1/(1+$D$19)^E21</f>
        <v>0.78798561094677033</v>
      </c>
      <c r="F22" s="227">
        <f t="shared" si="5"/>
        <v>0.71635055540615489</v>
      </c>
      <c r="G22" s="227">
        <f t="shared" si="5"/>
        <v>0.65122777764195883</v>
      </c>
      <c r="H22" s="227">
        <f t="shared" si="5"/>
        <v>0.59202525240178083</v>
      </c>
      <c r="I22" s="227">
        <f t="shared" si="5"/>
        <v>0.53820477491070973</v>
      </c>
      <c r="J22" s="227">
        <f t="shared" si="5"/>
        <v>0.48927706810064514</v>
      </c>
      <c r="K22" s="227">
        <f t="shared" si="5"/>
        <v>0.44479733463695009</v>
      </c>
      <c r="L22" s="227">
        <f t="shared" si="5"/>
        <v>0.4043612133063183</v>
      </c>
      <c r="M22" s="227">
        <f t="shared" si="5"/>
        <v>0.36760110300574383</v>
      </c>
      <c r="N22" s="227">
        <f t="shared" si="5"/>
        <v>0.33418282091431251</v>
      </c>
      <c r="O22" s="227">
        <f t="shared" si="5"/>
        <v>0.30380256446755688</v>
      </c>
      <c r="P22" s="227">
        <f t="shared" si="5"/>
        <v>0.27618414951596076</v>
      </c>
      <c r="Q22" s="227"/>
    </row>
    <row r="23" spans="2:17" hidden="1" x14ac:dyDescent="0.25"/>
    <row r="24" spans="2:17" x14ac:dyDescent="0.25">
      <c r="B24" s="216" t="s">
        <v>881</v>
      </c>
      <c r="C24" s="227">
        <f>C14*C22</f>
        <v>29.404214174781394</v>
      </c>
      <c r="D24" s="227">
        <f t="shared" ref="D24:P24" ca="1" si="6">D14*D22</f>
        <v>-1252.5573810666033</v>
      </c>
      <c r="E24" s="227">
        <f t="shared" ca="1" si="6"/>
        <v>-1730.98356979695</v>
      </c>
      <c r="F24" s="227">
        <f t="shared" ca="1" si="6"/>
        <v>-770.82621987033053</v>
      </c>
      <c r="G24" s="227">
        <f t="shared" ca="1" si="6"/>
        <v>521.12181451640663</v>
      </c>
      <c r="H24" s="227">
        <f t="shared" ca="1" si="6"/>
        <v>649.35233815603021</v>
      </c>
      <c r="I24" s="227">
        <f t="shared" ca="1" si="6"/>
        <v>613.15963604272076</v>
      </c>
      <c r="J24" s="227">
        <f t="shared" ca="1" si="6"/>
        <v>561.02677964937311</v>
      </c>
      <c r="K24" s="227">
        <f t="shared" ca="1" si="6"/>
        <v>584.69282548759998</v>
      </c>
      <c r="L24" s="227">
        <f t="shared" ca="1" si="6"/>
        <v>540.6020366460142</v>
      </c>
      <c r="M24" s="227">
        <f t="shared" ca="1" si="6"/>
        <v>558.53241794115911</v>
      </c>
      <c r="N24" s="227">
        <f t="shared" ca="1" si="6"/>
        <v>517.71983342519536</v>
      </c>
      <c r="O24" s="227">
        <f t="shared" ca="1" si="6"/>
        <v>508.35694223667861</v>
      </c>
      <c r="P24" s="227">
        <f t="shared" ca="1" si="6"/>
        <v>539.42680823375861</v>
      </c>
      <c r="Q24" s="227"/>
    </row>
    <row r="25" spans="2:17" hidden="1" x14ac:dyDescent="0.25"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</row>
    <row r="26" spans="2:17" hidden="1" x14ac:dyDescent="0.25">
      <c r="B26" s="216" t="s">
        <v>882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>
        <f ca="1">P24*(1+$D$27)/(D19-D27)</f>
        <v>11327.962972908934</v>
      </c>
      <c r="Q26" s="227"/>
    </row>
    <row r="27" spans="2:17" hidden="1" x14ac:dyDescent="0.25">
      <c r="B27" s="216" t="s">
        <v>883</v>
      </c>
      <c r="C27" s="502"/>
      <c r="D27" s="502">
        <v>0.05</v>
      </c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</row>
    <row r="28" spans="2:17" hidden="1" x14ac:dyDescent="0.25">
      <c r="C28" s="502"/>
      <c r="D28" s="502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</row>
    <row r="29" spans="2:17" hidden="1" x14ac:dyDescent="0.25">
      <c r="B29" s="216" t="s">
        <v>884</v>
      </c>
      <c r="C29" s="502"/>
      <c r="D29" s="502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>
        <f ca="1">P26*P22</f>
        <v>3128.6038194211483</v>
      </c>
      <c r="Q29" s="227"/>
    </row>
    <row r="30" spans="2:17" hidden="1" x14ac:dyDescent="0.25">
      <c r="C30" s="502"/>
      <c r="D30" s="502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</row>
    <row r="31" spans="2:17" hidden="1" x14ac:dyDescent="0.25">
      <c r="B31" s="216" t="s">
        <v>885</v>
      </c>
      <c r="C31" s="413"/>
      <c r="D31" s="413">
        <f ca="1">D24+D29</f>
        <v>-1252.5573810666033</v>
      </c>
      <c r="E31" s="413">
        <f t="shared" ref="E31:P31" ca="1" si="7">E24+E29</f>
        <v>-1730.98356979695</v>
      </c>
      <c r="F31" s="413">
        <f t="shared" ca="1" si="7"/>
        <v>-770.82621987033053</v>
      </c>
      <c r="G31" s="413">
        <f t="shared" ca="1" si="7"/>
        <v>521.12181451640663</v>
      </c>
      <c r="H31" s="413">
        <f t="shared" ca="1" si="7"/>
        <v>649.35233815603021</v>
      </c>
      <c r="I31" s="413">
        <f t="shared" ca="1" si="7"/>
        <v>613.15963604272076</v>
      </c>
      <c r="J31" s="413">
        <f t="shared" ca="1" si="7"/>
        <v>561.02677964937311</v>
      </c>
      <c r="K31" s="413">
        <f t="shared" ca="1" si="7"/>
        <v>584.69282548759998</v>
      </c>
      <c r="L31" s="413">
        <f t="shared" ca="1" si="7"/>
        <v>540.6020366460142</v>
      </c>
      <c r="M31" s="413">
        <f t="shared" ca="1" si="7"/>
        <v>558.53241794115911</v>
      </c>
      <c r="N31" s="413">
        <f t="shared" ca="1" si="7"/>
        <v>517.71983342519536</v>
      </c>
      <c r="O31" s="413">
        <f t="shared" ca="1" si="7"/>
        <v>508.35694223667861</v>
      </c>
      <c r="P31" s="413">
        <f t="shared" ca="1" si="7"/>
        <v>3668.0306276549068</v>
      </c>
      <c r="Q31" s="227"/>
    </row>
    <row r="32" spans="2:17" hidden="1" x14ac:dyDescent="0.25"/>
    <row r="33" spans="2:7" hidden="1" x14ac:dyDescent="0.25">
      <c r="B33" s="216" t="s">
        <v>846</v>
      </c>
      <c r="C33" s="225"/>
      <c r="D33" s="225">
        <f ca="1">SUM(D31:P31)</f>
        <v>4968.228081022201</v>
      </c>
    </row>
    <row r="34" spans="2:7" hidden="1" x14ac:dyDescent="0.25"/>
    <row r="35" spans="2:7" hidden="1" x14ac:dyDescent="0.25"/>
    <row r="36" spans="2:7" hidden="1" x14ac:dyDescent="0.25">
      <c r="B36" s="216" t="s">
        <v>886</v>
      </c>
      <c r="C36" s="425"/>
      <c r="D36" s="425">
        <f ca="1">XIRR(D14:P14,D1:P1,0.2)</f>
        <v>0.17214486002922058</v>
      </c>
    </row>
    <row r="37" spans="2:7" hidden="1" x14ac:dyDescent="0.25"/>
    <row r="38" spans="2:7" x14ac:dyDescent="0.25">
      <c r="B38" s="216" t="s">
        <v>846</v>
      </c>
      <c r="C38" s="225"/>
      <c r="D38" s="225">
        <f ca="1">SUM(C24:P24)</f>
        <v>1869.0284757758345</v>
      </c>
    </row>
    <row r="39" spans="2:7" hidden="1" x14ac:dyDescent="0.25"/>
    <row r="40" spans="2:7" hidden="1" x14ac:dyDescent="0.25">
      <c r="B40" s="216" t="s">
        <v>751</v>
      </c>
      <c r="C40" s="425"/>
      <c r="D40" s="343">
        <f ca="1">XIRR(D24:P24,D1:P1,0.1)</f>
        <v>6.5648403763771054E-2</v>
      </c>
      <c r="E40" s="706"/>
      <c r="F40" s="225"/>
      <c r="G40" s="707"/>
    </row>
    <row r="41" spans="2:7" hidden="1" x14ac:dyDescent="0.25"/>
    <row r="42" spans="2:7" x14ac:dyDescent="0.25">
      <c r="B42" s="216" t="s">
        <v>910</v>
      </c>
      <c r="C42" s="343"/>
      <c r="D42" s="343">
        <f ca="1">D40+D19</f>
        <v>0.16564840376377105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showGridLines="0" workbookViewId="0">
      <selection activeCell="C12" sqref="C12"/>
    </sheetView>
  </sheetViews>
  <sheetFormatPr defaultRowHeight="15" x14ac:dyDescent="0.25"/>
  <cols>
    <col min="1" max="1" width="3.5703125" style="216" customWidth="1"/>
    <col min="2" max="2" width="25.5703125" style="216" customWidth="1"/>
    <col min="3" max="15" width="10.7109375" style="216" customWidth="1"/>
    <col min="16" max="16384" width="9.140625" style="216"/>
  </cols>
  <sheetData>
    <row r="1" spans="2:16" ht="14.25" customHeight="1" x14ac:dyDescent="0.25">
      <c r="C1" s="503">
        <v>45382</v>
      </c>
      <c r="D1" s="503">
        <f>DATE(YEAR(C1)+1,MONTH(C1),DAY(C1))</f>
        <v>45747</v>
      </c>
      <c r="E1" s="503">
        <f t="shared" ref="E1:O1" si="0">DATE(YEAR(D1)+1,MONTH(D1),DAY(D1))</f>
        <v>46112</v>
      </c>
      <c r="F1" s="503">
        <f t="shared" si="0"/>
        <v>46477</v>
      </c>
      <c r="G1" s="503">
        <f t="shared" si="0"/>
        <v>46843</v>
      </c>
      <c r="H1" s="503">
        <f t="shared" si="0"/>
        <v>47208</v>
      </c>
      <c r="I1" s="503">
        <f t="shared" si="0"/>
        <v>47573</v>
      </c>
      <c r="J1" s="503">
        <f t="shared" si="0"/>
        <v>47938</v>
      </c>
      <c r="K1" s="503">
        <f t="shared" si="0"/>
        <v>48304</v>
      </c>
      <c r="L1" s="503">
        <f t="shared" si="0"/>
        <v>48669</v>
      </c>
      <c r="M1" s="503">
        <f t="shared" si="0"/>
        <v>49034</v>
      </c>
      <c r="N1" s="503">
        <f t="shared" si="0"/>
        <v>49399</v>
      </c>
      <c r="O1" s="503">
        <f t="shared" si="0"/>
        <v>49765</v>
      </c>
    </row>
    <row r="2" spans="2:16" ht="17.25" customHeight="1" x14ac:dyDescent="0.25">
      <c r="B2" s="221" t="s">
        <v>709</v>
      </c>
      <c r="C2" s="223" t="str">
        <f>'P&amp;L(Proposed)'!E6</f>
        <v>2023-24</v>
      </c>
      <c r="D2" s="223" t="str">
        <f>'P&amp;L(Proposed)'!F6</f>
        <v>2024-25</v>
      </c>
      <c r="E2" s="223" t="str">
        <f>'P&amp;L(Proposed)'!G6</f>
        <v>2025-26</v>
      </c>
      <c r="F2" s="223" t="str">
        <f>'P&amp;L(Proposed)'!H6</f>
        <v>2026-27</v>
      </c>
      <c r="G2" s="223" t="str">
        <f>'P&amp;L(Proposed)'!I6</f>
        <v>2027-28</v>
      </c>
      <c r="H2" s="223" t="str">
        <f>'P&amp;L(Proposed)'!J6</f>
        <v>2028-29</v>
      </c>
      <c r="I2" s="223" t="str">
        <f>'P&amp;L(Proposed)'!K6</f>
        <v>2029-30</v>
      </c>
      <c r="J2" s="223" t="str">
        <f>'P&amp;L(Proposed)'!L6</f>
        <v>2030-31</v>
      </c>
      <c r="K2" s="223" t="str">
        <f>'P&amp;L(Proposed)'!M6</f>
        <v>2031-32</v>
      </c>
      <c r="L2" s="223" t="str">
        <f>'P&amp;L(Proposed)'!N6</f>
        <v>2032-33</v>
      </c>
      <c r="M2" s="223" t="str">
        <f>'P&amp;L(Proposed)'!O6</f>
        <v>2033-34</v>
      </c>
      <c r="N2" s="223" t="str">
        <f>'P&amp;L(Proposed)'!P6</f>
        <v>2034-35</v>
      </c>
      <c r="O2" s="223" t="str">
        <f>'P&amp;L(Proposed)'!Q6</f>
        <v>2035-36</v>
      </c>
      <c r="P2" s="223"/>
    </row>
    <row r="4" spans="2:16" x14ac:dyDescent="0.25">
      <c r="B4" s="216" t="s">
        <v>821</v>
      </c>
      <c r="C4" s="227">
        <f>'P&amp;L(Proposed)'!E60</f>
        <v>0</v>
      </c>
      <c r="D4" s="227">
        <f>'P&amp;L(Proposed)'!F60</f>
        <v>0</v>
      </c>
      <c r="E4" s="227">
        <f>'P&amp;L(Proposed)'!G60</f>
        <v>-159.65921890625</v>
      </c>
      <c r="F4" s="227">
        <f>'P&amp;L(Proposed)'!H60</f>
        <v>1313.5853991875003</v>
      </c>
      <c r="G4" s="227">
        <f>'P&amp;L(Proposed)'!I60</f>
        <v>1038.6675930000013</v>
      </c>
      <c r="H4" s="227">
        <f>'P&amp;L(Proposed)'!J60</f>
        <v>1139.7803657365519</v>
      </c>
      <c r="I4" s="227">
        <f>'P&amp;L(Proposed)'!K60</f>
        <v>1219.243589750916</v>
      </c>
      <c r="J4" s="227">
        <f>'P&amp;L(Proposed)'!L60</f>
        <v>1155.8831076014883</v>
      </c>
      <c r="K4" s="227">
        <f>'P&amp;L(Proposed)'!M60</f>
        <v>1506.8841226644702</v>
      </c>
      <c r="L4" s="227">
        <f>'P&amp;L(Proposed)'!N60</f>
        <v>1396.4827494635601</v>
      </c>
      <c r="M4" s="227">
        <f>'P&amp;L(Proposed)'!O60</f>
        <v>1769.3145476656496</v>
      </c>
      <c r="N4" s="227">
        <f>'P&amp;L(Proposed)'!P60</f>
        <v>1901.1095883649195</v>
      </c>
      <c r="O4" s="227">
        <f>'P&amp;L(Proposed)'!Q60</f>
        <v>2028.3404962899599</v>
      </c>
      <c r="P4" s="227"/>
    </row>
    <row r="5" spans="2:16" x14ac:dyDescent="0.25">
      <c r="B5" s="216" t="s">
        <v>866</v>
      </c>
      <c r="C5" s="504">
        <f>'P&amp;L(Proposed)'!$A$43</f>
        <v>0.26</v>
      </c>
      <c r="D5" s="504">
        <f>'P&amp;L(Proposed)'!$A$43</f>
        <v>0.26</v>
      </c>
      <c r="E5" s="504">
        <f>'P&amp;L(Proposed)'!$A$43</f>
        <v>0.26</v>
      </c>
      <c r="F5" s="504">
        <f>'P&amp;L(Proposed)'!$A$43</f>
        <v>0.26</v>
      </c>
      <c r="G5" s="504">
        <f>'P&amp;L(Proposed)'!$A$43</f>
        <v>0.26</v>
      </c>
      <c r="H5" s="504">
        <f>'P&amp;L(Proposed)'!$A$43</f>
        <v>0.26</v>
      </c>
      <c r="I5" s="504">
        <f>'P&amp;L(Proposed)'!$A$43</f>
        <v>0.26</v>
      </c>
      <c r="J5" s="504">
        <f>'P&amp;L(Proposed)'!$A$43</f>
        <v>0.26</v>
      </c>
      <c r="K5" s="504">
        <f>'P&amp;L(Proposed)'!$A$43</f>
        <v>0.26</v>
      </c>
      <c r="L5" s="504">
        <f>'P&amp;L(Proposed)'!$A$43</f>
        <v>0.26</v>
      </c>
      <c r="M5" s="504">
        <f>'P&amp;L(Proposed)'!$A$43</f>
        <v>0.26</v>
      </c>
      <c r="N5" s="504">
        <f>'P&amp;L(Proposed)'!$A$43</f>
        <v>0.26</v>
      </c>
      <c r="O5" s="504">
        <f>'P&amp;L(Proposed)'!$A$43</f>
        <v>0.26</v>
      </c>
      <c r="P5" s="504"/>
    </row>
    <row r="6" spans="2:16" x14ac:dyDescent="0.25">
      <c r="B6" s="216" t="s">
        <v>867</v>
      </c>
      <c r="C6" s="504">
        <f>1-C5</f>
        <v>0.74</v>
      </c>
      <c r="D6" s="504">
        <f t="shared" ref="D6:O6" si="1">1-D5</f>
        <v>0.74</v>
      </c>
      <c r="E6" s="504">
        <f t="shared" si="1"/>
        <v>0.74</v>
      </c>
      <c r="F6" s="504">
        <f t="shared" si="1"/>
        <v>0.74</v>
      </c>
      <c r="G6" s="504">
        <f t="shared" si="1"/>
        <v>0.74</v>
      </c>
      <c r="H6" s="504">
        <f t="shared" si="1"/>
        <v>0.74</v>
      </c>
      <c r="I6" s="504">
        <f t="shared" si="1"/>
        <v>0.74</v>
      </c>
      <c r="J6" s="504">
        <f t="shared" si="1"/>
        <v>0.74</v>
      </c>
      <c r="K6" s="504">
        <f t="shared" si="1"/>
        <v>0.74</v>
      </c>
      <c r="L6" s="504">
        <f t="shared" si="1"/>
        <v>0.74</v>
      </c>
      <c r="M6" s="504">
        <f t="shared" si="1"/>
        <v>0.74</v>
      </c>
      <c r="N6" s="504">
        <f t="shared" si="1"/>
        <v>0.74</v>
      </c>
      <c r="O6" s="504">
        <f t="shared" si="1"/>
        <v>0.74</v>
      </c>
      <c r="P6" s="504"/>
    </row>
    <row r="7" spans="2:16" x14ac:dyDescent="0.25">
      <c r="B7" s="216" t="s">
        <v>868</v>
      </c>
      <c r="C7" s="226">
        <f>C4*C6</f>
        <v>0</v>
      </c>
      <c r="D7" s="226">
        <f t="shared" ref="D7:O7" si="2">D4*D6</f>
        <v>0</v>
      </c>
      <c r="E7" s="226">
        <f t="shared" si="2"/>
        <v>-118.147821990625</v>
      </c>
      <c r="F7" s="226">
        <f t="shared" si="2"/>
        <v>972.05319539875029</v>
      </c>
      <c r="G7" s="226">
        <f t="shared" si="2"/>
        <v>768.61401882000098</v>
      </c>
      <c r="H7" s="226">
        <f t="shared" si="2"/>
        <v>843.43747064504839</v>
      </c>
      <c r="I7" s="226">
        <f t="shared" si="2"/>
        <v>902.24025641567789</v>
      </c>
      <c r="J7" s="226">
        <f t="shared" si="2"/>
        <v>855.35349962510134</v>
      </c>
      <c r="K7" s="226">
        <f t="shared" si="2"/>
        <v>1115.0942507717079</v>
      </c>
      <c r="L7" s="226">
        <f t="shared" si="2"/>
        <v>1033.3972346030346</v>
      </c>
      <c r="M7" s="226">
        <f t="shared" si="2"/>
        <v>1309.2927652725807</v>
      </c>
      <c r="N7" s="226">
        <f t="shared" si="2"/>
        <v>1406.8210953900405</v>
      </c>
      <c r="O7" s="226">
        <f t="shared" si="2"/>
        <v>1500.9719672545702</v>
      </c>
      <c r="P7" s="226"/>
    </row>
    <row r="9" spans="2:16" x14ac:dyDescent="0.25">
      <c r="B9" s="216" t="s">
        <v>869</v>
      </c>
      <c r="C9" s="227">
        <f>'P&amp;L(Proposed)'!E18</f>
        <v>0</v>
      </c>
      <c r="D9" s="227">
        <f>'P&amp;L(Proposed)'!F18</f>
        <v>0</v>
      </c>
      <c r="E9" s="227">
        <f>'P&amp;L(Proposed)'!G18</f>
        <v>269.47775000000001</v>
      </c>
      <c r="F9" s="227">
        <f>'P&amp;L(Proposed)'!H18</f>
        <v>503.03348749999998</v>
      </c>
      <c r="G9" s="227">
        <f>'P&amp;L(Proposed)'!I18</f>
        <v>436.127799375</v>
      </c>
      <c r="H9" s="227">
        <f>'P&amp;L(Proposed)'!J18</f>
        <v>378.40303096875004</v>
      </c>
      <c r="I9" s="227">
        <f>'P&amp;L(Proposed)'!K18</f>
        <v>328.56753767343753</v>
      </c>
      <c r="J9" s="227">
        <f>'P&amp;L(Proposed)'!L18</f>
        <v>285.51487223742186</v>
      </c>
      <c r="K9" s="227">
        <f>'P&amp;L(Proposed)'!M18</f>
        <v>248.2968600953086</v>
      </c>
      <c r="L9" s="227">
        <f>'P&amp;L(Proposed)'!N18</f>
        <v>216.10062790516233</v>
      </c>
      <c r="M9" s="227">
        <f>'P&amp;L(Proposed)'!O18</f>
        <v>188.22900086112298</v>
      </c>
      <c r="N9" s="227">
        <f>'P&amp;L(Proposed)'!P18</f>
        <v>164.08377115951606</v>
      </c>
      <c r="O9" s="227">
        <f>'P&amp;L(Proposed)'!Q18</f>
        <v>143.15141387039398</v>
      </c>
      <c r="P9" s="227"/>
    </row>
    <row r="11" spans="2:16" x14ac:dyDescent="0.25">
      <c r="B11" s="216" t="s">
        <v>870</v>
      </c>
      <c r="C11" s="227">
        <f>-'BS(Proposed)'!C71</f>
        <v>0</v>
      </c>
      <c r="D11" s="227">
        <f>-'BS(Proposed)'!D71</f>
        <v>0</v>
      </c>
      <c r="E11" s="227">
        <f>-'BS(Proposed)'!E71</f>
        <v>-205.59701303125001</v>
      </c>
      <c r="F11" s="227">
        <f>-'BS(Proposed)'!F71</f>
        <v>-1277.4262825937496</v>
      </c>
      <c r="G11" s="227">
        <f>-'BS(Proposed)'!G71</f>
        <v>-277.1543631250006</v>
      </c>
      <c r="H11" s="227">
        <f>-'BS(Proposed)'!H71</f>
        <v>-118.4972891249995</v>
      </c>
      <c r="I11" s="227">
        <f>-'BS(Proposed)'!I71</f>
        <v>-226.00863162500127</v>
      </c>
      <c r="J11" s="227">
        <f>-'BS(Proposed)'!J71</f>
        <v>92.357512875000793</v>
      </c>
      <c r="K11" s="227">
        <f>-'BS(Proposed)'!K71</f>
        <v>-137.25200512500078</v>
      </c>
      <c r="L11" s="227">
        <f>-'BS(Proposed)'!L71</f>
        <v>199.5506798750007</v>
      </c>
      <c r="M11" s="227">
        <f>-'BS(Proposed)'!M71</f>
        <v>-68.24883812500002</v>
      </c>
      <c r="N11" s="227">
        <f>-'BS(Proposed)'!N71</f>
        <v>-17.19794312500062</v>
      </c>
      <c r="O11" s="227">
        <f>-'BS(Proposed)'!O71</f>
        <v>124.71966437500055</v>
      </c>
      <c r="P11" s="227"/>
    </row>
    <row r="12" spans="2:16" x14ac:dyDescent="0.25">
      <c r="B12" s="216" t="s">
        <v>874</v>
      </c>
      <c r="C12" s="227">
        <f>-'Dep(Proposed)'!C32</f>
        <v>-945.2</v>
      </c>
      <c r="D12" s="227">
        <f>-'Dep(Proposed)'!D32</f>
        <v>-2436.7399999999998</v>
      </c>
      <c r="E12" s="227">
        <f>-'Dep(Proposed)'!E32</f>
        <v>-976.45</v>
      </c>
      <c r="F12" s="227">
        <f>-'Dep(Proposed)'!F32</f>
        <v>0</v>
      </c>
      <c r="G12" s="227">
        <f>-'Dep(Proposed)'!G32</f>
        <v>0</v>
      </c>
      <c r="H12" s="227">
        <f>-'Dep(Proposed)'!H32</f>
        <v>0</v>
      </c>
      <c r="I12" s="227">
        <f>-'Dep(Proposed)'!I32</f>
        <v>0</v>
      </c>
      <c r="J12" s="227">
        <f>-'Dep(Proposed)'!J32</f>
        <v>0</v>
      </c>
      <c r="K12" s="227">
        <f>-'Dep(Proposed)'!K32</f>
        <v>0</v>
      </c>
      <c r="L12" s="227">
        <f>-'Dep(Proposed)'!L32</f>
        <v>0</v>
      </c>
      <c r="M12" s="227">
        <f>-'Dep(Proposed)'!M32</f>
        <v>0</v>
      </c>
      <c r="N12" s="227">
        <f>-'Dep(Proposed)'!N32</f>
        <v>0</v>
      </c>
      <c r="O12" s="227">
        <f>-'Dep(Proposed)'!O32</f>
        <v>0</v>
      </c>
      <c r="P12" s="227"/>
    </row>
    <row r="14" spans="2:16" x14ac:dyDescent="0.25">
      <c r="B14" s="216" t="s">
        <v>875</v>
      </c>
      <c r="C14" s="227">
        <f>C7+C9+C11+C12</f>
        <v>-945.2</v>
      </c>
      <c r="D14" s="227">
        <f t="shared" ref="D14:O14" si="3">D7+D9+D11+D12</f>
        <v>-2436.7399999999998</v>
      </c>
      <c r="E14" s="227">
        <f t="shared" si="3"/>
        <v>-1030.7170850218749</v>
      </c>
      <c r="F14" s="227">
        <f t="shared" si="3"/>
        <v>197.66040030500062</v>
      </c>
      <c r="G14" s="227">
        <f t="shared" si="3"/>
        <v>927.58745507000049</v>
      </c>
      <c r="H14" s="227">
        <f t="shared" si="3"/>
        <v>1103.3432124887991</v>
      </c>
      <c r="I14" s="227">
        <f t="shared" si="3"/>
        <v>1004.799162464114</v>
      </c>
      <c r="J14" s="227">
        <f t="shared" si="3"/>
        <v>1233.225884737524</v>
      </c>
      <c r="K14" s="227">
        <f t="shared" si="3"/>
        <v>1226.1391057420158</v>
      </c>
      <c r="L14" s="227">
        <f t="shared" si="3"/>
        <v>1449.0485423831976</v>
      </c>
      <c r="M14" s="227">
        <f t="shared" si="3"/>
        <v>1429.2729280087037</v>
      </c>
      <c r="N14" s="227">
        <f t="shared" si="3"/>
        <v>1553.706923424556</v>
      </c>
      <c r="O14" s="227">
        <f t="shared" si="3"/>
        <v>1768.8430454999648</v>
      </c>
      <c r="P14" s="227"/>
    </row>
    <row r="17" spans="2:16" x14ac:dyDescent="0.25">
      <c r="B17" s="216" t="s">
        <v>876</v>
      </c>
      <c r="C17" s="343">
        <v>0.09</v>
      </c>
    </row>
    <row r="18" spans="2:16" x14ac:dyDescent="0.25">
      <c r="B18" s="216" t="s">
        <v>877</v>
      </c>
      <c r="C18" s="343">
        <v>0.01</v>
      </c>
    </row>
    <row r="19" spans="2:16" x14ac:dyDescent="0.25">
      <c r="B19" s="216" t="s">
        <v>878</v>
      </c>
      <c r="C19" s="343">
        <f>SUM(C17:C18)</f>
        <v>9.9999999999999992E-2</v>
      </c>
    </row>
    <row r="21" spans="2:16" x14ac:dyDescent="0.25">
      <c r="B21" s="216" t="s">
        <v>879</v>
      </c>
      <c r="C21" s="243">
        <v>0.5</v>
      </c>
      <c r="D21" s="243">
        <f>C21+1</f>
        <v>1.5</v>
      </c>
      <c r="E21" s="243">
        <f t="shared" ref="E21:O21" si="4">D21+1</f>
        <v>2.5</v>
      </c>
      <c r="F21" s="243">
        <f t="shared" si="4"/>
        <v>3.5</v>
      </c>
      <c r="G21" s="243">
        <f t="shared" si="4"/>
        <v>4.5</v>
      </c>
      <c r="H21" s="243">
        <f t="shared" si="4"/>
        <v>5.5</v>
      </c>
      <c r="I21" s="243">
        <f t="shared" si="4"/>
        <v>6.5</v>
      </c>
      <c r="J21" s="243">
        <f t="shared" si="4"/>
        <v>7.5</v>
      </c>
      <c r="K21" s="243">
        <f t="shared" si="4"/>
        <v>8.5</v>
      </c>
      <c r="L21" s="243">
        <f t="shared" si="4"/>
        <v>9.5</v>
      </c>
      <c r="M21" s="243">
        <f t="shared" si="4"/>
        <v>10.5</v>
      </c>
      <c r="N21" s="243">
        <f t="shared" si="4"/>
        <v>11.5</v>
      </c>
      <c r="O21" s="243">
        <f t="shared" si="4"/>
        <v>12.5</v>
      </c>
      <c r="P21" s="243"/>
    </row>
    <row r="22" spans="2:16" x14ac:dyDescent="0.25">
      <c r="B22" s="216" t="s">
        <v>880</v>
      </c>
      <c r="C22" s="227">
        <f>1/(1+$C$19)^C21</f>
        <v>0.95346258924559224</v>
      </c>
      <c r="D22" s="227">
        <f t="shared" ref="D22:O22" si="5">1/(1+$C$19)^D21</f>
        <v>0.86678417204144742</v>
      </c>
      <c r="E22" s="227">
        <f t="shared" si="5"/>
        <v>0.78798561094677033</v>
      </c>
      <c r="F22" s="227">
        <f t="shared" si="5"/>
        <v>0.71635055540615489</v>
      </c>
      <c r="G22" s="227">
        <f t="shared" si="5"/>
        <v>0.65122777764195883</v>
      </c>
      <c r="H22" s="227">
        <f t="shared" si="5"/>
        <v>0.59202525240178083</v>
      </c>
      <c r="I22" s="227">
        <f t="shared" si="5"/>
        <v>0.53820477491070973</v>
      </c>
      <c r="J22" s="227">
        <f t="shared" si="5"/>
        <v>0.48927706810064514</v>
      </c>
      <c r="K22" s="227">
        <f t="shared" si="5"/>
        <v>0.44479733463695009</v>
      </c>
      <c r="L22" s="227">
        <f t="shared" si="5"/>
        <v>0.4043612133063183</v>
      </c>
      <c r="M22" s="227">
        <f t="shared" si="5"/>
        <v>0.36760110300574383</v>
      </c>
      <c r="N22" s="227">
        <f t="shared" si="5"/>
        <v>0.33418282091431251</v>
      </c>
      <c r="O22" s="227">
        <f t="shared" si="5"/>
        <v>0.30380256446755688</v>
      </c>
      <c r="P22" s="227"/>
    </row>
    <row r="24" spans="2:16" x14ac:dyDescent="0.25">
      <c r="B24" s="216" t="s">
        <v>881</v>
      </c>
      <c r="C24" s="227">
        <f>C14*C22</f>
        <v>-901.21283935493386</v>
      </c>
      <c r="D24" s="227">
        <f t="shared" ref="D24:O24" si="6">D14*D22</f>
        <v>-2112.1276633802763</v>
      </c>
      <c r="E24" s="227">
        <f t="shared" si="6"/>
        <v>-812.19023195423631</v>
      </c>
      <c r="F24" s="227">
        <f t="shared" si="6"/>
        <v>141.59413754029009</v>
      </c>
      <c r="G24" s="227">
        <f t="shared" si="6"/>
        <v>604.0707169337968</v>
      </c>
      <c r="H24" s="227">
        <f t="shared" si="6"/>
        <v>653.20704385947295</v>
      </c>
      <c r="I24" s="227">
        <f t="shared" si="6"/>
        <v>540.78770706446812</v>
      </c>
      <c r="J24" s="227">
        <f t="shared" si="6"/>
        <v>603.38914519019988</v>
      </c>
      <c r="K24" s="227">
        <f t="shared" si="6"/>
        <v>545.38340612818217</v>
      </c>
      <c r="L24" s="227">
        <f t="shared" si="6"/>
        <v>585.93902673782179</v>
      </c>
      <c r="M24" s="227">
        <f t="shared" si="6"/>
        <v>525.40230483224855</v>
      </c>
      <c r="N24" s="227">
        <f t="shared" si="6"/>
        <v>519.2221625441158</v>
      </c>
      <c r="O24" s="227">
        <f t="shared" si="6"/>
        <v>537.37905336349274</v>
      </c>
      <c r="P24" s="227"/>
    </row>
    <row r="25" spans="2:16" x14ac:dyDescent="0.25"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</row>
    <row r="26" spans="2:16" hidden="1" x14ac:dyDescent="0.25">
      <c r="B26" s="216" t="s">
        <v>882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>
        <f>O24*(1+$C$27)/(C19-C27)</f>
        <v>11284.96012063335</v>
      </c>
      <c r="P26" s="227"/>
    </row>
    <row r="27" spans="2:16" hidden="1" x14ac:dyDescent="0.25">
      <c r="B27" s="216" t="s">
        <v>883</v>
      </c>
      <c r="C27" s="502">
        <v>0.05</v>
      </c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</row>
    <row r="28" spans="2:16" hidden="1" x14ac:dyDescent="0.25">
      <c r="C28" s="502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</row>
    <row r="29" spans="2:16" hidden="1" x14ac:dyDescent="0.25">
      <c r="B29" s="216" t="s">
        <v>884</v>
      </c>
      <c r="C29" s="502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>
        <f>O26*O22</f>
        <v>3428.3998245625216</v>
      </c>
      <c r="P29" s="227"/>
    </row>
    <row r="30" spans="2:16" hidden="1" x14ac:dyDescent="0.25">
      <c r="C30" s="502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</row>
    <row r="31" spans="2:16" hidden="1" x14ac:dyDescent="0.25">
      <c r="B31" s="216" t="s">
        <v>885</v>
      </c>
      <c r="C31" s="413">
        <f>C24+C29</f>
        <v>-901.21283935493386</v>
      </c>
      <c r="D31" s="413">
        <f t="shared" ref="D31:O31" si="7">D24+D29</f>
        <v>-2112.1276633802763</v>
      </c>
      <c r="E31" s="413">
        <f t="shared" si="7"/>
        <v>-812.19023195423631</v>
      </c>
      <c r="F31" s="413">
        <f t="shared" si="7"/>
        <v>141.59413754029009</v>
      </c>
      <c r="G31" s="413">
        <f t="shared" si="7"/>
        <v>604.0707169337968</v>
      </c>
      <c r="H31" s="413">
        <f t="shared" si="7"/>
        <v>653.20704385947295</v>
      </c>
      <c r="I31" s="413">
        <f t="shared" si="7"/>
        <v>540.78770706446812</v>
      </c>
      <c r="J31" s="413">
        <f t="shared" si="7"/>
        <v>603.38914519019988</v>
      </c>
      <c r="K31" s="413">
        <f t="shared" si="7"/>
        <v>545.38340612818217</v>
      </c>
      <c r="L31" s="413">
        <f t="shared" si="7"/>
        <v>585.93902673782179</v>
      </c>
      <c r="M31" s="413">
        <f t="shared" si="7"/>
        <v>525.40230483224855</v>
      </c>
      <c r="N31" s="413">
        <f t="shared" si="7"/>
        <v>519.2221625441158</v>
      </c>
      <c r="O31" s="413">
        <f t="shared" si="7"/>
        <v>3965.7788779260145</v>
      </c>
      <c r="P31" s="227"/>
    </row>
    <row r="32" spans="2:16" hidden="1" x14ac:dyDescent="0.25"/>
    <row r="33" spans="2:3" hidden="1" x14ac:dyDescent="0.25">
      <c r="B33" s="216" t="s">
        <v>846</v>
      </c>
      <c r="C33" s="225">
        <f>SUM(C31:O31)</f>
        <v>4859.2437940671643</v>
      </c>
    </row>
    <row r="34" spans="2:3" hidden="1" x14ac:dyDescent="0.25"/>
    <row r="35" spans="2:3" hidden="1" x14ac:dyDescent="0.25"/>
    <row r="36" spans="2:3" hidden="1" x14ac:dyDescent="0.25">
      <c r="B36" s="216" t="s">
        <v>886</v>
      </c>
      <c r="C36" s="425">
        <f>XIRR(C14:O14,C1:O1,0.2)</f>
        <v>0.15421375632286075</v>
      </c>
    </row>
    <row r="38" spans="2:3" x14ac:dyDescent="0.25">
      <c r="B38" s="216" t="s">
        <v>846</v>
      </c>
      <c r="C38" s="225">
        <f>SUM(C24:O24)</f>
        <v>1430.8439695046425</v>
      </c>
    </row>
    <row r="40" spans="2:3" x14ac:dyDescent="0.25">
      <c r="B40" s="216" t="s">
        <v>751</v>
      </c>
      <c r="C40" s="425">
        <f>XIRR(C24:O24,C1:O1,0.2)</f>
        <v>4.9349495768547066E-2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345"/>
  <sheetViews>
    <sheetView showGridLines="0" view="pageBreakPreview" topLeftCell="A61" zoomScaleNormal="100" zoomScaleSheetLayoutView="100" workbookViewId="0">
      <selection activeCell="C69" sqref="C69:Q72"/>
    </sheetView>
  </sheetViews>
  <sheetFormatPr defaultColWidth="9.140625" defaultRowHeight="15" x14ac:dyDescent="0.25"/>
  <cols>
    <col min="1" max="1" width="12.42578125" style="216" customWidth="1"/>
    <col min="2" max="2" width="5" style="216" customWidth="1"/>
    <col min="3" max="3" width="23.85546875" style="216" customWidth="1"/>
    <col min="4" max="4" width="20.140625" style="216" customWidth="1"/>
    <col min="5" max="17" width="10.7109375" style="218" customWidth="1"/>
    <col min="18" max="16384" width="9.140625" style="216"/>
  </cols>
  <sheetData>
    <row r="2" spans="1:55" x14ac:dyDescent="0.25">
      <c r="B2" s="509" t="str">
        <f>'Dep(Proposed)'!B2</f>
        <v>MANCARE LABORATORIES PVT. LTD. Plot  No. -11, Pharma City, Selaqui Industrial Area, Dehradun, Uttarakhand- 248011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</row>
    <row r="3" spans="1:55" ht="10.5" customHeight="1" x14ac:dyDescent="0.25"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</row>
    <row r="4" spans="1:55" x14ac:dyDescent="0.25">
      <c r="A4" s="510" t="s">
        <v>117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</row>
    <row r="5" spans="1:55" ht="12" customHeight="1" x14ac:dyDescent="0.25">
      <c r="A5" s="253"/>
      <c r="B5" s="253"/>
      <c r="C5" s="436"/>
      <c r="D5" s="436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</row>
    <row r="6" spans="1:55" s="242" customFormat="1" ht="16.5" customHeight="1" x14ac:dyDescent="0.25">
      <c r="A6" s="250" t="s">
        <v>772</v>
      </c>
      <c r="B6" s="311"/>
      <c r="C6" s="311" t="s">
        <v>773</v>
      </c>
      <c r="D6" s="250" t="s">
        <v>110</v>
      </c>
      <c r="E6" s="250" t="s">
        <v>49</v>
      </c>
      <c r="F6" s="250" t="s">
        <v>50</v>
      </c>
      <c r="G6" s="250" t="s">
        <v>51</v>
      </c>
      <c r="H6" s="250" t="s">
        <v>52</v>
      </c>
      <c r="I6" s="250" t="s">
        <v>53</v>
      </c>
      <c r="J6" s="250" t="s">
        <v>54</v>
      </c>
      <c r="K6" s="250" t="s">
        <v>55</v>
      </c>
      <c r="L6" s="250" t="s">
        <v>56</v>
      </c>
      <c r="M6" s="250" t="s">
        <v>57</v>
      </c>
      <c r="N6" s="250" t="s">
        <v>62</v>
      </c>
      <c r="O6" s="250" t="s">
        <v>63</v>
      </c>
      <c r="P6" s="250" t="s">
        <v>64</v>
      </c>
      <c r="Q6" s="250" t="s">
        <v>65</v>
      </c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</row>
    <row r="7" spans="1:55" x14ac:dyDescent="0.25">
      <c r="A7" s="438"/>
      <c r="B7" s="253"/>
      <c r="C7" s="253"/>
      <c r="D7" s="253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AZ7" s="225"/>
      <c r="BA7" s="225"/>
      <c r="BB7" s="225"/>
      <c r="BC7" s="225"/>
    </row>
    <row r="8" spans="1:55" x14ac:dyDescent="0.25">
      <c r="A8" s="438"/>
      <c r="B8" s="439">
        <v>1</v>
      </c>
      <c r="C8" s="253" t="s">
        <v>32</v>
      </c>
      <c r="D8" s="318">
        <v>0</v>
      </c>
      <c r="E8" s="318">
        <v>0</v>
      </c>
      <c r="F8" s="318">
        <v>0</v>
      </c>
      <c r="G8" s="318">
        <f>Capacity!D34</f>
        <v>351.17971874999995</v>
      </c>
      <c r="H8" s="318">
        <f>Capacity!E34</f>
        <v>5418.2013749999996</v>
      </c>
      <c r="I8" s="318">
        <f>Capacity!F34</f>
        <v>6020.2237500000001</v>
      </c>
      <c r="J8" s="318">
        <f>Capacity!G34</f>
        <v>6622.2461249999997</v>
      </c>
      <c r="K8" s="318">
        <f>Capacity!H34</f>
        <v>7224.268500000001</v>
      </c>
      <c r="L8" s="318">
        <f>Capacity!I34</f>
        <v>7826.2908750000015</v>
      </c>
      <c r="M8" s="318">
        <f>Capacity!J34</f>
        <v>8428.3132500000029</v>
      </c>
      <c r="N8" s="318">
        <f>Capacity!K34</f>
        <v>9030.3356250000015</v>
      </c>
      <c r="O8" s="318">
        <f>Capacity!L34</f>
        <v>9632.3580000000038</v>
      </c>
      <c r="P8" s="318">
        <f>Capacity!M34</f>
        <v>10234.380375000004</v>
      </c>
      <c r="Q8" s="318">
        <f>Capacity!N34</f>
        <v>10836.402750000005</v>
      </c>
      <c r="AZ8" s="225"/>
      <c r="BA8" s="225"/>
      <c r="BB8" s="225"/>
      <c r="BC8" s="225"/>
    </row>
    <row r="9" spans="1:55" x14ac:dyDescent="0.25">
      <c r="A9" s="438"/>
      <c r="B9" s="439"/>
      <c r="C9" s="253" t="s">
        <v>6</v>
      </c>
      <c r="D9" s="318">
        <v>0</v>
      </c>
      <c r="E9" s="318">
        <v>0</v>
      </c>
      <c r="F9" s="318">
        <v>0</v>
      </c>
      <c r="G9" s="318">
        <v>3</v>
      </c>
      <c r="H9" s="318">
        <f>G9*1.1</f>
        <v>3.3000000000000003</v>
      </c>
      <c r="I9" s="318">
        <f t="shared" ref="I9:Q9" si="0">H9*1.1</f>
        <v>3.6300000000000008</v>
      </c>
      <c r="J9" s="318">
        <f t="shared" si="0"/>
        <v>3.9930000000000012</v>
      </c>
      <c r="K9" s="318">
        <f t="shared" si="0"/>
        <v>4.3923000000000014</v>
      </c>
      <c r="L9" s="318">
        <f t="shared" si="0"/>
        <v>4.8315300000000017</v>
      </c>
      <c r="M9" s="318">
        <f t="shared" si="0"/>
        <v>5.3146830000000023</v>
      </c>
      <c r="N9" s="318">
        <f t="shared" si="0"/>
        <v>5.8461513000000034</v>
      </c>
      <c r="O9" s="318">
        <f t="shared" si="0"/>
        <v>6.4307664300000038</v>
      </c>
      <c r="P9" s="318">
        <f t="shared" si="0"/>
        <v>7.0738430730000044</v>
      </c>
      <c r="Q9" s="318">
        <f t="shared" si="0"/>
        <v>7.7812273803000052</v>
      </c>
      <c r="AZ9" s="225"/>
      <c r="BA9" s="225"/>
      <c r="BB9" s="225"/>
      <c r="BC9" s="225"/>
    </row>
    <row r="10" spans="1:55" x14ac:dyDescent="0.25">
      <c r="A10" s="253"/>
      <c r="B10" s="253"/>
      <c r="C10" s="253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AZ10" s="225"/>
      <c r="BA10" s="225"/>
      <c r="BB10" s="225"/>
      <c r="BC10" s="225"/>
    </row>
    <row r="11" spans="1:55" s="277" customFormat="1" x14ac:dyDescent="0.25">
      <c r="A11" s="305"/>
      <c r="B11" s="440"/>
      <c r="C11" s="441" t="s">
        <v>7</v>
      </c>
      <c r="D11" s="442">
        <f>SUM(D8:D9)</f>
        <v>0</v>
      </c>
      <c r="E11" s="442">
        <f>SUM(E8:E9)</f>
        <v>0</v>
      </c>
      <c r="F11" s="442">
        <f t="shared" ref="F11:Q11" si="1">SUM(F8:F9)</f>
        <v>0</v>
      </c>
      <c r="G11" s="442">
        <f t="shared" si="1"/>
        <v>354.17971874999995</v>
      </c>
      <c r="H11" s="442">
        <f t="shared" si="1"/>
        <v>5421.5013749999998</v>
      </c>
      <c r="I11" s="442">
        <f t="shared" si="1"/>
        <v>6023.8537500000002</v>
      </c>
      <c r="J11" s="442">
        <f t="shared" si="1"/>
        <v>6626.2391250000001</v>
      </c>
      <c r="K11" s="442">
        <f t="shared" si="1"/>
        <v>7228.6608000000015</v>
      </c>
      <c r="L11" s="442">
        <f t="shared" si="1"/>
        <v>7831.1224050000019</v>
      </c>
      <c r="M11" s="442">
        <f t="shared" si="1"/>
        <v>8433.6279330000034</v>
      </c>
      <c r="N11" s="442">
        <f t="shared" si="1"/>
        <v>9036.1817763000017</v>
      </c>
      <c r="O11" s="442">
        <f t="shared" si="1"/>
        <v>9638.7887664300033</v>
      </c>
      <c r="P11" s="442">
        <f t="shared" si="1"/>
        <v>10241.454218073004</v>
      </c>
      <c r="Q11" s="442">
        <f t="shared" si="1"/>
        <v>10844.183977380304</v>
      </c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78"/>
      <c r="BA11" s="278"/>
      <c r="BB11" s="278"/>
      <c r="BC11" s="278"/>
    </row>
    <row r="12" spans="1:55" x14ac:dyDescent="0.25">
      <c r="A12" s="253"/>
      <c r="B12" s="439"/>
      <c r="C12" s="253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AZ12" s="225"/>
      <c r="BA12" s="225"/>
      <c r="BB12" s="225"/>
      <c r="BC12" s="225"/>
    </row>
    <row r="13" spans="1:55" x14ac:dyDescent="0.25">
      <c r="A13" s="253"/>
      <c r="B13" s="439">
        <v>2</v>
      </c>
      <c r="C13" s="253" t="s">
        <v>8</v>
      </c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AZ13" s="225"/>
      <c r="BA13" s="225"/>
      <c r="BB13" s="225"/>
      <c r="BC13" s="225"/>
    </row>
    <row r="14" spans="1:55" x14ac:dyDescent="0.25">
      <c r="A14" s="443">
        <v>0.7</v>
      </c>
      <c r="B14" s="439" t="s">
        <v>9</v>
      </c>
      <c r="C14" s="253" t="s">
        <v>34</v>
      </c>
      <c r="D14" s="318">
        <v>0</v>
      </c>
      <c r="E14" s="318">
        <v>0</v>
      </c>
      <c r="F14" s="318">
        <v>0</v>
      </c>
      <c r="G14" s="444">
        <f>G8*A14</f>
        <v>245.82580312499994</v>
      </c>
      <c r="H14" s="318">
        <f t="shared" ref="H14:Q14" si="2">H8*$A$14</f>
        <v>3792.7409624999996</v>
      </c>
      <c r="I14" s="318">
        <f t="shared" si="2"/>
        <v>4214.1566249999996</v>
      </c>
      <c r="J14" s="318">
        <f t="shared" si="2"/>
        <v>4635.5722874999992</v>
      </c>
      <c r="K14" s="318">
        <f t="shared" si="2"/>
        <v>5056.9879500000006</v>
      </c>
      <c r="L14" s="318">
        <f t="shared" si="2"/>
        <v>5478.4036125000011</v>
      </c>
      <c r="M14" s="318">
        <f t="shared" si="2"/>
        <v>5899.8192750000017</v>
      </c>
      <c r="N14" s="318">
        <f t="shared" si="2"/>
        <v>6321.2349375000003</v>
      </c>
      <c r="O14" s="318">
        <f t="shared" si="2"/>
        <v>6742.6506000000027</v>
      </c>
      <c r="P14" s="318">
        <f t="shared" si="2"/>
        <v>7164.0662625000023</v>
      </c>
      <c r="Q14" s="318">
        <f t="shared" si="2"/>
        <v>7585.4819250000028</v>
      </c>
      <c r="AZ14" s="225"/>
      <c r="BA14" s="225"/>
      <c r="BB14" s="225"/>
      <c r="BC14" s="225"/>
    </row>
    <row r="15" spans="1:55" x14ac:dyDescent="0.25">
      <c r="A15" s="253"/>
      <c r="B15" s="439" t="s">
        <v>11</v>
      </c>
      <c r="C15" s="253" t="s">
        <v>10</v>
      </c>
      <c r="D15" s="445">
        <v>0</v>
      </c>
      <c r="E15" s="445">
        <v>0</v>
      </c>
      <c r="F15" s="445">
        <v>0</v>
      </c>
      <c r="G15" s="445">
        <f>Manpower!H93</f>
        <v>14.220499999999999</v>
      </c>
      <c r="H15" s="445">
        <f>Manpower!I93</f>
        <v>234.97954200000001</v>
      </c>
      <c r="I15" s="445">
        <f>Manpower!J93</f>
        <v>253.62871199999998</v>
      </c>
      <c r="J15" s="445">
        <f>Manpower!K93</f>
        <v>298.79998560720003</v>
      </c>
      <c r="K15" s="445">
        <f>Manpower!L93</f>
        <v>332.48289307564812</v>
      </c>
      <c r="L15" s="445">
        <f>Manpower!M93</f>
        <v>367.39359684859107</v>
      </c>
      <c r="M15" s="445">
        <f>Manpower!N93</f>
        <v>403.56773561522164</v>
      </c>
      <c r="N15" s="445">
        <f>Manpower!O93</f>
        <v>441.04188249377802</v>
      </c>
      <c r="O15" s="445">
        <f>Manpower!P93</f>
        <v>479.85356815323047</v>
      </c>
      <c r="P15" s="445">
        <f>Manpower!Q93</f>
        <v>520.0413044860635</v>
      </c>
      <c r="Q15" s="445">
        <f>Manpower!R93</f>
        <v>561.64460884494872</v>
      </c>
      <c r="AZ15" s="225"/>
      <c r="BA15" s="225"/>
      <c r="BB15" s="225"/>
      <c r="BC15" s="225"/>
    </row>
    <row r="16" spans="1:55" x14ac:dyDescent="0.25">
      <c r="A16" s="443">
        <v>2.5000000000000001E-2</v>
      </c>
      <c r="B16" s="439" t="s">
        <v>13</v>
      </c>
      <c r="C16" s="253" t="s">
        <v>12</v>
      </c>
      <c r="D16" s="318">
        <v>0</v>
      </c>
      <c r="E16" s="318">
        <v>0</v>
      </c>
      <c r="F16" s="318">
        <v>0</v>
      </c>
      <c r="G16" s="318">
        <f t="shared" ref="G16:Q16" si="3">G8*$A$16</f>
        <v>8.7794929687499987</v>
      </c>
      <c r="H16" s="318">
        <f t="shared" si="3"/>
        <v>135.455034375</v>
      </c>
      <c r="I16" s="318">
        <f t="shared" si="3"/>
        <v>150.50559375</v>
      </c>
      <c r="J16" s="318">
        <f t="shared" si="3"/>
        <v>165.55615312500001</v>
      </c>
      <c r="K16" s="318">
        <f t="shared" si="3"/>
        <v>180.60671250000004</v>
      </c>
      <c r="L16" s="318">
        <f t="shared" si="3"/>
        <v>195.65727187500005</v>
      </c>
      <c r="M16" s="318">
        <f t="shared" si="3"/>
        <v>210.70783125000008</v>
      </c>
      <c r="N16" s="318">
        <f t="shared" si="3"/>
        <v>225.75839062500006</v>
      </c>
      <c r="O16" s="318">
        <f t="shared" si="3"/>
        <v>240.8089500000001</v>
      </c>
      <c r="P16" s="318">
        <f t="shared" si="3"/>
        <v>255.85950937500013</v>
      </c>
      <c r="Q16" s="318">
        <f t="shared" si="3"/>
        <v>270.91006875000011</v>
      </c>
      <c r="AZ16" s="225"/>
      <c r="BA16" s="225"/>
      <c r="BB16" s="225"/>
      <c r="BC16" s="225"/>
    </row>
    <row r="17" spans="1:55" x14ac:dyDescent="0.25">
      <c r="A17" s="443">
        <v>0.01</v>
      </c>
      <c r="B17" s="439" t="s">
        <v>14</v>
      </c>
      <c r="C17" s="253" t="s">
        <v>35</v>
      </c>
      <c r="D17" s="318">
        <v>0</v>
      </c>
      <c r="E17" s="318">
        <v>0</v>
      </c>
      <c r="F17" s="318">
        <v>0</v>
      </c>
      <c r="G17" s="318">
        <f>G8*$A$17</f>
        <v>3.5117971874999996</v>
      </c>
      <c r="H17" s="318">
        <f t="shared" ref="H17:Q17" si="4">H8*$A$17*1.05</f>
        <v>56.891114437500001</v>
      </c>
      <c r="I17" s="318">
        <f t="shared" si="4"/>
        <v>63.212349375000002</v>
      </c>
      <c r="J17" s="318">
        <f t="shared" si="4"/>
        <v>69.533584312499997</v>
      </c>
      <c r="K17" s="318">
        <f t="shared" si="4"/>
        <v>75.854819250000006</v>
      </c>
      <c r="L17" s="318">
        <f t="shared" si="4"/>
        <v>82.176054187500029</v>
      </c>
      <c r="M17" s="318">
        <f t="shared" si="4"/>
        <v>88.497289125000037</v>
      </c>
      <c r="N17" s="318">
        <f t="shared" si="4"/>
        <v>94.818524062500032</v>
      </c>
      <c r="O17" s="318">
        <f t="shared" si="4"/>
        <v>101.13975900000004</v>
      </c>
      <c r="P17" s="318">
        <f t="shared" si="4"/>
        <v>107.46099393750005</v>
      </c>
      <c r="Q17" s="318">
        <f t="shared" si="4"/>
        <v>113.78222887500006</v>
      </c>
      <c r="AZ17" s="225"/>
      <c r="BA17" s="225"/>
      <c r="BB17" s="225"/>
      <c r="BC17" s="225"/>
    </row>
    <row r="18" spans="1:55" x14ac:dyDescent="0.25">
      <c r="A18" s="446"/>
      <c r="B18" s="439" t="s">
        <v>33</v>
      </c>
      <c r="C18" s="253" t="s">
        <v>0</v>
      </c>
      <c r="D18" s="318">
        <f>'Dep(Proposed)'!C48</f>
        <v>0</v>
      </c>
      <c r="E18" s="318">
        <f>'Dep(Proposed)'!D48</f>
        <v>0</v>
      </c>
      <c r="F18" s="318">
        <f>'Dep(Proposed)'!E48</f>
        <v>0</v>
      </c>
      <c r="G18" s="318">
        <f>'Dep(Proposed)'!F48</f>
        <v>269.47775000000001</v>
      </c>
      <c r="H18" s="318">
        <f>'Dep(Proposed)'!G48</f>
        <v>503.03348749999998</v>
      </c>
      <c r="I18" s="318">
        <f>'Dep(Proposed)'!H48</f>
        <v>436.127799375</v>
      </c>
      <c r="J18" s="318">
        <f>'Dep(Proposed)'!I48</f>
        <v>378.40303096875004</v>
      </c>
      <c r="K18" s="318">
        <f>'Dep(Proposed)'!J48</f>
        <v>328.56753767343753</v>
      </c>
      <c r="L18" s="318">
        <f>'Dep(Proposed)'!K48</f>
        <v>285.51487223742186</v>
      </c>
      <c r="M18" s="318">
        <f>'Dep(Proposed)'!L48</f>
        <v>248.2968600953086</v>
      </c>
      <c r="N18" s="318">
        <f>'Dep(Proposed)'!M48</f>
        <v>216.10062790516233</v>
      </c>
      <c r="O18" s="318">
        <f>'Dep(Proposed)'!N48</f>
        <v>188.22900086112298</v>
      </c>
      <c r="P18" s="318">
        <f>'Dep(Proposed)'!O48</f>
        <v>164.08377115951606</v>
      </c>
      <c r="Q18" s="318">
        <f>'Dep(Proposed)'!P48</f>
        <v>143.15141387039398</v>
      </c>
      <c r="AZ18" s="225"/>
      <c r="BA18" s="225"/>
      <c r="BB18" s="225"/>
      <c r="BC18" s="225"/>
    </row>
    <row r="19" spans="1:55" s="277" customFormat="1" x14ac:dyDescent="0.25">
      <c r="A19" s="253"/>
      <c r="B19" s="253"/>
      <c r="C19" s="253"/>
      <c r="D19" s="442">
        <f t="shared" ref="D19" si="5">SUM(D14:D18)</f>
        <v>0</v>
      </c>
      <c r="E19" s="442">
        <f t="shared" ref="E19:Q19" si="6">SUM(E14:E18)</f>
        <v>0</v>
      </c>
      <c r="F19" s="442">
        <f t="shared" si="6"/>
        <v>0</v>
      </c>
      <c r="G19" s="442">
        <f t="shared" si="6"/>
        <v>541.81534328124997</v>
      </c>
      <c r="H19" s="442">
        <f t="shared" si="6"/>
        <v>4723.1001408124994</v>
      </c>
      <c r="I19" s="442">
        <f t="shared" si="6"/>
        <v>5117.631079499999</v>
      </c>
      <c r="J19" s="442">
        <f t="shared" si="6"/>
        <v>5547.8650415134489</v>
      </c>
      <c r="K19" s="442">
        <f t="shared" si="6"/>
        <v>5974.4999124990863</v>
      </c>
      <c r="L19" s="442">
        <f t="shared" si="6"/>
        <v>6409.1454076485143</v>
      </c>
      <c r="M19" s="442">
        <f t="shared" si="6"/>
        <v>6850.8889910855323</v>
      </c>
      <c r="N19" s="442">
        <f t="shared" si="6"/>
        <v>7298.9543625864408</v>
      </c>
      <c r="O19" s="442">
        <f t="shared" si="6"/>
        <v>7752.6818780143558</v>
      </c>
      <c r="P19" s="442">
        <f t="shared" si="6"/>
        <v>8211.5118414580829</v>
      </c>
      <c r="Q19" s="442">
        <f t="shared" si="6"/>
        <v>8674.9702453403443</v>
      </c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78"/>
      <c r="BA19" s="278"/>
      <c r="BB19" s="278"/>
      <c r="BC19" s="278"/>
    </row>
    <row r="20" spans="1:55" x14ac:dyDescent="0.25">
      <c r="A20" s="438"/>
      <c r="B20" s="253"/>
      <c r="C20" s="253" t="s">
        <v>733</v>
      </c>
      <c r="D20" s="318">
        <v>0</v>
      </c>
      <c r="E20" s="318">
        <v>0</v>
      </c>
      <c r="F20" s="318">
        <f>E25</f>
        <v>0</v>
      </c>
      <c r="G20" s="318">
        <f t="shared" ref="G20:Q21" si="7">F25</f>
        <v>0</v>
      </c>
      <c r="H20" s="318">
        <f t="shared" si="7"/>
        <v>5</v>
      </c>
      <c r="I20" s="318">
        <f t="shared" si="7"/>
        <v>303.41927699999997</v>
      </c>
      <c r="J20" s="318">
        <f t="shared" si="7"/>
        <v>404.55903600000005</v>
      </c>
      <c r="K20" s="318">
        <f t="shared" si="7"/>
        <v>482.09951789999997</v>
      </c>
      <c r="L20" s="318">
        <f t="shared" si="7"/>
        <v>525.92674680000016</v>
      </c>
      <c r="M20" s="318">
        <f t="shared" si="7"/>
        <v>482.09951790000014</v>
      </c>
      <c r="N20" s="318">
        <f t="shared" si="7"/>
        <v>519.18409620000023</v>
      </c>
      <c r="O20" s="318">
        <f t="shared" si="7"/>
        <v>379.27409625000001</v>
      </c>
      <c r="P20" s="318">
        <f t="shared" si="7"/>
        <v>404.55903600000016</v>
      </c>
      <c r="Q20" s="318">
        <f t="shared" si="7"/>
        <v>429.84397575000014</v>
      </c>
      <c r="AZ20" s="225"/>
      <c r="BA20" s="225"/>
      <c r="BB20" s="225"/>
      <c r="BC20" s="225"/>
    </row>
    <row r="21" spans="1:55" ht="30" x14ac:dyDescent="0.25">
      <c r="A21" s="438"/>
      <c r="B21" s="253"/>
      <c r="C21" s="447" t="s">
        <v>734</v>
      </c>
      <c r="D21" s="318">
        <v>0</v>
      </c>
      <c r="E21" s="318">
        <v>0</v>
      </c>
      <c r="F21" s="318">
        <f>E27</f>
        <v>0</v>
      </c>
      <c r="G21" s="318">
        <f>F27</f>
        <v>0</v>
      </c>
      <c r="H21" s="318">
        <f>G26</f>
        <v>5</v>
      </c>
      <c r="I21" s="318">
        <f t="shared" si="7"/>
        <v>75.854819249999991</v>
      </c>
      <c r="J21" s="318">
        <f t="shared" si="7"/>
        <v>101.13975900000001</v>
      </c>
      <c r="K21" s="318">
        <f t="shared" si="7"/>
        <v>120.52487947499999</v>
      </c>
      <c r="L21" s="318">
        <f t="shared" si="7"/>
        <v>131.48168670000004</v>
      </c>
      <c r="M21" s="318">
        <f t="shared" si="7"/>
        <v>120.52487947500003</v>
      </c>
      <c r="N21" s="318">
        <f t="shared" si="7"/>
        <v>129.79602405000006</v>
      </c>
      <c r="O21" s="318">
        <f t="shared" si="7"/>
        <v>126.42469875000002</v>
      </c>
      <c r="P21" s="318">
        <f t="shared" si="7"/>
        <v>134.85301200000006</v>
      </c>
      <c r="Q21" s="318">
        <f t="shared" si="7"/>
        <v>143.28132525000007</v>
      </c>
      <c r="AZ21" s="225"/>
      <c r="BA21" s="225"/>
      <c r="BB21" s="225"/>
      <c r="BC21" s="225"/>
    </row>
    <row r="22" spans="1:55" x14ac:dyDescent="0.25">
      <c r="A22" s="438"/>
      <c r="B22" s="253"/>
      <c r="C22" s="253" t="s">
        <v>92</v>
      </c>
      <c r="D22" s="318">
        <v>0</v>
      </c>
      <c r="E22" s="318">
        <v>0</v>
      </c>
      <c r="F22" s="318">
        <f>E27</f>
        <v>0</v>
      </c>
      <c r="G22" s="318">
        <f t="shared" ref="G22:Q22" si="8">F27</f>
        <v>0</v>
      </c>
      <c r="H22" s="318">
        <f t="shared" si="8"/>
        <v>10</v>
      </c>
      <c r="I22" s="318">
        <f t="shared" si="8"/>
        <v>151.70963849999998</v>
      </c>
      <c r="J22" s="318">
        <f t="shared" si="8"/>
        <v>202.27951800000002</v>
      </c>
      <c r="K22" s="318">
        <f t="shared" si="8"/>
        <v>241.04975894999998</v>
      </c>
      <c r="L22" s="318">
        <f t="shared" si="8"/>
        <v>262.96337340000008</v>
      </c>
      <c r="M22" s="318">
        <f t="shared" si="8"/>
        <v>241.04975895000007</v>
      </c>
      <c r="N22" s="318">
        <f t="shared" si="8"/>
        <v>259.59204810000011</v>
      </c>
      <c r="O22" s="318">
        <f t="shared" si="8"/>
        <v>252.84939750000004</v>
      </c>
      <c r="P22" s="318">
        <f t="shared" si="8"/>
        <v>269.70602400000013</v>
      </c>
      <c r="Q22" s="318">
        <f t="shared" si="8"/>
        <v>286.56265050000013</v>
      </c>
      <c r="AZ22" s="225"/>
      <c r="BA22" s="225"/>
      <c r="BB22" s="225"/>
      <c r="BC22" s="225"/>
    </row>
    <row r="23" spans="1:55" x14ac:dyDescent="0.25">
      <c r="A23" s="438"/>
      <c r="B23" s="253"/>
      <c r="C23" s="253" t="s">
        <v>91</v>
      </c>
      <c r="D23" s="318">
        <v>0</v>
      </c>
      <c r="E23" s="318">
        <v>0</v>
      </c>
      <c r="F23" s="318">
        <f>E28</f>
        <v>0</v>
      </c>
      <c r="G23" s="318">
        <f t="shared" ref="G23:Q23" si="9">F28</f>
        <v>0</v>
      </c>
      <c r="H23" s="318">
        <f t="shared" si="9"/>
        <v>15</v>
      </c>
      <c r="I23" s="318">
        <f t="shared" si="9"/>
        <v>227.56445774999997</v>
      </c>
      <c r="J23" s="318">
        <f t="shared" si="9"/>
        <v>303.41927699999997</v>
      </c>
      <c r="K23" s="318">
        <f t="shared" si="9"/>
        <v>361.57463842499993</v>
      </c>
      <c r="L23" s="318">
        <f t="shared" si="9"/>
        <v>394.44506010000003</v>
      </c>
      <c r="M23" s="318">
        <f t="shared" si="9"/>
        <v>361.5746384250001</v>
      </c>
      <c r="N23" s="318">
        <f t="shared" si="9"/>
        <v>389.38807215000014</v>
      </c>
      <c r="O23" s="318">
        <f t="shared" si="9"/>
        <v>379.27409625000001</v>
      </c>
      <c r="P23" s="318">
        <f t="shared" si="9"/>
        <v>404.55903600000016</v>
      </c>
      <c r="Q23" s="318">
        <f t="shared" si="9"/>
        <v>429.84397575000014</v>
      </c>
      <c r="AZ23" s="225"/>
      <c r="BA23" s="225"/>
      <c r="BB23" s="225"/>
      <c r="BC23" s="225"/>
    </row>
    <row r="24" spans="1:55" s="277" customFormat="1" x14ac:dyDescent="0.25">
      <c r="A24" s="253"/>
      <c r="B24" s="253"/>
      <c r="C24" s="253"/>
      <c r="D24" s="442">
        <f t="shared" ref="D24" si="10">SUM(D19:D23)</f>
        <v>0</v>
      </c>
      <c r="E24" s="442">
        <f t="shared" ref="E24:Q24" si="11">SUM(E19:E23)</f>
        <v>0</v>
      </c>
      <c r="F24" s="442">
        <f t="shared" si="11"/>
        <v>0</v>
      </c>
      <c r="G24" s="442">
        <f t="shared" si="11"/>
        <v>541.81534328124997</v>
      </c>
      <c r="H24" s="442">
        <f t="shared" si="11"/>
        <v>4758.1001408124994</v>
      </c>
      <c r="I24" s="442">
        <f t="shared" si="11"/>
        <v>5876.1792719999985</v>
      </c>
      <c r="J24" s="442">
        <f t="shared" si="11"/>
        <v>6559.2626315134485</v>
      </c>
      <c r="K24" s="442">
        <f t="shared" si="11"/>
        <v>7179.7487072490858</v>
      </c>
      <c r="L24" s="442">
        <f t="shared" si="11"/>
        <v>7723.9622746485138</v>
      </c>
      <c r="M24" s="442">
        <f t="shared" si="11"/>
        <v>8056.1377858355336</v>
      </c>
      <c r="N24" s="442">
        <f t="shared" si="11"/>
        <v>8596.9146030864413</v>
      </c>
      <c r="O24" s="442">
        <f t="shared" si="11"/>
        <v>8890.5041667643545</v>
      </c>
      <c r="P24" s="442">
        <f t="shared" si="11"/>
        <v>9425.1889494580846</v>
      </c>
      <c r="Q24" s="442">
        <f t="shared" si="11"/>
        <v>9964.5021725903443</v>
      </c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78"/>
      <c r="BA24" s="278"/>
      <c r="BB24" s="278"/>
      <c r="BC24" s="278"/>
    </row>
    <row r="25" spans="1:55" x14ac:dyDescent="0.25">
      <c r="A25" s="438"/>
      <c r="B25" s="253"/>
      <c r="C25" s="253" t="s">
        <v>736</v>
      </c>
      <c r="D25" s="318">
        <v>0</v>
      </c>
      <c r="E25" s="318">
        <v>0</v>
      </c>
      <c r="F25" s="318">
        <v>0</v>
      </c>
      <c r="G25" s="444">
        <v>5</v>
      </c>
      <c r="H25" s="444">
        <f>H14*0.2*0.4</f>
        <v>303.41927699999997</v>
      </c>
      <c r="I25" s="444">
        <f>I14*0.2*0.4*1.2</f>
        <v>404.55903600000005</v>
      </c>
      <c r="J25" s="444">
        <f>J14*0.2*0.4*1.3</f>
        <v>482.09951789999997</v>
      </c>
      <c r="K25" s="444">
        <f t="shared" ref="K25" si="12">K14*0.2*0.4*1.3</f>
        <v>525.92674680000016</v>
      </c>
      <c r="L25" s="444">
        <f>L14*0.2*0.4*1.1</f>
        <v>482.09951790000014</v>
      </c>
      <c r="M25" s="444">
        <f t="shared" ref="M25" si="13">M14*0.2*0.4*1.1</f>
        <v>519.18409620000023</v>
      </c>
      <c r="N25" s="444">
        <f>N14*0.2*0.3</f>
        <v>379.27409625000001</v>
      </c>
      <c r="O25" s="444">
        <f t="shared" ref="O25:Q25" si="14">O14*0.2*0.3</f>
        <v>404.55903600000016</v>
      </c>
      <c r="P25" s="444">
        <f t="shared" si="14"/>
        <v>429.84397575000014</v>
      </c>
      <c r="Q25" s="444">
        <f t="shared" si="14"/>
        <v>455.12891550000023</v>
      </c>
      <c r="AZ25" s="225"/>
      <c r="BA25" s="225"/>
      <c r="BB25" s="225"/>
      <c r="BC25" s="225"/>
    </row>
    <row r="26" spans="1:55" ht="30" x14ac:dyDescent="0.25">
      <c r="A26" s="438"/>
      <c r="B26" s="253"/>
      <c r="C26" s="447" t="s">
        <v>735</v>
      </c>
      <c r="D26" s="318">
        <v>0</v>
      </c>
      <c r="E26" s="318">
        <v>0</v>
      </c>
      <c r="F26" s="318">
        <v>0</v>
      </c>
      <c r="G26" s="444">
        <v>5</v>
      </c>
      <c r="H26" s="444">
        <f>H14*0.2*0.1</f>
        <v>75.854819249999991</v>
      </c>
      <c r="I26" s="444">
        <f>I14*0.2*0.1*1.2</f>
        <v>101.13975900000001</v>
      </c>
      <c r="J26" s="444">
        <f>J14*0.2*0.1*1.3</f>
        <v>120.52487947499999</v>
      </c>
      <c r="K26" s="444">
        <f t="shared" ref="K26" si="15">K14*0.2*0.1*1.3</f>
        <v>131.48168670000004</v>
      </c>
      <c r="L26" s="444">
        <f>L14*0.2*0.1*1.1</f>
        <v>120.52487947500003</v>
      </c>
      <c r="M26" s="444">
        <f t="shared" ref="M26" si="16">M14*0.2*0.1*1.1</f>
        <v>129.79602405000006</v>
      </c>
      <c r="N26" s="444">
        <f>N14*0.2*0.1</f>
        <v>126.42469875000002</v>
      </c>
      <c r="O26" s="444">
        <f t="shared" ref="O26:Q26" si="17">O14*0.2*0.1</f>
        <v>134.85301200000006</v>
      </c>
      <c r="P26" s="444">
        <f t="shared" si="17"/>
        <v>143.28132525000007</v>
      </c>
      <c r="Q26" s="444">
        <f t="shared" si="17"/>
        <v>151.70963850000007</v>
      </c>
      <c r="AZ26" s="225"/>
      <c r="BA26" s="225"/>
      <c r="BB26" s="225"/>
      <c r="BC26" s="225"/>
    </row>
    <row r="27" spans="1:55" x14ac:dyDescent="0.25">
      <c r="A27" s="438"/>
      <c r="B27" s="439"/>
      <c r="C27" s="253" t="s">
        <v>93</v>
      </c>
      <c r="D27" s="318">
        <v>0</v>
      </c>
      <c r="E27" s="318">
        <v>0</v>
      </c>
      <c r="F27" s="318">
        <v>0</v>
      </c>
      <c r="G27" s="444">
        <v>10</v>
      </c>
      <c r="H27" s="444">
        <f>H14*0.2*0.2</f>
        <v>151.70963849999998</v>
      </c>
      <c r="I27" s="444">
        <f>I14*0.2*0.2*1.2</f>
        <v>202.27951800000002</v>
      </c>
      <c r="J27" s="444">
        <f>J14*0.2*0.2*1.3</f>
        <v>241.04975894999998</v>
      </c>
      <c r="K27" s="444">
        <f t="shared" ref="K27" si="18">K14*0.2*0.2*1.3</f>
        <v>262.96337340000008</v>
      </c>
      <c r="L27" s="444">
        <f>L14*0.2*0.2*1.1</f>
        <v>241.04975895000007</v>
      </c>
      <c r="M27" s="444">
        <f t="shared" ref="M27" si="19">M14*0.2*0.2*1.1</f>
        <v>259.59204810000011</v>
      </c>
      <c r="N27" s="444">
        <f>N14*0.2*0.2</f>
        <v>252.84939750000004</v>
      </c>
      <c r="O27" s="444">
        <f t="shared" ref="O27:Q27" si="20">O14*0.2*0.2</f>
        <v>269.70602400000013</v>
      </c>
      <c r="P27" s="444">
        <f t="shared" si="20"/>
        <v>286.56265050000013</v>
      </c>
      <c r="Q27" s="444">
        <f t="shared" si="20"/>
        <v>303.41927700000014</v>
      </c>
      <c r="AZ27" s="225"/>
      <c r="BA27" s="225"/>
      <c r="BB27" s="225"/>
      <c r="BC27" s="225"/>
    </row>
    <row r="28" spans="1:55" x14ac:dyDescent="0.25">
      <c r="A28" s="438"/>
      <c r="B28" s="439"/>
      <c r="C28" s="253" t="s">
        <v>94</v>
      </c>
      <c r="D28" s="318">
        <v>0</v>
      </c>
      <c r="E28" s="318">
        <v>0</v>
      </c>
      <c r="F28" s="318">
        <v>0</v>
      </c>
      <c r="G28" s="444">
        <v>15</v>
      </c>
      <c r="H28" s="444">
        <f>H14*0.2*0.3</f>
        <v>227.56445774999997</v>
      </c>
      <c r="I28" s="444">
        <f>I14*0.2*0.3*1.2</f>
        <v>303.41927699999997</v>
      </c>
      <c r="J28" s="444">
        <f>J14*0.2*0.3*1.3</f>
        <v>361.57463842499993</v>
      </c>
      <c r="K28" s="444">
        <f t="shared" ref="K28" si="21">K14*0.2*0.3*1.3</f>
        <v>394.44506010000003</v>
      </c>
      <c r="L28" s="444">
        <f>L14*0.2*0.3*1.1</f>
        <v>361.5746384250001</v>
      </c>
      <c r="M28" s="444">
        <f t="shared" ref="M28" si="22">M14*0.2*0.3*1.1</f>
        <v>389.38807215000014</v>
      </c>
      <c r="N28" s="444">
        <f>N14*0.2*0.3</f>
        <v>379.27409625000001</v>
      </c>
      <c r="O28" s="444">
        <f t="shared" ref="O28:Q28" si="23">O14*0.2*0.3</f>
        <v>404.55903600000016</v>
      </c>
      <c r="P28" s="444">
        <f t="shared" si="23"/>
        <v>429.84397575000014</v>
      </c>
      <c r="Q28" s="444">
        <f t="shared" si="23"/>
        <v>455.12891550000023</v>
      </c>
      <c r="AZ28" s="225"/>
      <c r="BA28" s="225"/>
      <c r="BB28" s="225"/>
      <c r="BC28" s="225"/>
    </row>
    <row r="29" spans="1:55" s="231" customFormat="1" x14ac:dyDescent="0.25">
      <c r="A29" s="305"/>
      <c r="B29" s="448"/>
      <c r="C29" s="305"/>
      <c r="D29" s="442">
        <f>D24-SUM(D25:D28)</f>
        <v>0</v>
      </c>
      <c r="E29" s="442">
        <f>E24-SUM(E25:E28)</f>
        <v>0</v>
      </c>
      <c r="F29" s="442">
        <f t="shared" ref="F29:Q29" si="24">F24-SUM(F25:F28)</f>
        <v>0</v>
      </c>
      <c r="G29" s="442">
        <f t="shared" si="24"/>
        <v>506.81534328124997</v>
      </c>
      <c r="H29" s="442">
        <f t="shared" si="24"/>
        <v>3999.5519483124995</v>
      </c>
      <c r="I29" s="442">
        <f t="shared" si="24"/>
        <v>4864.7816819999989</v>
      </c>
      <c r="J29" s="442">
        <f t="shared" si="24"/>
        <v>5354.0138367634481</v>
      </c>
      <c r="K29" s="442">
        <f t="shared" si="24"/>
        <v>5864.9318402490853</v>
      </c>
      <c r="L29" s="442">
        <f t="shared" si="24"/>
        <v>6518.7134798985135</v>
      </c>
      <c r="M29" s="442">
        <f t="shared" si="24"/>
        <v>6758.1775453355331</v>
      </c>
      <c r="N29" s="442">
        <f t="shared" si="24"/>
        <v>7459.0923143364416</v>
      </c>
      <c r="O29" s="442">
        <f t="shared" si="24"/>
        <v>7676.8270587643538</v>
      </c>
      <c r="P29" s="442">
        <f t="shared" si="24"/>
        <v>8135.6570222080845</v>
      </c>
      <c r="Q29" s="442">
        <f t="shared" si="24"/>
        <v>8599.115426090344</v>
      </c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30"/>
      <c r="BA29" s="230"/>
      <c r="BB29" s="230"/>
      <c r="BC29" s="230"/>
    </row>
    <row r="30" spans="1:55" x14ac:dyDescent="0.25">
      <c r="A30" s="253"/>
      <c r="B30" s="440"/>
      <c r="C30" s="253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AZ30" s="225"/>
      <c r="BA30" s="225"/>
      <c r="BB30" s="225"/>
      <c r="BC30" s="225"/>
    </row>
    <row r="31" spans="1:55" s="231" customFormat="1" x14ac:dyDescent="0.25">
      <c r="A31" s="305"/>
      <c r="B31" s="437">
        <v>4</v>
      </c>
      <c r="C31" s="305" t="s">
        <v>95</v>
      </c>
      <c r="D31" s="442">
        <f t="shared" ref="D31" si="25">D11-D29</f>
        <v>0</v>
      </c>
      <c r="E31" s="442">
        <f t="shared" ref="E31:Q31" si="26">E11-E29</f>
        <v>0</v>
      </c>
      <c r="F31" s="442">
        <f t="shared" si="26"/>
        <v>0</v>
      </c>
      <c r="G31" s="442">
        <f t="shared" si="26"/>
        <v>-152.63562453125002</v>
      </c>
      <c r="H31" s="442">
        <f t="shared" si="26"/>
        <v>1421.9494266875004</v>
      </c>
      <c r="I31" s="442">
        <f t="shared" si="26"/>
        <v>1159.0720680000013</v>
      </c>
      <c r="J31" s="442">
        <f t="shared" si="26"/>
        <v>1272.2252882365519</v>
      </c>
      <c r="K31" s="442">
        <f t="shared" si="26"/>
        <v>1363.7289597509161</v>
      </c>
      <c r="L31" s="442">
        <f t="shared" si="26"/>
        <v>1312.4089251014884</v>
      </c>
      <c r="M31" s="442">
        <f t="shared" si="26"/>
        <v>1675.4503876644703</v>
      </c>
      <c r="N31" s="442">
        <f t="shared" si="26"/>
        <v>1577.0894619635601</v>
      </c>
      <c r="O31" s="442">
        <f t="shared" si="26"/>
        <v>1961.9617076656496</v>
      </c>
      <c r="P31" s="442">
        <f t="shared" si="26"/>
        <v>2105.7971958649196</v>
      </c>
      <c r="Q31" s="442">
        <f t="shared" si="26"/>
        <v>2245.0685512899599</v>
      </c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30"/>
      <c r="BA31" s="230"/>
      <c r="BB31" s="230"/>
      <c r="BC31" s="230"/>
    </row>
    <row r="32" spans="1:55" x14ac:dyDescent="0.25">
      <c r="A32" s="253"/>
      <c r="B32" s="439"/>
      <c r="C32" s="257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AZ32" s="225"/>
      <c r="BA32" s="225"/>
      <c r="BB32" s="225"/>
      <c r="BC32" s="225"/>
    </row>
    <row r="33" spans="1:55" x14ac:dyDescent="0.25">
      <c r="A33" s="443">
        <v>0.02</v>
      </c>
      <c r="B33" s="439">
        <v>5</v>
      </c>
      <c r="C33" s="253" t="s">
        <v>15</v>
      </c>
      <c r="D33" s="318">
        <v>0</v>
      </c>
      <c r="E33" s="318">
        <v>0</v>
      </c>
      <c r="F33" s="318">
        <v>0</v>
      </c>
      <c r="G33" s="318">
        <f t="shared" ref="G33:Q33" si="27">G8*$A$33</f>
        <v>7.0235943749999992</v>
      </c>
      <c r="H33" s="318">
        <f t="shared" si="27"/>
        <v>108.36402749999999</v>
      </c>
      <c r="I33" s="318">
        <f t="shared" si="27"/>
        <v>120.40447500000001</v>
      </c>
      <c r="J33" s="318">
        <f t="shared" si="27"/>
        <v>132.44492249999999</v>
      </c>
      <c r="K33" s="318">
        <f t="shared" si="27"/>
        <v>144.48537000000002</v>
      </c>
      <c r="L33" s="318">
        <f t="shared" si="27"/>
        <v>156.52581750000004</v>
      </c>
      <c r="M33" s="318">
        <f t="shared" si="27"/>
        <v>168.56626500000007</v>
      </c>
      <c r="N33" s="318">
        <f t="shared" si="27"/>
        <v>180.60671250000004</v>
      </c>
      <c r="O33" s="318">
        <f t="shared" si="27"/>
        <v>192.64716000000007</v>
      </c>
      <c r="P33" s="318">
        <f t="shared" si="27"/>
        <v>204.6876075000001</v>
      </c>
      <c r="Q33" s="318">
        <f t="shared" si="27"/>
        <v>216.7280550000001</v>
      </c>
      <c r="AZ33" s="225"/>
      <c r="BA33" s="225"/>
      <c r="BB33" s="225"/>
      <c r="BC33" s="225"/>
    </row>
    <row r="34" spans="1:55" x14ac:dyDescent="0.25">
      <c r="A34" s="253"/>
      <c r="B34" s="439">
        <v>6</v>
      </c>
      <c r="C34" s="253" t="s">
        <v>18</v>
      </c>
      <c r="D34" s="318">
        <f t="shared" ref="D34" si="28">D31-D33</f>
        <v>0</v>
      </c>
      <c r="E34" s="318">
        <f t="shared" ref="E34:Q34" si="29">E31-E33</f>
        <v>0</v>
      </c>
      <c r="F34" s="318">
        <f t="shared" si="29"/>
        <v>0</v>
      </c>
      <c r="G34" s="318">
        <f t="shared" si="29"/>
        <v>-159.65921890625</v>
      </c>
      <c r="H34" s="318">
        <f t="shared" si="29"/>
        <v>1313.5853991875003</v>
      </c>
      <c r="I34" s="318">
        <f t="shared" si="29"/>
        <v>1038.6675930000013</v>
      </c>
      <c r="J34" s="318">
        <f t="shared" si="29"/>
        <v>1139.7803657365519</v>
      </c>
      <c r="K34" s="318">
        <f t="shared" si="29"/>
        <v>1219.243589750916</v>
      </c>
      <c r="L34" s="318">
        <f t="shared" si="29"/>
        <v>1155.8831076014883</v>
      </c>
      <c r="M34" s="318">
        <f t="shared" si="29"/>
        <v>1506.8841226644702</v>
      </c>
      <c r="N34" s="318">
        <f t="shared" si="29"/>
        <v>1396.4827494635601</v>
      </c>
      <c r="O34" s="318">
        <f t="shared" si="29"/>
        <v>1769.3145476656496</v>
      </c>
      <c r="P34" s="318">
        <f t="shared" si="29"/>
        <v>1901.1095883649195</v>
      </c>
      <c r="Q34" s="318">
        <f t="shared" si="29"/>
        <v>2028.3404962899599</v>
      </c>
      <c r="AZ34" s="225"/>
      <c r="BA34" s="225"/>
      <c r="BB34" s="225"/>
      <c r="BC34" s="225"/>
    </row>
    <row r="35" spans="1:55" x14ac:dyDescent="0.25">
      <c r="A35" s="253"/>
      <c r="B35" s="439"/>
      <c r="C35" s="253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AZ35" s="225"/>
      <c r="BA35" s="225"/>
      <c r="BB35" s="225"/>
      <c r="BC35" s="225"/>
    </row>
    <row r="36" spans="1:55" x14ac:dyDescent="0.25">
      <c r="A36" s="253"/>
      <c r="B36" s="439">
        <v>8</v>
      </c>
      <c r="C36" s="253" t="s">
        <v>37</v>
      </c>
      <c r="D36" s="318">
        <v>0</v>
      </c>
      <c r="E36" s="318">
        <v>0</v>
      </c>
      <c r="F36" s="318">
        <v>0</v>
      </c>
      <c r="G36" s="318">
        <f>'Rep(Building)'!E52+'Rep(P&amp;M)'!E52</f>
        <v>22.720000000000002</v>
      </c>
      <c r="H36" s="318">
        <f>'Rep(Building)'!E66+'Rep(P&amp;M)'!E66</f>
        <v>269.95200000000006</v>
      </c>
      <c r="I36" s="318">
        <f>'Rep(Building)'!E79+'Rep(P&amp;M)'!E79</f>
        <v>252.38399999999996</v>
      </c>
      <c r="J36" s="318">
        <f>'Rep(Building)'!E92+'Rep(P&amp;M)'!E92</f>
        <v>230.59199999999998</v>
      </c>
      <c r="K36" s="318">
        <f>'Rep(Building)'!E105+'Rep(P&amp;M)'!E105</f>
        <v>206.49599999999998</v>
      </c>
      <c r="L36" s="318">
        <f>'Rep(Building)'!E118+'Rep(P&amp;M)'!E118</f>
        <v>180.09599999999998</v>
      </c>
      <c r="M36" s="318">
        <f>'Rep(Building)'!E131+'Rep(P&amp;M)'!E131</f>
        <v>151.392</v>
      </c>
      <c r="N36" s="318">
        <f>'Rep(Building)'!E144+'Rep(P&amp;M)'!E144</f>
        <v>120.38399999999999</v>
      </c>
      <c r="O36" s="318">
        <f>'Rep(Building)'!E157+'Rep(P&amp;M)'!E157</f>
        <v>87.071999999999974</v>
      </c>
      <c r="P36" s="318">
        <f>'Rep(Building)'!E170+'Rep(P&amp;M)'!E170</f>
        <v>52.511999999999979</v>
      </c>
      <c r="Q36" s="318">
        <f>'Rep(Building)'!E182+'Rep(P&amp;M)'!E182</f>
        <v>39.599999999999966</v>
      </c>
      <c r="AZ36" s="225"/>
      <c r="BA36" s="225"/>
      <c r="BB36" s="225"/>
      <c r="BC36" s="225"/>
    </row>
    <row r="37" spans="1:55" x14ac:dyDescent="0.25">
      <c r="A37" s="253"/>
      <c r="B37" s="439"/>
      <c r="C37" s="253" t="s">
        <v>36</v>
      </c>
      <c r="D37" s="318">
        <v>0</v>
      </c>
      <c r="E37" s="318">
        <v>0</v>
      </c>
      <c r="F37" s="318">
        <v>0</v>
      </c>
      <c r="G37" s="318">
        <v>0</v>
      </c>
      <c r="H37" s="318">
        <v>0</v>
      </c>
      <c r="I37" s="318">
        <v>0</v>
      </c>
      <c r="J37" s="318">
        <v>0</v>
      </c>
      <c r="K37" s="318">
        <v>0</v>
      </c>
      <c r="L37" s="318">
        <v>0</v>
      </c>
      <c r="M37" s="318">
        <v>0</v>
      </c>
      <c r="N37" s="318">
        <v>0</v>
      </c>
      <c r="O37" s="318">
        <v>0</v>
      </c>
      <c r="P37" s="318">
        <v>0</v>
      </c>
      <c r="Q37" s="318">
        <v>0</v>
      </c>
      <c r="AZ37" s="225"/>
      <c r="BA37" s="225"/>
      <c r="BB37" s="225"/>
      <c r="BC37" s="225"/>
    </row>
    <row r="38" spans="1:55" x14ac:dyDescent="0.25">
      <c r="A38" s="253"/>
      <c r="B38" s="253"/>
      <c r="C38" s="253" t="s">
        <v>38</v>
      </c>
      <c r="D38" s="318"/>
      <c r="E38" s="318">
        <f>'BS(Proposed)'!C23*9.65%</f>
        <v>0</v>
      </c>
      <c r="F38" s="318">
        <f>'BS(Proposed)'!D23*9.65%</f>
        <v>0</v>
      </c>
      <c r="G38" s="318">
        <f>'BS(Proposed)'!E23*9.6%/12</f>
        <v>3.1999999999999997</v>
      </c>
      <c r="H38" s="318">
        <f>'BS(Proposed)'!F23*9.6%</f>
        <v>38.4</v>
      </c>
      <c r="I38" s="318">
        <f>'BS(Proposed)'!G23*9.6%</f>
        <v>38.4</v>
      </c>
      <c r="J38" s="318">
        <f>'BS(Proposed)'!H23*9.6%</f>
        <v>38.4</v>
      </c>
      <c r="K38" s="318">
        <f>'BS(Proposed)'!I23*9.6%</f>
        <v>38.4</v>
      </c>
      <c r="L38" s="318">
        <f>'BS(Proposed)'!J23*9.6%</f>
        <v>38.4</v>
      </c>
      <c r="M38" s="318">
        <f>'BS(Proposed)'!K23*9.6%</f>
        <v>38.4</v>
      </c>
      <c r="N38" s="318">
        <f>'BS(Proposed)'!L23*9.6%</f>
        <v>38.4</v>
      </c>
      <c r="O38" s="318">
        <f>'BS(Proposed)'!M23*9.6%</f>
        <v>38.4</v>
      </c>
      <c r="P38" s="318">
        <f>'BS(Proposed)'!N23*9.6%</f>
        <v>38.4</v>
      </c>
      <c r="Q38" s="318">
        <f>'BS(Proposed)'!O23*9.6%</f>
        <v>38.4</v>
      </c>
      <c r="AZ38" s="225"/>
      <c r="BA38" s="225"/>
      <c r="BB38" s="225"/>
      <c r="BC38" s="225"/>
    </row>
    <row r="39" spans="1:55" s="231" customFormat="1" x14ac:dyDescent="0.25">
      <c r="A39" s="253"/>
      <c r="B39" s="437"/>
      <c r="C39" s="305" t="s">
        <v>19</v>
      </c>
      <c r="D39" s="442">
        <f>SUM(D36:D38)</f>
        <v>0</v>
      </c>
      <c r="E39" s="442">
        <f>SUM(E36:E38)</f>
        <v>0</v>
      </c>
      <c r="F39" s="442">
        <f t="shared" ref="F39:Q39" si="30">SUM(F36:F38)</f>
        <v>0</v>
      </c>
      <c r="G39" s="442">
        <f t="shared" si="30"/>
        <v>25.92</v>
      </c>
      <c r="H39" s="442">
        <f t="shared" si="30"/>
        <v>308.35200000000003</v>
      </c>
      <c r="I39" s="442">
        <f t="shared" si="30"/>
        <v>290.78399999999993</v>
      </c>
      <c r="J39" s="442">
        <f t="shared" si="30"/>
        <v>268.99199999999996</v>
      </c>
      <c r="K39" s="442">
        <f t="shared" si="30"/>
        <v>244.89599999999999</v>
      </c>
      <c r="L39" s="442">
        <f t="shared" si="30"/>
        <v>218.49599999999998</v>
      </c>
      <c r="M39" s="442">
        <f t="shared" si="30"/>
        <v>189.792</v>
      </c>
      <c r="N39" s="442">
        <f t="shared" si="30"/>
        <v>158.78399999999999</v>
      </c>
      <c r="O39" s="442">
        <f t="shared" si="30"/>
        <v>125.47199999999998</v>
      </c>
      <c r="P39" s="442">
        <f t="shared" si="30"/>
        <v>90.911999999999978</v>
      </c>
      <c r="Q39" s="442">
        <f t="shared" si="30"/>
        <v>77.999999999999972</v>
      </c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30"/>
      <c r="BA39" s="230"/>
      <c r="BB39" s="230"/>
      <c r="BC39" s="230"/>
    </row>
    <row r="40" spans="1:55" x14ac:dyDescent="0.25">
      <c r="A40" s="253"/>
      <c r="B40" s="439"/>
      <c r="C40" s="253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AZ40" s="225"/>
      <c r="BA40" s="225"/>
      <c r="BB40" s="225"/>
      <c r="BC40" s="225"/>
    </row>
    <row r="41" spans="1:55" x14ac:dyDescent="0.25">
      <c r="A41" s="253"/>
      <c r="B41" s="439">
        <v>8</v>
      </c>
      <c r="C41" s="253" t="s">
        <v>20</v>
      </c>
      <c r="D41" s="318">
        <f>D34-D39</f>
        <v>0</v>
      </c>
      <c r="E41" s="318">
        <f>E34-E39</f>
        <v>0</v>
      </c>
      <c r="F41" s="318">
        <f t="shared" ref="F41:Q41" si="31">F34-F39</f>
        <v>0</v>
      </c>
      <c r="G41" s="318">
        <f t="shared" si="31"/>
        <v>-185.57921890624999</v>
      </c>
      <c r="H41" s="318">
        <f t="shared" si="31"/>
        <v>1005.2333991875003</v>
      </c>
      <c r="I41" s="318">
        <f t="shared" si="31"/>
        <v>747.88359300000138</v>
      </c>
      <c r="J41" s="318">
        <f t="shared" si="31"/>
        <v>870.7883657365519</v>
      </c>
      <c r="K41" s="318">
        <f t="shared" si="31"/>
        <v>974.34758975091609</v>
      </c>
      <c r="L41" s="318">
        <f t="shared" si="31"/>
        <v>937.38710760148831</v>
      </c>
      <c r="M41" s="318">
        <f t="shared" si="31"/>
        <v>1317.0921226644703</v>
      </c>
      <c r="N41" s="318">
        <f t="shared" si="31"/>
        <v>1237.69874946356</v>
      </c>
      <c r="O41" s="318">
        <f t="shared" si="31"/>
        <v>1643.8425476656496</v>
      </c>
      <c r="P41" s="318">
        <f t="shared" si="31"/>
        <v>1810.1975883649195</v>
      </c>
      <c r="Q41" s="318">
        <f t="shared" si="31"/>
        <v>1950.3404962899599</v>
      </c>
      <c r="AZ41" s="225"/>
      <c r="BA41" s="225"/>
      <c r="BB41" s="225"/>
      <c r="BC41" s="225"/>
    </row>
    <row r="42" spans="1:55" x14ac:dyDescent="0.25">
      <c r="A42" s="253"/>
      <c r="B42" s="439"/>
      <c r="C42" s="257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AZ42" s="225"/>
      <c r="BA42" s="225"/>
      <c r="BB42" s="225"/>
      <c r="BC42" s="225"/>
    </row>
    <row r="43" spans="1:55" x14ac:dyDescent="0.25">
      <c r="A43" s="449">
        <v>0.26</v>
      </c>
      <c r="B43" s="439">
        <v>9</v>
      </c>
      <c r="C43" s="253" t="s">
        <v>21</v>
      </c>
      <c r="D43" s="318">
        <f>D41*26%</f>
        <v>0</v>
      </c>
      <c r="E43" s="318">
        <f>E41*26%</f>
        <v>0</v>
      </c>
      <c r="F43" s="318">
        <f t="shared" ref="F43" si="32">F41*26%</f>
        <v>0</v>
      </c>
      <c r="G43" s="318">
        <v>0</v>
      </c>
      <c r="H43" s="318">
        <f t="shared" ref="H43:Q43" si="33">H41*$A$43</f>
        <v>261.36068378875007</v>
      </c>
      <c r="I43" s="318">
        <f t="shared" si="33"/>
        <v>194.44973418000038</v>
      </c>
      <c r="J43" s="318">
        <f t="shared" si="33"/>
        <v>226.4049750915035</v>
      </c>
      <c r="K43" s="318">
        <f t="shared" si="33"/>
        <v>253.33037333523819</v>
      </c>
      <c r="L43" s="318">
        <f t="shared" si="33"/>
        <v>243.72064797638697</v>
      </c>
      <c r="M43" s="318">
        <f t="shared" si="33"/>
        <v>342.4439518927623</v>
      </c>
      <c r="N43" s="318">
        <f t="shared" si="33"/>
        <v>321.80167486052562</v>
      </c>
      <c r="O43" s="318">
        <f t="shared" si="33"/>
        <v>427.3990623930689</v>
      </c>
      <c r="P43" s="318">
        <f t="shared" si="33"/>
        <v>470.65137297487911</v>
      </c>
      <c r="Q43" s="318">
        <f t="shared" si="33"/>
        <v>507.08852903538957</v>
      </c>
      <c r="AZ43" s="225"/>
      <c r="BA43" s="225"/>
      <c r="BB43" s="225"/>
      <c r="BC43" s="225"/>
    </row>
    <row r="44" spans="1:55" x14ac:dyDescent="0.25">
      <c r="A44" s="253"/>
      <c r="B44" s="439"/>
      <c r="C44" s="253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AZ44" s="225"/>
      <c r="BA44" s="225"/>
      <c r="BB44" s="225"/>
      <c r="BC44" s="225"/>
    </row>
    <row r="45" spans="1:55" s="231" customFormat="1" x14ac:dyDescent="0.25">
      <c r="A45" s="253"/>
      <c r="B45" s="437">
        <v>10</v>
      </c>
      <c r="C45" s="305" t="s">
        <v>22</v>
      </c>
      <c r="D45" s="442">
        <f>D41-D43</f>
        <v>0</v>
      </c>
      <c r="E45" s="442">
        <f>E41-E43</f>
        <v>0</v>
      </c>
      <c r="F45" s="442">
        <f t="shared" ref="F45:Q45" si="34">F41-F43</f>
        <v>0</v>
      </c>
      <c r="G45" s="442">
        <f t="shared" si="34"/>
        <v>-185.57921890624999</v>
      </c>
      <c r="H45" s="442">
        <f t="shared" si="34"/>
        <v>743.87271539875019</v>
      </c>
      <c r="I45" s="442">
        <f t="shared" si="34"/>
        <v>553.43385882000098</v>
      </c>
      <c r="J45" s="442">
        <f t="shared" si="34"/>
        <v>644.38339064504839</v>
      </c>
      <c r="K45" s="442">
        <f t="shared" si="34"/>
        <v>721.01721641567792</v>
      </c>
      <c r="L45" s="442">
        <f t="shared" si="34"/>
        <v>693.66645962510131</v>
      </c>
      <c r="M45" s="442">
        <f t="shared" si="34"/>
        <v>974.64817077170801</v>
      </c>
      <c r="N45" s="442">
        <f t="shared" si="34"/>
        <v>915.89707460303441</v>
      </c>
      <c r="O45" s="442">
        <f t="shared" si="34"/>
        <v>1216.4434852725808</v>
      </c>
      <c r="P45" s="442">
        <f t="shared" si="34"/>
        <v>1339.5462153900403</v>
      </c>
      <c r="Q45" s="442">
        <f t="shared" si="34"/>
        <v>1443.2519672545704</v>
      </c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30"/>
      <c r="BA45" s="230"/>
      <c r="BB45" s="230"/>
      <c r="BC45" s="230"/>
    </row>
    <row r="46" spans="1:55" x14ac:dyDescent="0.25">
      <c r="A46" s="253"/>
      <c r="B46" s="439"/>
      <c r="C46" s="253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AZ46" s="225"/>
      <c r="BA46" s="225"/>
      <c r="BB46" s="225"/>
      <c r="BC46" s="225"/>
    </row>
    <row r="47" spans="1:55" x14ac:dyDescent="0.25">
      <c r="A47" s="253"/>
      <c r="B47" s="439">
        <v>11</v>
      </c>
      <c r="C47" s="253" t="s">
        <v>23</v>
      </c>
      <c r="D47" s="318">
        <f t="shared" ref="D47" si="35">D18</f>
        <v>0</v>
      </c>
      <c r="E47" s="318">
        <f t="shared" ref="E47:Q47" si="36">E18</f>
        <v>0</v>
      </c>
      <c r="F47" s="318">
        <f t="shared" si="36"/>
        <v>0</v>
      </c>
      <c r="G47" s="318">
        <f t="shared" si="36"/>
        <v>269.47775000000001</v>
      </c>
      <c r="H47" s="318">
        <f t="shared" si="36"/>
        <v>503.03348749999998</v>
      </c>
      <c r="I47" s="318">
        <f t="shared" si="36"/>
        <v>436.127799375</v>
      </c>
      <c r="J47" s="318">
        <f t="shared" si="36"/>
        <v>378.40303096875004</v>
      </c>
      <c r="K47" s="318">
        <f t="shared" si="36"/>
        <v>328.56753767343753</v>
      </c>
      <c r="L47" s="318">
        <f t="shared" si="36"/>
        <v>285.51487223742186</v>
      </c>
      <c r="M47" s="318">
        <f t="shared" si="36"/>
        <v>248.2968600953086</v>
      </c>
      <c r="N47" s="318">
        <f t="shared" si="36"/>
        <v>216.10062790516233</v>
      </c>
      <c r="O47" s="318">
        <f t="shared" si="36"/>
        <v>188.22900086112298</v>
      </c>
      <c r="P47" s="318">
        <f t="shared" si="36"/>
        <v>164.08377115951606</v>
      </c>
      <c r="Q47" s="318">
        <f t="shared" si="36"/>
        <v>143.15141387039398</v>
      </c>
      <c r="AZ47" s="225"/>
      <c r="BA47" s="225"/>
      <c r="BB47" s="225"/>
      <c r="BC47" s="225"/>
    </row>
    <row r="48" spans="1:55" x14ac:dyDescent="0.25">
      <c r="A48" s="253"/>
      <c r="B48" s="439"/>
      <c r="C48" s="253"/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AZ48" s="225"/>
      <c r="BA48" s="225"/>
      <c r="BB48" s="225"/>
      <c r="BC48" s="225"/>
    </row>
    <row r="49" spans="1:55" s="231" customFormat="1" x14ac:dyDescent="0.25">
      <c r="A49" s="253"/>
      <c r="B49" s="437">
        <v>12</v>
      </c>
      <c r="C49" s="305" t="s">
        <v>24</v>
      </c>
      <c r="D49" s="442">
        <f>D45+D47</f>
        <v>0</v>
      </c>
      <c r="E49" s="442">
        <f>E45+E47</f>
        <v>0</v>
      </c>
      <c r="F49" s="442">
        <f t="shared" ref="F49:Q49" si="37">F45+F47</f>
        <v>0</v>
      </c>
      <c r="G49" s="442">
        <f t="shared" si="37"/>
        <v>83.898531093750023</v>
      </c>
      <c r="H49" s="442">
        <f t="shared" si="37"/>
        <v>1246.9062028987501</v>
      </c>
      <c r="I49" s="442">
        <f t="shared" si="37"/>
        <v>989.56165819500097</v>
      </c>
      <c r="J49" s="442">
        <f t="shared" si="37"/>
        <v>1022.7864216137984</v>
      </c>
      <c r="K49" s="442">
        <f t="shared" si="37"/>
        <v>1049.5847540891154</v>
      </c>
      <c r="L49" s="442">
        <f t="shared" si="37"/>
        <v>979.18133186252317</v>
      </c>
      <c r="M49" s="442">
        <f t="shared" si="37"/>
        <v>1222.9450308670166</v>
      </c>
      <c r="N49" s="442">
        <f t="shared" si="37"/>
        <v>1131.9977025081967</v>
      </c>
      <c r="O49" s="442">
        <f t="shared" si="37"/>
        <v>1404.6724861337038</v>
      </c>
      <c r="P49" s="442">
        <f t="shared" si="37"/>
        <v>1503.6299865495564</v>
      </c>
      <c r="Q49" s="442">
        <f t="shared" si="37"/>
        <v>1586.4033811249644</v>
      </c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30"/>
      <c r="BA49" s="230"/>
      <c r="BB49" s="230"/>
      <c r="BC49" s="230"/>
    </row>
    <row r="50" spans="1:55" x14ac:dyDescent="0.25">
      <c r="A50" s="253"/>
      <c r="B50" s="253"/>
      <c r="C50" s="253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AZ50" s="225"/>
      <c r="BA50" s="225"/>
      <c r="BB50" s="225"/>
      <c r="BC50" s="225"/>
    </row>
    <row r="51" spans="1:55" x14ac:dyDescent="0.25">
      <c r="A51" s="253"/>
      <c r="B51" s="253"/>
      <c r="C51" s="253"/>
      <c r="D51" s="318">
        <f t="shared" ref="D51" si="38">D29-D39-D47</f>
        <v>0</v>
      </c>
      <c r="E51" s="318">
        <f t="shared" ref="E51:Q51" si="39">E29-E39-E47</f>
        <v>0</v>
      </c>
      <c r="F51" s="318">
        <f t="shared" si="39"/>
        <v>0</v>
      </c>
      <c r="G51" s="318">
        <f t="shared" si="39"/>
        <v>211.41759328124994</v>
      </c>
      <c r="H51" s="318">
        <f t="shared" si="39"/>
        <v>3188.1664608124997</v>
      </c>
      <c r="I51" s="318">
        <f t="shared" si="39"/>
        <v>4137.8698826249993</v>
      </c>
      <c r="J51" s="318">
        <f t="shared" si="39"/>
        <v>4706.6188057946983</v>
      </c>
      <c r="K51" s="318">
        <f t="shared" si="39"/>
        <v>5291.4683025756476</v>
      </c>
      <c r="L51" s="318">
        <f t="shared" si="39"/>
        <v>6014.7026076610919</v>
      </c>
      <c r="M51" s="318">
        <f t="shared" si="39"/>
        <v>6320.0886852402236</v>
      </c>
      <c r="N51" s="318">
        <f t="shared" si="39"/>
        <v>7084.2076864312794</v>
      </c>
      <c r="O51" s="318">
        <f t="shared" si="39"/>
        <v>7363.1260579032314</v>
      </c>
      <c r="P51" s="318">
        <f t="shared" si="39"/>
        <v>7880.6612510485684</v>
      </c>
      <c r="Q51" s="318">
        <f t="shared" si="39"/>
        <v>8377.9640122199507</v>
      </c>
      <c r="AZ51" s="225"/>
      <c r="BA51" s="225"/>
      <c r="BB51" s="225"/>
      <c r="BC51" s="225"/>
    </row>
    <row r="52" spans="1:55" x14ac:dyDescent="0.25">
      <c r="A52" s="253"/>
      <c r="B52" s="253"/>
      <c r="C52" s="253"/>
      <c r="D52" s="253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AZ52" s="225"/>
      <c r="BA52" s="225"/>
      <c r="BB52" s="225"/>
      <c r="BC52" s="225"/>
    </row>
    <row r="53" spans="1:55" x14ac:dyDescent="0.25">
      <c r="E53" s="226"/>
      <c r="F53" s="226"/>
      <c r="G53" s="226"/>
      <c r="H53" s="226"/>
      <c r="I53" s="226">
        <f>319-297.3</f>
        <v>21.699999999999989</v>
      </c>
      <c r="J53" s="226"/>
      <c r="K53" s="226"/>
      <c r="L53" s="226"/>
      <c r="M53" s="226"/>
      <c r="N53" s="226"/>
      <c r="O53" s="226"/>
      <c r="P53" s="226"/>
      <c r="Q53" s="226"/>
      <c r="AZ53" s="225"/>
      <c r="BA53" s="225"/>
      <c r="BB53" s="225"/>
      <c r="BC53" s="225"/>
    </row>
    <row r="54" spans="1:55" x14ac:dyDescent="0.25"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AZ54" s="225"/>
      <c r="BA54" s="225"/>
      <c r="BB54" s="225"/>
      <c r="BC54" s="225"/>
    </row>
    <row r="55" spans="1:55" x14ac:dyDescent="0.25"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AZ55" s="225"/>
      <c r="BA55" s="225"/>
      <c r="BB55" s="225"/>
      <c r="BC55" s="225"/>
    </row>
    <row r="56" spans="1:55" x14ac:dyDescent="0.25">
      <c r="C56" s="274" t="s">
        <v>823</v>
      </c>
      <c r="D56" s="275"/>
      <c r="E56" s="276"/>
      <c r="F56" s="276"/>
      <c r="G56" s="276" t="str">
        <f>G6</f>
        <v>2025-26</v>
      </c>
      <c r="H56" s="276" t="str">
        <f t="shared" ref="H56:Q56" si="40">H6</f>
        <v>2026-27</v>
      </c>
      <c r="I56" s="276" t="str">
        <f t="shared" si="40"/>
        <v>2027-28</v>
      </c>
      <c r="J56" s="276" t="str">
        <f t="shared" si="40"/>
        <v>2028-29</v>
      </c>
      <c r="K56" s="276" t="str">
        <f t="shared" si="40"/>
        <v>2029-30</v>
      </c>
      <c r="L56" s="276" t="str">
        <f t="shared" si="40"/>
        <v>2030-31</v>
      </c>
      <c r="M56" s="276" t="str">
        <f t="shared" si="40"/>
        <v>2031-32</v>
      </c>
      <c r="N56" s="276" t="str">
        <f t="shared" si="40"/>
        <v>2032-33</v>
      </c>
      <c r="O56" s="276" t="str">
        <f t="shared" si="40"/>
        <v>2033-34</v>
      </c>
      <c r="P56" s="276" t="str">
        <f t="shared" si="40"/>
        <v>2034-35</v>
      </c>
      <c r="Q56" s="276" t="str">
        <f t="shared" si="40"/>
        <v>2035-36</v>
      </c>
      <c r="AZ56" s="225"/>
      <c r="BA56" s="225"/>
      <c r="BB56" s="225"/>
      <c r="BC56" s="225"/>
    </row>
    <row r="57" spans="1:55" x14ac:dyDescent="0.25">
      <c r="C57" s="305" t="s">
        <v>32</v>
      </c>
      <c r="D57" s="253"/>
      <c r="E57" s="442">
        <f t="shared" ref="E57:Q57" si="41">E8</f>
        <v>0</v>
      </c>
      <c r="F57" s="442">
        <f t="shared" si="41"/>
        <v>0</v>
      </c>
      <c r="G57" s="442">
        <f t="shared" si="41"/>
        <v>351.17971874999995</v>
      </c>
      <c r="H57" s="442">
        <f t="shared" si="41"/>
        <v>5418.2013749999996</v>
      </c>
      <c r="I57" s="442">
        <f t="shared" si="41"/>
        <v>6020.2237500000001</v>
      </c>
      <c r="J57" s="442">
        <f t="shared" si="41"/>
        <v>6622.2461249999997</v>
      </c>
      <c r="K57" s="442">
        <f t="shared" si="41"/>
        <v>7224.268500000001</v>
      </c>
      <c r="L57" s="442">
        <f t="shared" si="41"/>
        <v>7826.2908750000015</v>
      </c>
      <c r="M57" s="442">
        <f t="shared" si="41"/>
        <v>8428.3132500000029</v>
      </c>
      <c r="N57" s="442">
        <f t="shared" si="41"/>
        <v>9030.3356250000015</v>
      </c>
      <c r="O57" s="442">
        <f t="shared" si="41"/>
        <v>9632.3580000000038</v>
      </c>
      <c r="P57" s="442">
        <f t="shared" si="41"/>
        <v>10234.380375000004</v>
      </c>
      <c r="Q57" s="442">
        <f t="shared" si="41"/>
        <v>10836.402750000005</v>
      </c>
      <c r="AZ57" s="225"/>
      <c r="BA57" s="225"/>
      <c r="BB57" s="225"/>
      <c r="BC57" s="225"/>
    </row>
    <row r="58" spans="1:55" x14ac:dyDescent="0.25">
      <c r="C58" s="305" t="s">
        <v>820</v>
      </c>
      <c r="D58" s="305"/>
      <c r="E58" s="442">
        <f>E31</f>
        <v>0</v>
      </c>
      <c r="F58" s="442">
        <f>F31</f>
        <v>0</v>
      </c>
      <c r="G58" s="442">
        <f t="shared" ref="G58:Q58" si="42">G31+G18+G16</f>
        <v>125.62161843749999</v>
      </c>
      <c r="H58" s="442">
        <f t="shared" si="42"/>
        <v>2060.4379485625004</v>
      </c>
      <c r="I58" s="442">
        <f t="shared" si="42"/>
        <v>1745.7054611250014</v>
      </c>
      <c r="J58" s="442">
        <f t="shared" si="42"/>
        <v>1816.184472330302</v>
      </c>
      <c r="K58" s="442">
        <f t="shared" si="42"/>
        <v>1872.9032099243536</v>
      </c>
      <c r="L58" s="442">
        <f t="shared" si="42"/>
        <v>1793.5810692139105</v>
      </c>
      <c r="M58" s="442">
        <f t="shared" si="42"/>
        <v>2134.4550790097792</v>
      </c>
      <c r="N58" s="442">
        <f t="shared" si="42"/>
        <v>2018.9484804937224</v>
      </c>
      <c r="O58" s="442">
        <f t="shared" si="42"/>
        <v>2390.9996585267727</v>
      </c>
      <c r="P58" s="442">
        <f t="shared" si="42"/>
        <v>2525.7404763994355</v>
      </c>
      <c r="Q58" s="442">
        <f t="shared" si="42"/>
        <v>2659.1300339103541</v>
      </c>
      <c r="AZ58" s="225"/>
      <c r="BA58" s="225"/>
      <c r="BB58" s="225"/>
      <c r="BC58" s="225"/>
    </row>
    <row r="59" spans="1:55" x14ac:dyDescent="0.25">
      <c r="C59" s="305" t="s">
        <v>819</v>
      </c>
      <c r="D59" s="305"/>
      <c r="E59" s="442">
        <f t="shared" ref="E59:Q59" si="43">E31-E33+E18</f>
        <v>0</v>
      </c>
      <c r="F59" s="442">
        <f t="shared" si="43"/>
        <v>0</v>
      </c>
      <c r="G59" s="442">
        <f t="shared" si="43"/>
        <v>109.81853109375001</v>
      </c>
      <c r="H59" s="442">
        <f t="shared" si="43"/>
        <v>1816.6188866875004</v>
      </c>
      <c r="I59" s="442">
        <f t="shared" si="43"/>
        <v>1474.7953923750013</v>
      </c>
      <c r="J59" s="442">
        <f t="shared" si="43"/>
        <v>1518.1833967053019</v>
      </c>
      <c r="K59" s="442">
        <f t="shared" si="43"/>
        <v>1547.8111274243536</v>
      </c>
      <c r="L59" s="442">
        <f t="shared" si="43"/>
        <v>1441.39797983891</v>
      </c>
      <c r="M59" s="442">
        <f t="shared" si="43"/>
        <v>1755.1809827597788</v>
      </c>
      <c r="N59" s="442">
        <f t="shared" si="43"/>
        <v>1612.5833773687225</v>
      </c>
      <c r="O59" s="442">
        <f t="shared" si="43"/>
        <v>1957.5435485267726</v>
      </c>
      <c r="P59" s="442">
        <f t="shared" si="43"/>
        <v>2065.1933595244354</v>
      </c>
      <c r="Q59" s="442">
        <f t="shared" si="43"/>
        <v>2171.4919101603537</v>
      </c>
      <c r="AZ59" s="225"/>
      <c r="BA59" s="225"/>
      <c r="BB59" s="225"/>
      <c r="BC59" s="225"/>
    </row>
    <row r="60" spans="1:55" x14ac:dyDescent="0.25">
      <c r="C60" s="305" t="s">
        <v>821</v>
      </c>
      <c r="D60" s="305"/>
      <c r="E60" s="442">
        <f>E34</f>
        <v>0</v>
      </c>
      <c r="F60" s="442">
        <f t="shared" ref="F60:Q60" si="44">F34</f>
        <v>0</v>
      </c>
      <c r="G60" s="442">
        <f t="shared" si="44"/>
        <v>-159.65921890625</v>
      </c>
      <c r="H60" s="442">
        <f t="shared" si="44"/>
        <v>1313.5853991875003</v>
      </c>
      <c r="I60" s="442">
        <f t="shared" si="44"/>
        <v>1038.6675930000013</v>
      </c>
      <c r="J60" s="442">
        <f t="shared" si="44"/>
        <v>1139.7803657365519</v>
      </c>
      <c r="K60" s="442">
        <f t="shared" si="44"/>
        <v>1219.243589750916</v>
      </c>
      <c r="L60" s="442">
        <f t="shared" si="44"/>
        <v>1155.8831076014883</v>
      </c>
      <c r="M60" s="442">
        <f t="shared" si="44"/>
        <v>1506.8841226644702</v>
      </c>
      <c r="N60" s="442">
        <f t="shared" si="44"/>
        <v>1396.4827494635601</v>
      </c>
      <c r="O60" s="442">
        <f t="shared" si="44"/>
        <v>1769.3145476656496</v>
      </c>
      <c r="P60" s="442">
        <f t="shared" si="44"/>
        <v>1901.1095883649195</v>
      </c>
      <c r="Q60" s="442">
        <f t="shared" si="44"/>
        <v>2028.3404962899599</v>
      </c>
      <c r="AZ60" s="225"/>
      <c r="BA60" s="225"/>
      <c r="BB60" s="225"/>
      <c r="BC60" s="225"/>
    </row>
    <row r="61" spans="1:55" x14ac:dyDescent="0.25">
      <c r="C61" s="305" t="s">
        <v>822</v>
      </c>
      <c r="D61" s="305"/>
      <c r="E61" s="442">
        <f>E45</f>
        <v>0</v>
      </c>
      <c r="F61" s="442">
        <f t="shared" ref="F61:Q61" si="45">F45</f>
        <v>0</v>
      </c>
      <c r="G61" s="442">
        <f t="shared" si="45"/>
        <v>-185.57921890624999</v>
      </c>
      <c r="H61" s="442">
        <f t="shared" si="45"/>
        <v>743.87271539875019</v>
      </c>
      <c r="I61" s="442">
        <f t="shared" si="45"/>
        <v>553.43385882000098</v>
      </c>
      <c r="J61" s="442">
        <f t="shared" si="45"/>
        <v>644.38339064504839</v>
      </c>
      <c r="K61" s="442">
        <f t="shared" si="45"/>
        <v>721.01721641567792</v>
      </c>
      <c r="L61" s="442">
        <f t="shared" si="45"/>
        <v>693.66645962510131</v>
      </c>
      <c r="M61" s="442">
        <f t="shared" si="45"/>
        <v>974.64817077170801</v>
      </c>
      <c r="N61" s="442">
        <f t="shared" si="45"/>
        <v>915.89707460303441</v>
      </c>
      <c r="O61" s="442">
        <f t="shared" si="45"/>
        <v>1216.4434852725808</v>
      </c>
      <c r="P61" s="442">
        <f t="shared" si="45"/>
        <v>1339.5462153900403</v>
      </c>
      <c r="Q61" s="442">
        <f t="shared" si="45"/>
        <v>1443.2519672545704</v>
      </c>
      <c r="AZ61" s="225"/>
      <c r="BA61" s="225"/>
      <c r="BB61" s="225"/>
      <c r="BC61" s="225"/>
    </row>
    <row r="62" spans="1:55" x14ac:dyDescent="0.25">
      <c r="C62" s="253"/>
      <c r="D62" s="253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AZ62" s="225"/>
      <c r="BA62" s="225"/>
      <c r="BB62" s="225"/>
      <c r="BC62" s="225"/>
    </row>
    <row r="63" spans="1:55" x14ac:dyDescent="0.25">
      <c r="C63" s="253" t="s">
        <v>893</v>
      </c>
      <c r="D63" s="253"/>
      <c r="E63" s="318"/>
      <c r="F63" s="318"/>
      <c r="G63" s="318"/>
      <c r="H63" s="450"/>
      <c r="I63" s="450">
        <f t="shared" ref="I63:Q63" si="46">I57/H57-1</f>
        <v>0.11111111111111116</v>
      </c>
      <c r="J63" s="450">
        <f t="shared" si="46"/>
        <v>9.9999999999999867E-2</v>
      </c>
      <c r="K63" s="450">
        <f t="shared" si="46"/>
        <v>9.090909090909105E-2</v>
      </c>
      <c r="L63" s="450">
        <f t="shared" si="46"/>
        <v>8.3333333333333481E-2</v>
      </c>
      <c r="M63" s="450">
        <f t="shared" si="46"/>
        <v>7.6923076923077094E-2</v>
      </c>
      <c r="N63" s="450">
        <f t="shared" si="46"/>
        <v>7.1428571428571175E-2</v>
      </c>
      <c r="O63" s="450">
        <f t="shared" si="46"/>
        <v>6.6666666666666874E-2</v>
      </c>
      <c r="P63" s="450">
        <f t="shared" si="46"/>
        <v>6.25E-2</v>
      </c>
      <c r="Q63" s="450">
        <f t="shared" si="46"/>
        <v>5.8823529411764719E-2</v>
      </c>
      <c r="AZ63" s="225"/>
      <c r="BA63" s="225"/>
      <c r="BB63" s="225"/>
      <c r="BC63" s="225"/>
    </row>
    <row r="64" spans="1:55" x14ac:dyDescent="0.25">
      <c r="C64" s="305" t="s">
        <v>824</v>
      </c>
      <c r="D64" s="253"/>
      <c r="E64" s="451"/>
      <c r="F64" s="451"/>
      <c r="G64" s="450">
        <f t="shared" ref="G64:Q64" si="47">G58/G$57</f>
        <v>0.35771319279097752</v>
      </c>
      <c r="H64" s="450">
        <f t="shared" si="47"/>
        <v>0.3802807990986678</v>
      </c>
      <c r="I64" s="450">
        <f t="shared" si="47"/>
        <v>0.28997351819772504</v>
      </c>
      <c r="J64" s="450">
        <f t="shared" si="47"/>
        <v>0.2742550545613105</v>
      </c>
      <c r="K64" s="450">
        <f t="shared" si="47"/>
        <v>0.25925160587876178</v>
      </c>
      <c r="L64" s="450">
        <f t="shared" si="47"/>
        <v>0.2291738318777872</v>
      </c>
      <c r="M64" s="450">
        <f t="shared" si="47"/>
        <v>0.25324819043831559</v>
      </c>
      <c r="N64" s="450">
        <f t="shared" si="47"/>
        <v>0.22357402474658544</v>
      </c>
      <c r="O64" s="450">
        <f t="shared" si="47"/>
        <v>0.24822578838190729</v>
      </c>
      <c r="P64" s="450">
        <f t="shared" si="47"/>
        <v>0.24678977953264067</v>
      </c>
      <c r="Q64" s="450">
        <f t="shared" si="47"/>
        <v>0.24538863082680762</v>
      </c>
      <c r="AZ64" s="225"/>
      <c r="BA64" s="225"/>
      <c r="BB64" s="225"/>
      <c r="BC64" s="225"/>
    </row>
    <row r="65" spans="3:55" x14ac:dyDescent="0.25">
      <c r="C65" s="305" t="s">
        <v>825</v>
      </c>
      <c r="D65" s="253"/>
      <c r="E65" s="451"/>
      <c r="F65" s="451"/>
      <c r="G65" s="450">
        <f t="shared" ref="G65:Q67" si="48">G59/G$57</f>
        <v>0.31271319279097753</v>
      </c>
      <c r="H65" s="450">
        <f t="shared" si="48"/>
        <v>0.33528079909866776</v>
      </c>
      <c r="I65" s="450">
        <f t="shared" si="48"/>
        <v>0.244973518197725</v>
      </c>
      <c r="J65" s="450">
        <f t="shared" si="48"/>
        <v>0.22925505456131048</v>
      </c>
      <c r="K65" s="450">
        <f t="shared" si="48"/>
        <v>0.21425160587876174</v>
      </c>
      <c r="L65" s="450">
        <f t="shared" si="48"/>
        <v>0.18417383187778716</v>
      </c>
      <c r="M65" s="450">
        <f t="shared" si="48"/>
        <v>0.20824819043831555</v>
      </c>
      <c r="N65" s="450">
        <f t="shared" si="48"/>
        <v>0.17857402474658546</v>
      </c>
      <c r="O65" s="450">
        <f t="shared" si="48"/>
        <v>0.2032257883819073</v>
      </c>
      <c r="P65" s="450">
        <f t="shared" si="48"/>
        <v>0.20178977953264068</v>
      </c>
      <c r="Q65" s="450">
        <f t="shared" si="48"/>
        <v>0.20038863082680761</v>
      </c>
      <c r="AZ65" s="225"/>
      <c r="BA65" s="225"/>
      <c r="BB65" s="225"/>
      <c r="BC65" s="225"/>
    </row>
    <row r="66" spans="3:55" x14ac:dyDescent="0.25">
      <c r="C66" s="305" t="s">
        <v>826</v>
      </c>
      <c r="D66" s="253"/>
      <c r="E66" s="451"/>
      <c r="F66" s="451"/>
      <c r="G66" s="450">
        <f t="shared" si="48"/>
        <v>-0.45463678675564184</v>
      </c>
      <c r="H66" s="450">
        <f t="shared" si="48"/>
        <v>0.24243938315923158</v>
      </c>
      <c r="I66" s="450">
        <f t="shared" si="48"/>
        <v>0.17252973247049186</v>
      </c>
      <c r="J66" s="450">
        <f t="shared" si="48"/>
        <v>0.17211386351735031</v>
      </c>
      <c r="K66" s="450">
        <f t="shared" si="48"/>
        <v>0.1687705253135201</v>
      </c>
      <c r="L66" s="450">
        <f t="shared" si="48"/>
        <v>0.14769232655200643</v>
      </c>
      <c r="M66" s="450">
        <f t="shared" si="48"/>
        <v>0.17878833854027312</v>
      </c>
      <c r="N66" s="450">
        <f t="shared" si="48"/>
        <v>0.15464350467744215</v>
      </c>
      <c r="O66" s="450">
        <f t="shared" si="48"/>
        <v>0.1836844672577212</v>
      </c>
      <c r="P66" s="450">
        <f t="shared" si="48"/>
        <v>0.18575717519830004</v>
      </c>
      <c r="Q66" s="450">
        <f t="shared" si="48"/>
        <v>0.18717839702755226</v>
      </c>
      <c r="AZ66" s="225"/>
      <c r="BA66" s="225"/>
      <c r="BB66" s="225"/>
      <c r="BC66" s="225"/>
    </row>
    <row r="67" spans="3:55" x14ac:dyDescent="0.25">
      <c r="C67" s="305" t="s">
        <v>827</v>
      </c>
      <c r="D67" s="253"/>
      <c r="E67" s="451"/>
      <c r="F67" s="451"/>
      <c r="G67" s="450">
        <f t="shared" si="48"/>
        <v>-0.52844514930078101</v>
      </c>
      <c r="H67" s="450">
        <f t="shared" si="48"/>
        <v>0.13729144856649966</v>
      </c>
      <c r="I67" s="450">
        <f t="shared" si="48"/>
        <v>9.192911788702221E-2</v>
      </c>
      <c r="J67" s="450">
        <f t="shared" si="48"/>
        <v>9.7305865484582615E-2</v>
      </c>
      <c r="K67" s="450">
        <f t="shared" si="48"/>
        <v>9.9804875250093184E-2</v>
      </c>
      <c r="L67" s="450">
        <f t="shared" si="48"/>
        <v>8.8632849290194715E-2</v>
      </c>
      <c r="M67" s="450">
        <f t="shared" si="48"/>
        <v>0.11563976585370836</v>
      </c>
      <c r="N67" s="450">
        <f t="shared" si="48"/>
        <v>0.10142447774226933</v>
      </c>
      <c r="O67" s="450">
        <f t="shared" si="48"/>
        <v>0.12628719626830526</v>
      </c>
      <c r="P67" s="450">
        <f t="shared" si="48"/>
        <v>0.13088688970972898</v>
      </c>
      <c r="Q67" s="450">
        <f t="shared" si="48"/>
        <v>0.13318552295913602</v>
      </c>
      <c r="AZ67" s="225"/>
      <c r="BA67" s="225"/>
      <c r="BB67" s="225"/>
      <c r="BC67" s="225"/>
    </row>
    <row r="68" spans="3:55" x14ac:dyDescent="0.25"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AZ68" s="225"/>
      <c r="BA68" s="225"/>
      <c r="BB68" s="225"/>
      <c r="BC68" s="225"/>
    </row>
    <row r="69" spans="3:55" x14ac:dyDescent="0.25">
      <c r="C69" s="291" t="str">
        <f>"Average "  &amp; C64</f>
        <v>Average Gross Profit %</v>
      </c>
      <c r="D69" s="291"/>
      <c r="E69" s="508">
        <f>AVERAGE(G64:Q64)</f>
        <v>0.27344312875740789</v>
      </c>
      <c r="F69" s="508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AZ69" s="225"/>
      <c r="BA69" s="225"/>
      <c r="BB69" s="225"/>
      <c r="BC69" s="225"/>
    </row>
    <row r="70" spans="3:55" x14ac:dyDescent="0.25">
      <c r="C70" s="291" t="str">
        <f t="shared" ref="C70:C72" si="49">"Average "  &amp; C65</f>
        <v>Average EBITDA %</v>
      </c>
      <c r="D70" s="291"/>
      <c r="E70" s="508">
        <f>AVERAGE(G65:Q65)</f>
        <v>0.22844312875740788</v>
      </c>
      <c r="F70" s="508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AZ70" s="225"/>
      <c r="BA70" s="225"/>
      <c r="BB70" s="225"/>
      <c r="BC70" s="225"/>
    </row>
    <row r="71" spans="3:55" x14ac:dyDescent="0.25">
      <c r="C71" s="291" t="str">
        <f t="shared" si="49"/>
        <v>Average EBIT %</v>
      </c>
      <c r="D71" s="291"/>
      <c r="E71" s="508">
        <f>AVERAGE(H66:Q66)</f>
        <v>0.17935977137138889</v>
      </c>
      <c r="F71" s="508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AZ71" s="225"/>
      <c r="BA71" s="225"/>
      <c r="BB71" s="225"/>
      <c r="BC71" s="225"/>
    </row>
    <row r="72" spans="3:55" x14ac:dyDescent="0.25">
      <c r="C72" s="291" t="str">
        <f t="shared" si="49"/>
        <v>Average PAT %</v>
      </c>
      <c r="D72" s="291"/>
      <c r="E72" s="508">
        <f>AVERAGE(H67:Q67)</f>
        <v>0.11223880090115404</v>
      </c>
      <c r="F72" s="508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AZ72" s="225"/>
      <c r="BA72" s="225"/>
      <c r="BB72" s="225"/>
      <c r="BC72" s="225"/>
    </row>
    <row r="73" spans="3:55" x14ac:dyDescent="0.25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AZ73" s="225"/>
      <c r="BA73" s="225"/>
      <c r="BB73" s="225"/>
      <c r="BC73" s="225"/>
    </row>
    <row r="74" spans="3:55" x14ac:dyDescent="0.25"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AZ74" s="225"/>
      <c r="BA74" s="225"/>
      <c r="BB74" s="225"/>
      <c r="BC74" s="225"/>
    </row>
    <row r="75" spans="3:55" x14ac:dyDescent="0.25"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AZ75" s="225"/>
      <c r="BA75" s="225"/>
      <c r="BB75" s="225"/>
      <c r="BC75" s="225"/>
    </row>
    <row r="76" spans="3:55" x14ac:dyDescent="0.25"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AZ76" s="225"/>
      <c r="BA76" s="225"/>
      <c r="BB76" s="225"/>
      <c r="BC76" s="225"/>
    </row>
    <row r="77" spans="3:55" x14ac:dyDescent="0.25"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AZ77" s="225"/>
      <c r="BA77" s="225"/>
      <c r="BB77" s="225"/>
      <c r="BC77" s="225"/>
    </row>
    <row r="78" spans="3:55" x14ac:dyDescent="0.25"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AZ78" s="225"/>
      <c r="BA78" s="225"/>
      <c r="BB78" s="225"/>
      <c r="BC78" s="225"/>
    </row>
    <row r="79" spans="3:55" x14ac:dyDescent="0.25"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AZ79" s="225"/>
      <c r="BA79" s="225"/>
      <c r="BB79" s="225"/>
      <c r="BC79" s="225"/>
    </row>
    <row r="80" spans="3:55" x14ac:dyDescent="0.25"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AZ80" s="225"/>
      <c r="BA80" s="225"/>
      <c r="BB80" s="225"/>
      <c r="BC80" s="225"/>
    </row>
    <row r="81" spans="5:55" x14ac:dyDescent="0.25"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AZ81" s="225"/>
      <c r="BA81" s="225"/>
      <c r="BB81" s="225"/>
      <c r="BC81" s="225"/>
    </row>
    <row r="82" spans="5:55" x14ac:dyDescent="0.25"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AZ82" s="225"/>
      <c r="BA82" s="225"/>
      <c r="BB82" s="225"/>
      <c r="BC82" s="225"/>
    </row>
    <row r="83" spans="5:55" x14ac:dyDescent="0.25"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AZ83" s="225"/>
      <c r="BA83" s="225"/>
      <c r="BB83" s="225"/>
      <c r="BC83" s="225"/>
    </row>
    <row r="84" spans="5:55" x14ac:dyDescent="0.25"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AZ84" s="225"/>
      <c r="BA84" s="225"/>
      <c r="BB84" s="225"/>
      <c r="BC84" s="225"/>
    </row>
    <row r="85" spans="5:55" x14ac:dyDescent="0.25"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AZ85" s="225"/>
      <c r="BA85" s="225"/>
      <c r="BB85" s="225"/>
      <c r="BC85" s="225"/>
    </row>
    <row r="86" spans="5:55" x14ac:dyDescent="0.25"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AZ86" s="225"/>
      <c r="BA86" s="225"/>
      <c r="BB86" s="225"/>
      <c r="BC86" s="225"/>
    </row>
    <row r="87" spans="5:55" x14ac:dyDescent="0.25"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AZ87" s="225"/>
      <c r="BA87" s="225"/>
      <c r="BB87" s="225"/>
      <c r="BC87" s="225"/>
    </row>
    <row r="88" spans="5:55" x14ac:dyDescent="0.25"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AZ88" s="225"/>
      <c r="BA88" s="225"/>
      <c r="BB88" s="225"/>
      <c r="BC88" s="225"/>
    </row>
    <row r="89" spans="5:55" x14ac:dyDescent="0.25"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AZ89" s="225"/>
      <c r="BA89" s="225"/>
      <c r="BB89" s="225"/>
      <c r="BC89" s="225"/>
    </row>
    <row r="90" spans="5:55" x14ac:dyDescent="0.25"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AZ90" s="225"/>
      <c r="BA90" s="225"/>
      <c r="BB90" s="225"/>
      <c r="BC90" s="225"/>
    </row>
    <row r="91" spans="5:55" x14ac:dyDescent="0.25"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AZ91" s="225"/>
      <c r="BA91" s="225"/>
      <c r="BB91" s="225"/>
      <c r="BC91" s="225"/>
    </row>
    <row r="92" spans="5:55" x14ac:dyDescent="0.25"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AZ92" s="225"/>
      <c r="BA92" s="225"/>
      <c r="BB92" s="225"/>
      <c r="BC92" s="225"/>
    </row>
    <row r="93" spans="5:55" x14ac:dyDescent="0.25"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AZ93" s="225"/>
      <c r="BA93" s="225"/>
      <c r="BB93" s="225"/>
      <c r="BC93" s="225"/>
    </row>
    <row r="94" spans="5:55" x14ac:dyDescent="0.25"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AZ94" s="225"/>
      <c r="BA94" s="225"/>
      <c r="BB94" s="225"/>
      <c r="BC94" s="225"/>
    </row>
    <row r="95" spans="5:55" x14ac:dyDescent="0.25"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AZ95" s="225"/>
      <c r="BA95" s="225"/>
      <c r="BB95" s="225"/>
      <c r="BC95" s="225"/>
    </row>
    <row r="96" spans="5:55" x14ac:dyDescent="0.25"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AZ96" s="225"/>
      <c r="BA96" s="225"/>
      <c r="BB96" s="225"/>
      <c r="BC96" s="225"/>
    </row>
    <row r="97" spans="5:55" x14ac:dyDescent="0.25"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AZ97" s="225"/>
      <c r="BA97" s="225"/>
      <c r="BB97" s="225"/>
      <c r="BC97" s="225"/>
    </row>
    <row r="98" spans="5:55" x14ac:dyDescent="0.25"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AZ98" s="225"/>
      <c r="BA98" s="225"/>
      <c r="BB98" s="225"/>
      <c r="BC98" s="225"/>
    </row>
    <row r="99" spans="5:55" x14ac:dyDescent="0.25"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AZ99" s="225"/>
      <c r="BA99" s="225"/>
      <c r="BB99" s="225"/>
      <c r="BC99" s="225"/>
    </row>
    <row r="100" spans="5:55" x14ac:dyDescent="0.25"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AZ100" s="225"/>
      <c r="BA100" s="225"/>
      <c r="BB100" s="225"/>
      <c r="BC100" s="225"/>
    </row>
    <row r="101" spans="5:55" x14ac:dyDescent="0.25"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AZ101" s="225"/>
      <c r="BA101" s="225"/>
      <c r="BB101" s="225"/>
      <c r="BC101" s="225"/>
    </row>
    <row r="102" spans="5:55" x14ac:dyDescent="0.25"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AZ102" s="225"/>
      <c r="BA102" s="225"/>
      <c r="BB102" s="225"/>
      <c r="BC102" s="225"/>
    </row>
    <row r="103" spans="5:55" x14ac:dyDescent="0.25"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AZ103" s="225"/>
      <c r="BA103" s="225"/>
      <c r="BB103" s="225"/>
      <c r="BC103" s="225"/>
    </row>
    <row r="104" spans="5:55" x14ac:dyDescent="0.25"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AZ104" s="225"/>
      <c r="BA104" s="225"/>
      <c r="BB104" s="225"/>
      <c r="BC104" s="225"/>
    </row>
    <row r="105" spans="5:55" x14ac:dyDescent="0.25"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AZ105" s="225"/>
      <c r="BA105" s="225"/>
      <c r="BB105" s="225"/>
      <c r="BC105" s="225"/>
    </row>
    <row r="106" spans="5:55" x14ac:dyDescent="0.25"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AZ106" s="225"/>
      <c r="BA106" s="225"/>
      <c r="BB106" s="225"/>
      <c r="BC106" s="225"/>
    </row>
    <row r="107" spans="5:55" x14ac:dyDescent="0.25"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AZ107" s="225"/>
      <c r="BA107" s="225"/>
      <c r="BB107" s="225"/>
      <c r="BC107" s="225"/>
    </row>
    <row r="108" spans="5:55" x14ac:dyDescent="0.25"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AZ108" s="225"/>
      <c r="BA108" s="225"/>
      <c r="BB108" s="225"/>
      <c r="BC108" s="225"/>
    </row>
    <row r="109" spans="5:55" x14ac:dyDescent="0.25"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AZ109" s="225"/>
      <c r="BA109" s="225"/>
      <c r="BB109" s="225"/>
      <c r="BC109" s="225"/>
    </row>
    <row r="110" spans="5:55" x14ac:dyDescent="0.25"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AZ110" s="225"/>
      <c r="BA110" s="225"/>
      <c r="BB110" s="225"/>
      <c r="BC110" s="225"/>
    </row>
    <row r="111" spans="5:55" x14ac:dyDescent="0.25"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AZ111" s="225"/>
      <c r="BA111" s="225"/>
      <c r="BB111" s="225"/>
      <c r="BC111" s="225"/>
    </row>
    <row r="112" spans="5:55" x14ac:dyDescent="0.25"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AZ112" s="225"/>
      <c r="BA112" s="225"/>
      <c r="BB112" s="225"/>
      <c r="BC112" s="225"/>
    </row>
    <row r="113" spans="5:55" x14ac:dyDescent="0.25"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AZ113" s="225"/>
      <c r="BA113" s="225"/>
      <c r="BB113" s="225"/>
      <c r="BC113" s="225"/>
    </row>
    <row r="114" spans="5:55" x14ac:dyDescent="0.25"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  <c r="AZ114" s="225"/>
      <c r="BA114" s="225"/>
      <c r="BB114" s="225"/>
      <c r="BC114" s="225"/>
    </row>
    <row r="115" spans="5:55" x14ac:dyDescent="0.25"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AZ115" s="225"/>
      <c r="BA115" s="225"/>
      <c r="BB115" s="225"/>
      <c r="BC115" s="225"/>
    </row>
    <row r="116" spans="5:55" x14ac:dyDescent="0.25"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AZ116" s="225"/>
      <c r="BA116" s="225"/>
      <c r="BB116" s="225"/>
      <c r="BC116" s="225"/>
    </row>
    <row r="117" spans="5:55" x14ac:dyDescent="0.25"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AZ117" s="225"/>
      <c r="BA117" s="225"/>
      <c r="BB117" s="225"/>
      <c r="BC117" s="225"/>
    </row>
    <row r="118" spans="5:55" x14ac:dyDescent="0.25"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AZ118" s="225"/>
      <c r="BA118" s="225"/>
      <c r="BB118" s="225"/>
      <c r="BC118" s="225"/>
    </row>
    <row r="119" spans="5:55" x14ac:dyDescent="0.25"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AZ119" s="225"/>
      <c r="BA119" s="225"/>
      <c r="BB119" s="225"/>
      <c r="BC119" s="225"/>
    </row>
    <row r="120" spans="5:55" x14ac:dyDescent="0.25"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AZ120" s="225"/>
      <c r="BA120" s="225"/>
      <c r="BB120" s="225"/>
      <c r="BC120" s="225"/>
    </row>
    <row r="121" spans="5:55" x14ac:dyDescent="0.25"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AZ121" s="225"/>
      <c r="BA121" s="225"/>
      <c r="BB121" s="225"/>
      <c r="BC121" s="225"/>
    </row>
    <row r="122" spans="5:55" x14ac:dyDescent="0.25"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AZ122" s="225"/>
      <c r="BA122" s="225"/>
      <c r="BB122" s="225"/>
      <c r="BC122" s="225"/>
    </row>
    <row r="123" spans="5:55" x14ac:dyDescent="0.25"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AZ123" s="225"/>
      <c r="BA123" s="225"/>
      <c r="BB123" s="225"/>
      <c r="BC123" s="225"/>
    </row>
    <row r="124" spans="5:55" x14ac:dyDescent="0.25"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AZ124" s="225"/>
      <c r="BA124" s="225"/>
      <c r="BB124" s="225"/>
      <c r="BC124" s="225"/>
    </row>
    <row r="125" spans="5:55" x14ac:dyDescent="0.25"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AZ125" s="225"/>
      <c r="BA125" s="225"/>
      <c r="BB125" s="225"/>
      <c r="BC125" s="225"/>
    </row>
    <row r="126" spans="5:55" x14ac:dyDescent="0.25"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AZ126" s="225"/>
      <c r="BA126" s="225"/>
      <c r="BB126" s="225"/>
      <c r="BC126" s="225"/>
    </row>
    <row r="127" spans="5:55" x14ac:dyDescent="0.25"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AZ127" s="225"/>
      <c r="BA127" s="225"/>
      <c r="BB127" s="225"/>
      <c r="BC127" s="225"/>
    </row>
    <row r="128" spans="5:55" x14ac:dyDescent="0.25"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AZ128" s="225"/>
      <c r="BA128" s="225"/>
      <c r="BB128" s="225"/>
      <c r="BC128" s="225"/>
    </row>
    <row r="129" spans="5:55" x14ac:dyDescent="0.25"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AZ129" s="225"/>
      <c r="BA129" s="225"/>
      <c r="BB129" s="225"/>
      <c r="BC129" s="225"/>
    </row>
    <row r="130" spans="5:55" x14ac:dyDescent="0.25"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AZ130" s="225"/>
      <c r="BA130" s="225"/>
      <c r="BB130" s="225"/>
      <c r="BC130" s="225"/>
    </row>
    <row r="131" spans="5:55" x14ac:dyDescent="0.25"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AZ131" s="225"/>
      <c r="BA131" s="225"/>
      <c r="BB131" s="225"/>
      <c r="BC131" s="225"/>
    </row>
    <row r="132" spans="5:55" x14ac:dyDescent="0.25"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AZ132" s="225"/>
      <c r="BA132" s="225"/>
      <c r="BB132" s="225"/>
      <c r="BC132" s="225"/>
    </row>
    <row r="133" spans="5:55" x14ac:dyDescent="0.25"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AZ133" s="225"/>
      <c r="BA133" s="225"/>
      <c r="BB133" s="225"/>
      <c r="BC133" s="225"/>
    </row>
    <row r="134" spans="5:55" x14ac:dyDescent="0.25"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AZ134" s="225"/>
      <c r="BA134" s="225"/>
      <c r="BB134" s="225"/>
      <c r="BC134" s="225"/>
    </row>
    <row r="135" spans="5:55" x14ac:dyDescent="0.25"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AZ135" s="225"/>
      <c r="BA135" s="225"/>
      <c r="BB135" s="225"/>
      <c r="BC135" s="225"/>
    </row>
    <row r="136" spans="5:55" x14ac:dyDescent="0.25"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AZ136" s="225"/>
      <c r="BA136" s="225"/>
      <c r="BB136" s="225"/>
      <c r="BC136" s="225"/>
    </row>
    <row r="137" spans="5:55" x14ac:dyDescent="0.25"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AZ137" s="225"/>
      <c r="BA137" s="225"/>
      <c r="BB137" s="225"/>
      <c r="BC137" s="225"/>
    </row>
    <row r="138" spans="5:55" x14ac:dyDescent="0.25"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AZ138" s="225"/>
      <c r="BA138" s="225"/>
      <c r="BB138" s="225"/>
      <c r="BC138" s="225"/>
    </row>
    <row r="139" spans="5:55" x14ac:dyDescent="0.25"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AZ139" s="225"/>
      <c r="BA139" s="225"/>
      <c r="BB139" s="225"/>
      <c r="BC139" s="225"/>
    </row>
    <row r="140" spans="5:55" x14ac:dyDescent="0.25"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AZ140" s="225"/>
      <c r="BA140" s="225"/>
      <c r="BB140" s="225"/>
      <c r="BC140" s="225"/>
    </row>
    <row r="141" spans="5:55" x14ac:dyDescent="0.25"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AZ141" s="225"/>
      <c r="BA141" s="225"/>
      <c r="BB141" s="225"/>
      <c r="BC141" s="225"/>
    </row>
    <row r="142" spans="5:55" x14ac:dyDescent="0.25"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AZ142" s="225"/>
      <c r="BA142" s="225"/>
      <c r="BB142" s="225"/>
      <c r="BC142" s="225"/>
    </row>
    <row r="143" spans="5:55" x14ac:dyDescent="0.25"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AZ143" s="225"/>
      <c r="BA143" s="225"/>
      <c r="BB143" s="225"/>
      <c r="BC143" s="225"/>
    </row>
    <row r="144" spans="5:55" x14ac:dyDescent="0.25"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AZ144" s="225"/>
      <c r="BA144" s="225"/>
      <c r="BB144" s="225"/>
      <c r="BC144" s="225"/>
    </row>
    <row r="145" spans="5:55" x14ac:dyDescent="0.25"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AZ145" s="225"/>
      <c r="BA145" s="225"/>
      <c r="BB145" s="225"/>
      <c r="BC145" s="225"/>
    </row>
    <row r="146" spans="5:55" x14ac:dyDescent="0.25"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AZ146" s="225"/>
      <c r="BA146" s="225"/>
      <c r="BB146" s="225"/>
      <c r="BC146" s="225"/>
    </row>
    <row r="147" spans="5:55" x14ac:dyDescent="0.25"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AZ147" s="225"/>
      <c r="BA147" s="225"/>
      <c r="BB147" s="225"/>
      <c r="BC147" s="225"/>
    </row>
    <row r="148" spans="5:55" x14ac:dyDescent="0.25"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AZ148" s="225"/>
      <c r="BA148" s="225"/>
      <c r="BB148" s="225"/>
      <c r="BC148" s="225"/>
    </row>
    <row r="149" spans="5:55" x14ac:dyDescent="0.25"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AZ149" s="225"/>
      <c r="BA149" s="225"/>
      <c r="BB149" s="225"/>
      <c r="BC149" s="225"/>
    </row>
    <row r="150" spans="5:55" x14ac:dyDescent="0.25"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AZ150" s="225"/>
      <c r="BA150" s="225"/>
      <c r="BB150" s="225"/>
      <c r="BC150" s="225"/>
    </row>
    <row r="151" spans="5:55" x14ac:dyDescent="0.25"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AZ151" s="225"/>
      <c r="BA151" s="225"/>
      <c r="BB151" s="225"/>
      <c r="BC151" s="225"/>
    </row>
    <row r="152" spans="5:55" x14ac:dyDescent="0.25"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AZ152" s="225"/>
      <c r="BA152" s="225"/>
      <c r="BB152" s="225"/>
      <c r="BC152" s="225"/>
    </row>
    <row r="153" spans="5:55" x14ac:dyDescent="0.25"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AZ153" s="225"/>
      <c r="BA153" s="225"/>
      <c r="BB153" s="225"/>
      <c r="BC153" s="225"/>
    </row>
    <row r="154" spans="5:55" x14ac:dyDescent="0.25"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AZ154" s="225"/>
      <c r="BA154" s="225"/>
      <c r="BB154" s="225"/>
      <c r="BC154" s="225"/>
    </row>
    <row r="155" spans="5:55" x14ac:dyDescent="0.25"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AZ155" s="225"/>
      <c r="BA155" s="225"/>
      <c r="BB155" s="225"/>
      <c r="BC155" s="225"/>
    </row>
    <row r="156" spans="5:55" x14ac:dyDescent="0.25"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AZ156" s="225"/>
      <c r="BA156" s="225"/>
      <c r="BB156" s="225"/>
      <c r="BC156" s="225"/>
    </row>
    <row r="157" spans="5:55" x14ac:dyDescent="0.25"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AZ157" s="225"/>
      <c r="BA157" s="225"/>
      <c r="BB157" s="225"/>
      <c r="BC157" s="225"/>
    </row>
    <row r="158" spans="5:55" x14ac:dyDescent="0.25"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AZ158" s="225"/>
      <c r="BA158" s="225"/>
      <c r="BB158" s="225"/>
      <c r="BC158" s="225"/>
    </row>
    <row r="159" spans="5:55" x14ac:dyDescent="0.25"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AZ159" s="225"/>
      <c r="BA159" s="225"/>
      <c r="BB159" s="225"/>
      <c r="BC159" s="225"/>
    </row>
    <row r="160" spans="5:55" x14ac:dyDescent="0.25"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AZ160" s="225"/>
      <c r="BA160" s="225"/>
      <c r="BB160" s="225"/>
      <c r="BC160" s="225"/>
    </row>
    <row r="161" spans="5:55" x14ac:dyDescent="0.25"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AZ161" s="225"/>
      <c r="BA161" s="225"/>
      <c r="BB161" s="225"/>
      <c r="BC161" s="225"/>
    </row>
    <row r="162" spans="5:55" x14ac:dyDescent="0.25"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AZ162" s="225"/>
      <c r="BA162" s="225"/>
      <c r="BB162" s="225"/>
      <c r="BC162" s="225"/>
    </row>
    <row r="163" spans="5:55" x14ac:dyDescent="0.25"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AZ163" s="225"/>
      <c r="BA163" s="225"/>
      <c r="BB163" s="225"/>
      <c r="BC163" s="225"/>
    </row>
    <row r="164" spans="5:55" x14ac:dyDescent="0.25"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AZ164" s="225"/>
      <c r="BA164" s="225"/>
      <c r="BB164" s="225"/>
      <c r="BC164" s="225"/>
    </row>
    <row r="165" spans="5:55" x14ac:dyDescent="0.25"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AZ165" s="225"/>
      <c r="BA165" s="225"/>
      <c r="BB165" s="225"/>
      <c r="BC165" s="225"/>
    </row>
    <row r="166" spans="5:55" x14ac:dyDescent="0.25"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AZ166" s="225"/>
      <c r="BA166" s="225"/>
      <c r="BB166" s="225"/>
      <c r="BC166" s="225"/>
    </row>
    <row r="167" spans="5:55" x14ac:dyDescent="0.25"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AZ167" s="225"/>
      <c r="BA167" s="225"/>
      <c r="BB167" s="225"/>
      <c r="BC167" s="225"/>
    </row>
    <row r="168" spans="5:55" x14ac:dyDescent="0.25"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AZ168" s="225"/>
      <c r="BA168" s="225"/>
      <c r="BB168" s="225"/>
      <c r="BC168" s="225"/>
    </row>
    <row r="169" spans="5:55" x14ac:dyDescent="0.25"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AZ169" s="225"/>
      <c r="BA169" s="225"/>
      <c r="BB169" s="225"/>
      <c r="BC169" s="225"/>
    </row>
    <row r="170" spans="5:55" x14ac:dyDescent="0.25"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AZ170" s="225"/>
      <c r="BA170" s="225"/>
      <c r="BB170" s="225"/>
      <c r="BC170" s="225"/>
    </row>
    <row r="171" spans="5:55" x14ac:dyDescent="0.25"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AZ171" s="225"/>
      <c r="BA171" s="225"/>
      <c r="BB171" s="225"/>
      <c r="BC171" s="225"/>
    </row>
    <row r="172" spans="5:55" x14ac:dyDescent="0.25"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AZ172" s="225"/>
      <c r="BA172" s="225"/>
      <c r="BB172" s="225"/>
      <c r="BC172" s="225"/>
    </row>
    <row r="173" spans="5:55" x14ac:dyDescent="0.25"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AZ173" s="225"/>
      <c r="BA173" s="225"/>
      <c r="BB173" s="225"/>
      <c r="BC173" s="225"/>
    </row>
    <row r="174" spans="5:55" x14ac:dyDescent="0.25"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AZ174" s="225"/>
      <c r="BA174" s="225"/>
      <c r="BB174" s="225"/>
      <c r="BC174" s="225"/>
    </row>
    <row r="175" spans="5:55" x14ac:dyDescent="0.25"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AZ175" s="225"/>
      <c r="BA175" s="225"/>
      <c r="BB175" s="225"/>
      <c r="BC175" s="225"/>
    </row>
    <row r="176" spans="5:55" x14ac:dyDescent="0.25"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AZ176" s="225"/>
      <c r="BA176" s="225"/>
      <c r="BB176" s="225"/>
      <c r="BC176" s="225"/>
    </row>
    <row r="177" spans="5:55" x14ac:dyDescent="0.25"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AZ177" s="225"/>
      <c r="BA177" s="225"/>
      <c r="BB177" s="225"/>
      <c r="BC177" s="225"/>
    </row>
    <row r="178" spans="5:55" x14ac:dyDescent="0.25"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AZ178" s="225"/>
      <c r="BA178" s="225"/>
      <c r="BB178" s="225"/>
      <c r="BC178" s="225"/>
    </row>
    <row r="179" spans="5:55" x14ac:dyDescent="0.25"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26"/>
      <c r="P179" s="226"/>
      <c r="Q179" s="226"/>
      <c r="AZ179" s="225"/>
      <c r="BA179" s="225"/>
      <c r="BB179" s="225"/>
      <c r="BC179" s="225"/>
    </row>
    <row r="180" spans="5:55" x14ac:dyDescent="0.25"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226"/>
      <c r="Q180" s="226"/>
      <c r="AZ180" s="225"/>
      <c r="BA180" s="225"/>
      <c r="BB180" s="225"/>
      <c r="BC180" s="225"/>
    </row>
    <row r="181" spans="5:55" x14ac:dyDescent="0.25"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AZ181" s="225"/>
      <c r="BA181" s="225"/>
      <c r="BB181" s="225"/>
      <c r="BC181" s="225"/>
    </row>
    <row r="182" spans="5:55" x14ac:dyDescent="0.25"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AZ182" s="225"/>
      <c r="BA182" s="225"/>
      <c r="BB182" s="225"/>
      <c r="BC182" s="225"/>
    </row>
    <row r="183" spans="5:55" x14ac:dyDescent="0.25"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AZ183" s="225"/>
      <c r="BA183" s="225"/>
      <c r="BB183" s="225"/>
      <c r="BC183" s="225"/>
    </row>
    <row r="184" spans="5:55" x14ac:dyDescent="0.25"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AZ184" s="225"/>
      <c r="BA184" s="225"/>
      <c r="BB184" s="225"/>
      <c r="BC184" s="225"/>
    </row>
    <row r="185" spans="5:55" x14ac:dyDescent="0.25"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AZ185" s="225"/>
      <c r="BA185" s="225"/>
      <c r="BB185" s="225"/>
      <c r="BC185" s="225"/>
    </row>
    <row r="186" spans="5:55" x14ac:dyDescent="0.25"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AZ186" s="225"/>
      <c r="BA186" s="225"/>
      <c r="BB186" s="225"/>
      <c r="BC186" s="225"/>
    </row>
    <row r="187" spans="5:55" x14ac:dyDescent="0.25"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AZ187" s="225"/>
      <c r="BA187" s="225"/>
      <c r="BB187" s="225"/>
      <c r="BC187" s="225"/>
    </row>
    <row r="188" spans="5:55" x14ac:dyDescent="0.25"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AZ188" s="225"/>
      <c r="BA188" s="225"/>
      <c r="BB188" s="225"/>
      <c r="BC188" s="225"/>
    </row>
    <row r="189" spans="5:55" x14ac:dyDescent="0.25"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AZ189" s="225"/>
      <c r="BA189" s="225"/>
      <c r="BB189" s="225"/>
      <c r="BC189" s="225"/>
    </row>
    <row r="190" spans="5:55" x14ac:dyDescent="0.25"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AZ190" s="225"/>
      <c r="BA190" s="225"/>
      <c r="BB190" s="225"/>
      <c r="BC190" s="225"/>
    </row>
    <row r="191" spans="5:55" x14ac:dyDescent="0.25"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AZ191" s="225"/>
      <c r="BA191" s="225"/>
      <c r="BB191" s="225"/>
      <c r="BC191" s="225"/>
    </row>
    <row r="192" spans="5:55" x14ac:dyDescent="0.25"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AZ192" s="225"/>
      <c r="BA192" s="225"/>
      <c r="BB192" s="225"/>
      <c r="BC192" s="225"/>
    </row>
    <row r="193" spans="5:55" x14ac:dyDescent="0.25"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AZ193" s="225"/>
      <c r="BA193" s="225"/>
      <c r="BB193" s="225"/>
      <c r="BC193" s="225"/>
    </row>
    <row r="194" spans="5:55" x14ac:dyDescent="0.25"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AZ194" s="225"/>
      <c r="BA194" s="225"/>
      <c r="BB194" s="225"/>
      <c r="BC194" s="225"/>
    </row>
    <row r="195" spans="5:55" x14ac:dyDescent="0.25"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AZ195" s="225"/>
      <c r="BA195" s="225"/>
      <c r="BB195" s="225"/>
      <c r="BC195" s="225"/>
    </row>
    <row r="196" spans="5:55" x14ac:dyDescent="0.25"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AZ196" s="225"/>
      <c r="BA196" s="225"/>
      <c r="BB196" s="225"/>
      <c r="BC196" s="225"/>
    </row>
    <row r="197" spans="5:55" x14ac:dyDescent="0.25"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AZ197" s="225"/>
      <c r="BA197" s="225"/>
      <c r="BB197" s="225"/>
      <c r="BC197" s="225"/>
    </row>
    <row r="198" spans="5:55" x14ac:dyDescent="0.25"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AZ198" s="225"/>
      <c r="BA198" s="225"/>
      <c r="BB198" s="225"/>
      <c r="BC198" s="225"/>
    </row>
    <row r="199" spans="5:55" x14ac:dyDescent="0.25"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226"/>
      <c r="Q199" s="226"/>
      <c r="AZ199" s="225"/>
      <c r="BA199" s="225"/>
      <c r="BB199" s="225"/>
      <c r="BC199" s="225"/>
    </row>
    <row r="200" spans="5:55" x14ac:dyDescent="0.25"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AZ200" s="225"/>
      <c r="BA200" s="225"/>
      <c r="BB200" s="225"/>
      <c r="BC200" s="225"/>
    </row>
    <row r="201" spans="5:55" x14ac:dyDescent="0.25"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AZ201" s="225"/>
      <c r="BA201" s="225"/>
      <c r="BB201" s="225"/>
      <c r="BC201" s="225"/>
    </row>
    <row r="202" spans="5:55" x14ac:dyDescent="0.25"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AZ202" s="225"/>
      <c r="BA202" s="225"/>
      <c r="BB202" s="225"/>
      <c r="BC202" s="225"/>
    </row>
    <row r="203" spans="5:55" x14ac:dyDescent="0.25"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AZ203" s="225"/>
      <c r="BA203" s="225"/>
      <c r="BB203" s="225"/>
      <c r="BC203" s="225"/>
    </row>
    <row r="204" spans="5:55" x14ac:dyDescent="0.25"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AZ204" s="225"/>
      <c r="BA204" s="225"/>
      <c r="BB204" s="225"/>
      <c r="BC204" s="225"/>
    </row>
    <row r="205" spans="5:55" x14ac:dyDescent="0.25">
      <c r="E205" s="226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AZ205" s="225"/>
      <c r="BA205" s="225"/>
      <c r="BB205" s="225"/>
      <c r="BC205" s="225"/>
    </row>
    <row r="206" spans="5:55" x14ac:dyDescent="0.25"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AZ206" s="225"/>
      <c r="BA206" s="225"/>
      <c r="BB206" s="225"/>
      <c r="BC206" s="225"/>
    </row>
    <row r="207" spans="5:55" x14ac:dyDescent="0.25"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AZ207" s="225"/>
      <c r="BA207" s="225"/>
      <c r="BB207" s="225"/>
      <c r="BC207" s="225"/>
    </row>
    <row r="208" spans="5:55" x14ac:dyDescent="0.25"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AZ208" s="225"/>
      <c r="BA208" s="225"/>
      <c r="BB208" s="225"/>
      <c r="BC208" s="225"/>
    </row>
    <row r="209" spans="5:55" x14ac:dyDescent="0.25"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AZ209" s="225"/>
      <c r="BA209" s="225"/>
      <c r="BB209" s="225"/>
      <c r="BC209" s="225"/>
    </row>
    <row r="210" spans="5:55" x14ac:dyDescent="0.25">
      <c r="E210" s="226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AZ210" s="225"/>
      <c r="BA210" s="225"/>
      <c r="BB210" s="225"/>
      <c r="BC210" s="225"/>
    </row>
    <row r="211" spans="5:55" x14ac:dyDescent="0.25"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AZ211" s="225"/>
      <c r="BA211" s="225"/>
      <c r="BB211" s="225"/>
      <c r="BC211" s="225"/>
    </row>
    <row r="212" spans="5:55" x14ac:dyDescent="0.25"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AZ212" s="225"/>
      <c r="BA212" s="225"/>
      <c r="BB212" s="225"/>
      <c r="BC212" s="225"/>
    </row>
    <row r="213" spans="5:55" x14ac:dyDescent="0.25"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AZ213" s="225"/>
      <c r="BA213" s="225"/>
      <c r="BB213" s="225"/>
      <c r="BC213" s="225"/>
    </row>
    <row r="214" spans="5:55" x14ac:dyDescent="0.25"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AZ214" s="225"/>
      <c r="BA214" s="225"/>
      <c r="BB214" s="225"/>
      <c r="BC214" s="225"/>
    </row>
    <row r="215" spans="5:55" x14ac:dyDescent="0.25"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AZ215" s="225"/>
      <c r="BA215" s="225"/>
      <c r="BB215" s="225"/>
      <c r="BC215" s="225"/>
    </row>
    <row r="216" spans="5:55" x14ac:dyDescent="0.25">
      <c r="E216" s="226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AZ216" s="225"/>
      <c r="BA216" s="225"/>
      <c r="BB216" s="225"/>
      <c r="BC216" s="225"/>
    </row>
    <row r="217" spans="5:55" x14ac:dyDescent="0.25"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AZ217" s="225"/>
      <c r="BA217" s="225"/>
      <c r="BB217" s="225"/>
      <c r="BC217" s="225"/>
    </row>
    <row r="218" spans="5:55" x14ac:dyDescent="0.25"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AZ218" s="225"/>
      <c r="BA218" s="225"/>
      <c r="BB218" s="225"/>
      <c r="BC218" s="225"/>
    </row>
    <row r="219" spans="5:55" x14ac:dyDescent="0.25"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AZ219" s="225"/>
      <c r="BA219" s="225"/>
      <c r="BB219" s="225"/>
      <c r="BC219" s="225"/>
    </row>
    <row r="220" spans="5:55" x14ac:dyDescent="0.25"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AZ220" s="225"/>
      <c r="BA220" s="225"/>
      <c r="BB220" s="225"/>
      <c r="BC220" s="225"/>
    </row>
    <row r="221" spans="5:55" x14ac:dyDescent="0.25"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AZ221" s="225"/>
      <c r="BA221" s="225"/>
      <c r="BB221" s="225"/>
      <c r="BC221" s="225"/>
    </row>
    <row r="222" spans="5:55" x14ac:dyDescent="0.25">
      <c r="E222" s="226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AZ222" s="225"/>
      <c r="BA222" s="225"/>
      <c r="BB222" s="225"/>
      <c r="BC222" s="225"/>
    </row>
    <row r="223" spans="5:55" x14ac:dyDescent="0.25">
      <c r="E223" s="226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AZ223" s="225"/>
      <c r="BA223" s="225"/>
      <c r="BB223" s="225"/>
      <c r="BC223" s="225"/>
    </row>
    <row r="224" spans="5:55" x14ac:dyDescent="0.25"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AZ224" s="225"/>
      <c r="BA224" s="225"/>
      <c r="BB224" s="225"/>
      <c r="BC224" s="225"/>
    </row>
    <row r="225" spans="5:55" x14ac:dyDescent="0.25"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AZ225" s="225"/>
      <c r="BA225" s="225"/>
      <c r="BB225" s="225"/>
      <c r="BC225" s="225"/>
    </row>
    <row r="226" spans="5:55" x14ac:dyDescent="0.25"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AZ226" s="225"/>
      <c r="BA226" s="225"/>
      <c r="BB226" s="225"/>
      <c r="BC226" s="225"/>
    </row>
    <row r="227" spans="5:55" x14ac:dyDescent="0.25"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AZ227" s="225"/>
      <c r="BA227" s="225"/>
      <c r="BB227" s="225"/>
      <c r="BC227" s="225"/>
    </row>
    <row r="228" spans="5:55" x14ac:dyDescent="0.25">
      <c r="E228" s="226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AZ228" s="225"/>
      <c r="BA228" s="225"/>
      <c r="BB228" s="225"/>
      <c r="BC228" s="225"/>
    </row>
    <row r="229" spans="5:55" x14ac:dyDescent="0.25">
      <c r="E229" s="226"/>
      <c r="F229" s="226"/>
      <c r="G229" s="226"/>
      <c r="H229" s="226"/>
      <c r="I229" s="226"/>
      <c r="J229" s="226"/>
      <c r="K229" s="226"/>
      <c r="L229" s="226"/>
      <c r="M229" s="226"/>
      <c r="N229" s="226"/>
      <c r="O229" s="226"/>
      <c r="P229" s="226"/>
      <c r="Q229" s="226"/>
      <c r="AZ229" s="225"/>
      <c r="BA229" s="225"/>
      <c r="BB229" s="225"/>
      <c r="BC229" s="225"/>
    </row>
    <row r="230" spans="5:55" x14ac:dyDescent="0.25"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AZ230" s="225"/>
      <c r="BA230" s="225"/>
      <c r="BB230" s="225"/>
      <c r="BC230" s="225"/>
    </row>
    <row r="231" spans="5:55" x14ac:dyDescent="0.25"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AZ231" s="225"/>
      <c r="BA231" s="225"/>
      <c r="BB231" s="225"/>
      <c r="BC231" s="225"/>
    </row>
    <row r="232" spans="5:55" x14ac:dyDescent="0.25"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AZ232" s="225"/>
      <c r="BA232" s="225"/>
      <c r="BB232" s="225"/>
      <c r="BC232" s="225"/>
    </row>
    <row r="233" spans="5:55" x14ac:dyDescent="0.25"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AZ233" s="225"/>
      <c r="BA233" s="225"/>
      <c r="BB233" s="225"/>
      <c r="BC233" s="225"/>
    </row>
    <row r="234" spans="5:55" x14ac:dyDescent="0.25">
      <c r="E234" s="226"/>
      <c r="F234" s="226"/>
      <c r="G234" s="226"/>
      <c r="H234" s="226"/>
      <c r="I234" s="226"/>
      <c r="J234" s="226"/>
      <c r="K234" s="226"/>
      <c r="L234" s="226"/>
      <c r="M234" s="226"/>
      <c r="N234" s="226"/>
      <c r="O234" s="226"/>
      <c r="P234" s="226"/>
      <c r="Q234" s="226"/>
      <c r="AZ234" s="225"/>
      <c r="BA234" s="225"/>
      <c r="BB234" s="225"/>
      <c r="BC234" s="225"/>
    </row>
    <row r="235" spans="5:55" x14ac:dyDescent="0.25">
      <c r="E235" s="226"/>
      <c r="F235" s="226"/>
      <c r="G235" s="226"/>
      <c r="H235" s="226"/>
      <c r="I235" s="226"/>
      <c r="J235" s="226"/>
      <c r="K235" s="226"/>
      <c r="L235" s="226"/>
      <c r="M235" s="226"/>
      <c r="N235" s="226"/>
      <c r="O235" s="226"/>
      <c r="P235" s="226"/>
      <c r="Q235" s="226"/>
      <c r="AZ235" s="225"/>
      <c r="BA235" s="225"/>
      <c r="BB235" s="225"/>
      <c r="BC235" s="225"/>
    </row>
    <row r="236" spans="5:55" x14ac:dyDescent="0.25"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  <c r="O236" s="226"/>
      <c r="P236" s="226"/>
      <c r="Q236" s="226"/>
      <c r="AZ236" s="225"/>
      <c r="BA236" s="225"/>
      <c r="BB236" s="225"/>
      <c r="BC236" s="225"/>
    </row>
    <row r="237" spans="5:55" x14ac:dyDescent="0.25">
      <c r="E237" s="226"/>
      <c r="F237" s="226"/>
      <c r="G237" s="226"/>
      <c r="H237" s="226"/>
      <c r="I237" s="226"/>
      <c r="J237" s="226"/>
      <c r="K237" s="226"/>
      <c r="L237" s="226"/>
      <c r="M237" s="226"/>
      <c r="N237" s="226"/>
      <c r="O237" s="226"/>
      <c r="P237" s="226"/>
      <c r="Q237" s="226"/>
      <c r="AZ237" s="225"/>
      <c r="BA237" s="225"/>
      <c r="BB237" s="225"/>
      <c r="BC237" s="225"/>
    </row>
    <row r="238" spans="5:55" x14ac:dyDescent="0.25">
      <c r="E238" s="226"/>
      <c r="F238" s="226"/>
      <c r="G238" s="226"/>
      <c r="H238" s="226"/>
      <c r="I238" s="226"/>
      <c r="J238" s="226"/>
      <c r="K238" s="226"/>
      <c r="L238" s="226"/>
      <c r="M238" s="226"/>
      <c r="N238" s="226"/>
      <c r="O238" s="226"/>
      <c r="P238" s="226"/>
      <c r="Q238" s="226"/>
      <c r="AZ238" s="225"/>
      <c r="BA238" s="225"/>
      <c r="BB238" s="225"/>
      <c r="BC238" s="225"/>
    </row>
    <row r="239" spans="5:55" x14ac:dyDescent="0.25">
      <c r="E239" s="226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6"/>
      <c r="AZ239" s="225"/>
      <c r="BA239" s="225"/>
      <c r="BB239" s="225"/>
      <c r="BC239" s="225"/>
    </row>
    <row r="240" spans="5:55" x14ac:dyDescent="0.25">
      <c r="E240" s="226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AZ240" s="225"/>
      <c r="BA240" s="225"/>
      <c r="BB240" s="225"/>
      <c r="BC240" s="225"/>
    </row>
    <row r="241" spans="5:55" x14ac:dyDescent="0.25">
      <c r="E241" s="226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226"/>
      <c r="Q241" s="226"/>
      <c r="AZ241" s="225"/>
      <c r="BA241" s="225"/>
      <c r="BB241" s="225"/>
      <c r="BC241" s="225"/>
    </row>
    <row r="242" spans="5:55" x14ac:dyDescent="0.25">
      <c r="E242" s="226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AZ242" s="225"/>
      <c r="BA242" s="225"/>
      <c r="BB242" s="225"/>
      <c r="BC242" s="225"/>
    </row>
    <row r="243" spans="5:55" x14ac:dyDescent="0.25">
      <c r="E243" s="226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AZ243" s="225"/>
      <c r="BA243" s="225"/>
      <c r="BB243" s="225"/>
      <c r="BC243" s="225"/>
    </row>
    <row r="244" spans="5:55" x14ac:dyDescent="0.25">
      <c r="E244" s="226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226"/>
      <c r="Q244" s="226"/>
      <c r="AZ244" s="225"/>
      <c r="BA244" s="225"/>
      <c r="BB244" s="225"/>
      <c r="BC244" s="225"/>
    </row>
    <row r="245" spans="5:55" x14ac:dyDescent="0.25">
      <c r="E245" s="226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226"/>
      <c r="Q245" s="226"/>
      <c r="AZ245" s="225"/>
      <c r="BA245" s="225"/>
      <c r="BB245" s="225"/>
      <c r="BC245" s="225"/>
    </row>
    <row r="246" spans="5:55" x14ac:dyDescent="0.25">
      <c r="E246" s="226"/>
      <c r="F246" s="226"/>
      <c r="G246" s="226"/>
      <c r="H246" s="226"/>
      <c r="I246" s="226"/>
      <c r="J246" s="226"/>
      <c r="K246" s="226"/>
      <c r="L246" s="226"/>
      <c r="M246" s="226"/>
      <c r="N246" s="226"/>
      <c r="O246" s="226"/>
      <c r="P246" s="226"/>
      <c r="Q246" s="226"/>
      <c r="AZ246" s="225"/>
      <c r="BA246" s="225"/>
      <c r="BB246" s="225"/>
      <c r="BC246" s="225"/>
    </row>
    <row r="247" spans="5:55" x14ac:dyDescent="0.25">
      <c r="E247" s="226"/>
      <c r="F247" s="226"/>
      <c r="G247" s="226"/>
      <c r="H247" s="226"/>
      <c r="I247" s="226"/>
      <c r="J247" s="226"/>
      <c r="K247" s="226"/>
      <c r="L247" s="226"/>
      <c r="M247" s="226"/>
      <c r="N247" s="226"/>
      <c r="O247" s="226"/>
      <c r="P247" s="226"/>
      <c r="Q247" s="226"/>
      <c r="AZ247" s="225"/>
      <c r="BA247" s="225"/>
      <c r="BB247" s="225"/>
      <c r="BC247" s="225"/>
    </row>
    <row r="248" spans="5:55" x14ac:dyDescent="0.25">
      <c r="E248" s="226"/>
      <c r="F248" s="226"/>
      <c r="G248" s="226"/>
      <c r="H248" s="226"/>
      <c r="I248" s="226"/>
      <c r="J248" s="226"/>
      <c r="K248" s="226"/>
      <c r="L248" s="226"/>
      <c r="M248" s="226"/>
      <c r="N248" s="226"/>
      <c r="O248" s="226"/>
      <c r="P248" s="226"/>
      <c r="Q248" s="226"/>
      <c r="AZ248" s="225"/>
      <c r="BA248" s="225"/>
      <c r="BB248" s="225"/>
      <c r="BC248" s="225"/>
    </row>
    <row r="249" spans="5:55" x14ac:dyDescent="0.25">
      <c r="E249" s="226"/>
      <c r="F249" s="226"/>
      <c r="G249" s="226"/>
      <c r="H249" s="226"/>
      <c r="I249" s="226"/>
      <c r="J249" s="226"/>
      <c r="K249" s="226"/>
      <c r="L249" s="226"/>
      <c r="M249" s="226"/>
      <c r="N249" s="226"/>
      <c r="O249" s="226"/>
      <c r="P249" s="226"/>
      <c r="Q249" s="226"/>
      <c r="AZ249" s="225"/>
      <c r="BA249" s="225"/>
      <c r="BB249" s="225"/>
      <c r="BC249" s="225"/>
    </row>
    <row r="250" spans="5:55" x14ac:dyDescent="0.25">
      <c r="E250" s="226"/>
      <c r="F250" s="226"/>
      <c r="G250" s="226"/>
      <c r="H250" s="226"/>
      <c r="I250" s="226"/>
      <c r="J250" s="226"/>
      <c r="K250" s="226"/>
      <c r="L250" s="226"/>
      <c r="M250" s="226"/>
      <c r="N250" s="226"/>
      <c r="O250" s="226"/>
      <c r="P250" s="226"/>
      <c r="Q250" s="226"/>
      <c r="AZ250" s="225"/>
      <c r="BA250" s="225"/>
      <c r="BB250" s="225"/>
      <c r="BC250" s="225"/>
    </row>
    <row r="251" spans="5:55" x14ac:dyDescent="0.25">
      <c r="E251" s="226"/>
      <c r="F251" s="226"/>
      <c r="G251" s="226"/>
      <c r="H251" s="226"/>
      <c r="I251" s="226"/>
      <c r="J251" s="226"/>
      <c r="K251" s="226"/>
      <c r="L251" s="226"/>
      <c r="M251" s="226"/>
      <c r="N251" s="226"/>
      <c r="O251" s="226"/>
      <c r="P251" s="226"/>
      <c r="Q251" s="226"/>
      <c r="AZ251" s="225"/>
      <c r="BA251" s="225"/>
      <c r="BB251" s="225"/>
      <c r="BC251" s="225"/>
    </row>
    <row r="252" spans="5:55" x14ac:dyDescent="0.25">
      <c r="E252" s="226"/>
      <c r="F252" s="226"/>
      <c r="G252" s="226"/>
      <c r="H252" s="226"/>
      <c r="I252" s="226"/>
      <c r="J252" s="226"/>
      <c r="K252" s="226"/>
      <c r="L252" s="226"/>
      <c r="M252" s="226"/>
      <c r="N252" s="226"/>
      <c r="O252" s="226"/>
      <c r="P252" s="226"/>
      <c r="Q252" s="226"/>
      <c r="AZ252" s="225"/>
      <c r="BA252" s="225"/>
      <c r="BB252" s="225"/>
      <c r="BC252" s="225"/>
    </row>
    <row r="253" spans="5:55" x14ac:dyDescent="0.25">
      <c r="E253" s="226"/>
      <c r="F253" s="226"/>
      <c r="G253" s="226"/>
      <c r="H253" s="226"/>
      <c r="I253" s="226"/>
      <c r="J253" s="226"/>
      <c r="K253" s="226"/>
      <c r="L253" s="226"/>
      <c r="M253" s="226"/>
      <c r="N253" s="226"/>
      <c r="O253" s="226"/>
      <c r="P253" s="226"/>
      <c r="Q253" s="226"/>
      <c r="AZ253" s="225"/>
      <c r="BA253" s="225"/>
      <c r="BB253" s="225"/>
      <c r="BC253" s="225"/>
    </row>
    <row r="254" spans="5:55" x14ac:dyDescent="0.25">
      <c r="E254" s="226"/>
      <c r="F254" s="226"/>
      <c r="G254" s="226"/>
      <c r="H254" s="226"/>
      <c r="I254" s="226"/>
      <c r="J254" s="226"/>
      <c r="K254" s="226"/>
      <c r="L254" s="226"/>
      <c r="M254" s="226"/>
      <c r="N254" s="226"/>
      <c r="O254" s="226"/>
      <c r="P254" s="226"/>
      <c r="Q254" s="226"/>
      <c r="AZ254" s="225"/>
      <c r="BA254" s="225"/>
      <c r="BB254" s="225"/>
      <c r="BC254" s="225"/>
    </row>
    <row r="255" spans="5:55" x14ac:dyDescent="0.25">
      <c r="E255" s="226"/>
      <c r="F255" s="226"/>
      <c r="G255" s="226"/>
      <c r="H255" s="226"/>
      <c r="I255" s="226"/>
      <c r="J255" s="226"/>
      <c r="K255" s="226"/>
      <c r="L255" s="226"/>
      <c r="M255" s="226"/>
      <c r="N255" s="226"/>
      <c r="O255" s="226"/>
      <c r="P255" s="226"/>
      <c r="Q255" s="226"/>
      <c r="AZ255" s="225"/>
      <c r="BA255" s="225"/>
      <c r="BB255" s="225"/>
      <c r="BC255" s="225"/>
    </row>
    <row r="256" spans="5:55" x14ac:dyDescent="0.25">
      <c r="E256" s="226"/>
      <c r="F256" s="226"/>
      <c r="G256" s="226"/>
      <c r="H256" s="226"/>
      <c r="I256" s="226"/>
      <c r="J256" s="226"/>
      <c r="K256" s="226"/>
      <c r="L256" s="226"/>
      <c r="M256" s="226"/>
      <c r="N256" s="226"/>
      <c r="O256" s="226"/>
      <c r="P256" s="226"/>
      <c r="Q256" s="226"/>
      <c r="AZ256" s="225"/>
      <c r="BA256" s="225"/>
      <c r="BB256" s="225"/>
      <c r="BC256" s="225"/>
    </row>
    <row r="257" spans="5:55" x14ac:dyDescent="0.25">
      <c r="E257" s="226"/>
      <c r="F257" s="226"/>
      <c r="G257" s="226"/>
      <c r="H257" s="226"/>
      <c r="I257" s="226"/>
      <c r="J257" s="226"/>
      <c r="K257" s="226"/>
      <c r="L257" s="226"/>
      <c r="M257" s="226"/>
      <c r="N257" s="226"/>
      <c r="O257" s="226"/>
      <c r="P257" s="226"/>
      <c r="Q257" s="226"/>
      <c r="AZ257" s="225"/>
      <c r="BA257" s="225"/>
      <c r="BB257" s="225"/>
      <c r="BC257" s="225"/>
    </row>
    <row r="258" spans="5:55" x14ac:dyDescent="0.25">
      <c r="E258" s="226"/>
      <c r="F258" s="226"/>
      <c r="G258" s="226"/>
      <c r="H258" s="226"/>
      <c r="I258" s="226"/>
      <c r="J258" s="226"/>
      <c r="K258" s="226"/>
      <c r="L258" s="226"/>
      <c r="M258" s="226"/>
      <c r="N258" s="226"/>
      <c r="O258" s="226"/>
      <c r="P258" s="226"/>
      <c r="Q258" s="226"/>
      <c r="AZ258" s="225"/>
      <c r="BA258" s="225"/>
      <c r="BB258" s="225"/>
      <c r="BC258" s="225"/>
    </row>
    <row r="259" spans="5:55" x14ac:dyDescent="0.25">
      <c r="E259" s="226"/>
      <c r="F259" s="226"/>
      <c r="G259" s="226"/>
      <c r="H259" s="226"/>
      <c r="I259" s="226"/>
      <c r="J259" s="226"/>
      <c r="K259" s="226"/>
      <c r="L259" s="226"/>
      <c r="M259" s="226"/>
      <c r="N259" s="226"/>
      <c r="O259" s="226"/>
      <c r="P259" s="226"/>
      <c r="Q259" s="226"/>
      <c r="AZ259" s="225"/>
      <c r="BA259" s="225"/>
      <c r="BB259" s="225"/>
      <c r="BC259" s="225"/>
    </row>
    <row r="260" spans="5:55" x14ac:dyDescent="0.25">
      <c r="E260" s="226"/>
      <c r="F260" s="226"/>
      <c r="G260" s="226"/>
      <c r="H260" s="226"/>
      <c r="I260" s="226"/>
      <c r="J260" s="226"/>
      <c r="K260" s="226"/>
      <c r="L260" s="226"/>
      <c r="M260" s="226"/>
      <c r="N260" s="226"/>
      <c r="O260" s="226"/>
      <c r="P260" s="226"/>
      <c r="Q260" s="226"/>
      <c r="AZ260" s="225"/>
      <c r="BA260" s="225"/>
      <c r="BB260" s="225"/>
      <c r="BC260" s="225"/>
    </row>
    <row r="261" spans="5:55" x14ac:dyDescent="0.25">
      <c r="E261" s="226"/>
      <c r="F261" s="226"/>
      <c r="G261" s="226"/>
      <c r="H261" s="226"/>
      <c r="I261" s="226"/>
      <c r="J261" s="226"/>
      <c r="K261" s="226"/>
      <c r="L261" s="226"/>
      <c r="M261" s="226"/>
      <c r="N261" s="226"/>
      <c r="O261" s="226"/>
      <c r="P261" s="226"/>
      <c r="Q261" s="226"/>
      <c r="AZ261" s="225"/>
      <c r="BA261" s="225"/>
      <c r="BB261" s="225"/>
      <c r="BC261" s="225"/>
    </row>
    <row r="262" spans="5:55" x14ac:dyDescent="0.25">
      <c r="E262" s="226"/>
      <c r="F262" s="226"/>
      <c r="G262" s="226"/>
      <c r="H262" s="226"/>
      <c r="I262" s="226"/>
      <c r="J262" s="226"/>
      <c r="K262" s="226"/>
      <c r="L262" s="226"/>
      <c r="M262" s="226"/>
      <c r="N262" s="226"/>
      <c r="O262" s="226"/>
      <c r="P262" s="226"/>
      <c r="Q262" s="226"/>
      <c r="AZ262" s="225"/>
      <c r="BA262" s="225"/>
      <c r="BB262" s="225"/>
      <c r="BC262" s="225"/>
    </row>
    <row r="263" spans="5:55" x14ac:dyDescent="0.25">
      <c r="E263" s="226"/>
      <c r="F263" s="226"/>
      <c r="G263" s="226"/>
      <c r="H263" s="226"/>
      <c r="I263" s="226"/>
      <c r="J263" s="226"/>
      <c r="K263" s="226"/>
      <c r="L263" s="226"/>
      <c r="M263" s="226"/>
      <c r="N263" s="226"/>
      <c r="O263" s="226"/>
      <c r="P263" s="226"/>
      <c r="Q263" s="226"/>
      <c r="AZ263" s="225"/>
      <c r="BA263" s="225"/>
      <c r="BB263" s="225"/>
      <c r="BC263" s="225"/>
    </row>
    <row r="264" spans="5:55" x14ac:dyDescent="0.25">
      <c r="E264" s="226"/>
      <c r="F264" s="226"/>
      <c r="G264" s="226"/>
      <c r="H264" s="226"/>
      <c r="I264" s="226"/>
      <c r="J264" s="226"/>
      <c r="K264" s="226"/>
      <c r="L264" s="226"/>
      <c r="M264" s="226"/>
      <c r="N264" s="226"/>
      <c r="O264" s="226"/>
      <c r="P264" s="226"/>
      <c r="Q264" s="226"/>
      <c r="AZ264" s="225"/>
      <c r="BA264" s="225"/>
      <c r="BB264" s="225"/>
      <c r="BC264" s="225"/>
    </row>
    <row r="265" spans="5:55" x14ac:dyDescent="0.25">
      <c r="E265" s="226"/>
      <c r="F265" s="226"/>
      <c r="G265" s="226"/>
      <c r="H265" s="226"/>
      <c r="I265" s="226"/>
      <c r="J265" s="226"/>
      <c r="K265" s="226"/>
      <c r="L265" s="226"/>
      <c r="M265" s="226"/>
      <c r="N265" s="226"/>
      <c r="O265" s="226"/>
      <c r="P265" s="226"/>
      <c r="Q265" s="226"/>
      <c r="AZ265" s="225"/>
      <c r="BA265" s="225"/>
      <c r="BB265" s="225"/>
      <c r="BC265" s="225"/>
    </row>
    <row r="266" spans="5:55" x14ac:dyDescent="0.25">
      <c r="E266" s="226"/>
      <c r="F266" s="226"/>
      <c r="G266" s="226"/>
      <c r="H266" s="226"/>
      <c r="I266" s="226"/>
      <c r="J266" s="226"/>
      <c r="K266" s="226"/>
      <c r="L266" s="226"/>
      <c r="M266" s="226"/>
      <c r="N266" s="226"/>
      <c r="O266" s="226"/>
      <c r="P266" s="226"/>
      <c r="Q266" s="226"/>
      <c r="AZ266" s="225"/>
      <c r="BA266" s="225"/>
      <c r="BB266" s="225"/>
      <c r="BC266" s="225"/>
    </row>
    <row r="267" spans="5:55" x14ac:dyDescent="0.25">
      <c r="E267" s="226"/>
      <c r="F267" s="226"/>
      <c r="G267" s="226"/>
      <c r="H267" s="226"/>
      <c r="I267" s="226"/>
      <c r="J267" s="226"/>
      <c r="K267" s="226"/>
      <c r="L267" s="226"/>
      <c r="M267" s="226"/>
      <c r="N267" s="226"/>
      <c r="O267" s="226"/>
      <c r="P267" s="226"/>
      <c r="Q267" s="226"/>
      <c r="AZ267" s="225"/>
      <c r="BA267" s="225"/>
      <c r="BB267" s="225"/>
      <c r="BC267" s="225"/>
    </row>
    <row r="268" spans="5:55" x14ac:dyDescent="0.25">
      <c r="E268" s="226"/>
      <c r="F268" s="226"/>
      <c r="G268" s="226"/>
      <c r="H268" s="226"/>
      <c r="I268" s="226"/>
      <c r="J268" s="226"/>
      <c r="K268" s="226"/>
      <c r="L268" s="226"/>
      <c r="M268" s="226"/>
      <c r="N268" s="226"/>
      <c r="O268" s="226"/>
      <c r="P268" s="226"/>
      <c r="Q268" s="226"/>
      <c r="AZ268" s="225"/>
      <c r="BA268" s="225"/>
      <c r="BB268" s="225"/>
      <c r="BC268" s="225"/>
    </row>
    <row r="269" spans="5:55" x14ac:dyDescent="0.25">
      <c r="E269" s="226"/>
      <c r="F269" s="226"/>
      <c r="G269" s="226"/>
      <c r="H269" s="226"/>
      <c r="I269" s="226"/>
      <c r="J269" s="226"/>
      <c r="K269" s="226"/>
      <c r="L269" s="226"/>
      <c r="M269" s="226"/>
      <c r="N269" s="226"/>
      <c r="O269" s="226"/>
      <c r="P269" s="226"/>
      <c r="Q269" s="226"/>
      <c r="AZ269" s="225"/>
      <c r="BA269" s="225"/>
      <c r="BB269" s="225"/>
      <c r="BC269" s="225"/>
    </row>
    <row r="270" spans="5:55" x14ac:dyDescent="0.25">
      <c r="E270" s="226"/>
      <c r="F270" s="226"/>
      <c r="G270" s="226"/>
      <c r="H270" s="226"/>
      <c r="I270" s="226"/>
      <c r="J270" s="226"/>
      <c r="K270" s="226"/>
      <c r="L270" s="226"/>
      <c r="M270" s="226"/>
      <c r="N270" s="226"/>
      <c r="O270" s="226"/>
      <c r="P270" s="226"/>
      <c r="Q270" s="226"/>
      <c r="AZ270" s="225"/>
      <c r="BA270" s="225"/>
      <c r="BB270" s="225"/>
      <c r="BC270" s="225"/>
    </row>
    <row r="271" spans="5:55" x14ac:dyDescent="0.25">
      <c r="E271" s="226"/>
      <c r="F271" s="226"/>
      <c r="G271" s="226"/>
      <c r="H271" s="226"/>
      <c r="I271" s="226"/>
      <c r="J271" s="226"/>
      <c r="K271" s="226"/>
      <c r="L271" s="226"/>
      <c r="M271" s="226"/>
      <c r="N271" s="226"/>
      <c r="O271" s="226"/>
      <c r="P271" s="226"/>
      <c r="Q271" s="226"/>
      <c r="AZ271" s="225"/>
      <c r="BA271" s="225"/>
      <c r="BB271" s="225"/>
      <c r="BC271" s="225"/>
    </row>
    <row r="272" spans="5:55" x14ac:dyDescent="0.25">
      <c r="E272" s="226"/>
      <c r="F272" s="226"/>
      <c r="G272" s="226"/>
      <c r="H272" s="226"/>
      <c r="I272" s="226"/>
      <c r="J272" s="226"/>
      <c r="K272" s="226"/>
      <c r="L272" s="226"/>
      <c r="M272" s="226"/>
      <c r="N272" s="226"/>
      <c r="O272" s="226"/>
      <c r="P272" s="226"/>
      <c r="Q272" s="226"/>
      <c r="AZ272" s="225"/>
      <c r="BA272" s="225"/>
      <c r="BB272" s="225"/>
      <c r="BC272" s="225"/>
    </row>
    <row r="273" spans="5:55" x14ac:dyDescent="0.25">
      <c r="E273" s="226"/>
      <c r="F273" s="226"/>
      <c r="G273" s="226"/>
      <c r="H273" s="226"/>
      <c r="I273" s="226"/>
      <c r="J273" s="226"/>
      <c r="K273" s="226"/>
      <c r="L273" s="226"/>
      <c r="M273" s="226"/>
      <c r="N273" s="226"/>
      <c r="O273" s="226"/>
      <c r="P273" s="226"/>
      <c r="Q273" s="226"/>
      <c r="AZ273" s="225"/>
      <c r="BA273" s="225"/>
      <c r="BB273" s="225"/>
      <c r="BC273" s="225"/>
    </row>
    <row r="274" spans="5:55" x14ac:dyDescent="0.25">
      <c r="E274" s="226"/>
      <c r="F274" s="226"/>
      <c r="G274" s="226"/>
      <c r="H274" s="226"/>
      <c r="I274" s="226"/>
      <c r="J274" s="226"/>
      <c r="K274" s="226"/>
      <c r="L274" s="226"/>
      <c r="M274" s="226"/>
      <c r="N274" s="226"/>
      <c r="O274" s="226"/>
      <c r="P274" s="226"/>
      <c r="Q274" s="226"/>
      <c r="AZ274" s="225"/>
      <c r="BA274" s="225"/>
      <c r="BB274" s="225"/>
      <c r="BC274" s="225"/>
    </row>
    <row r="275" spans="5:55" x14ac:dyDescent="0.25">
      <c r="E275" s="226"/>
      <c r="F275" s="226"/>
      <c r="G275" s="226"/>
      <c r="H275" s="226"/>
      <c r="I275" s="226"/>
      <c r="J275" s="226"/>
      <c r="K275" s="226"/>
      <c r="L275" s="226"/>
      <c r="M275" s="226"/>
      <c r="N275" s="226"/>
      <c r="O275" s="226"/>
      <c r="P275" s="226"/>
      <c r="Q275" s="226"/>
      <c r="AZ275" s="225"/>
      <c r="BA275" s="225"/>
      <c r="BB275" s="225"/>
      <c r="BC275" s="225"/>
    </row>
    <row r="276" spans="5:55" x14ac:dyDescent="0.25">
      <c r="E276" s="226"/>
      <c r="F276" s="226"/>
      <c r="G276" s="226"/>
      <c r="H276" s="226"/>
      <c r="I276" s="226"/>
      <c r="J276" s="226"/>
      <c r="K276" s="226"/>
      <c r="L276" s="226"/>
      <c r="M276" s="226"/>
      <c r="N276" s="226"/>
      <c r="O276" s="226"/>
      <c r="P276" s="226"/>
      <c r="Q276" s="226"/>
      <c r="AZ276" s="225"/>
      <c r="BA276" s="225"/>
      <c r="BB276" s="225"/>
      <c r="BC276" s="225"/>
    </row>
    <row r="277" spans="5:55" x14ac:dyDescent="0.25">
      <c r="E277" s="226"/>
      <c r="F277" s="226"/>
      <c r="G277" s="226"/>
      <c r="H277" s="226"/>
      <c r="I277" s="226"/>
      <c r="J277" s="226"/>
      <c r="K277" s="226"/>
      <c r="L277" s="226"/>
      <c r="M277" s="226"/>
      <c r="N277" s="226"/>
      <c r="O277" s="226"/>
      <c r="P277" s="226"/>
      <c r="Q277" s="226"/>
      <c r="AZ277" s="225"/>
      <c r="BA277" s="225"/>
      <c r="BB277" s="225"/>
      <c r="BC277" s="225"/>
    </row>
    <row r="278" spans="5:55" x14ac:dyDescent="0.25">
      <c r="E278" s="226"/>
      <c r="F278" s="226"/>
      <c r="G278" s="226"/>
      <c r="H278" s="226"/>
      <c r="I278" s="226"/>
      <c r="J278" s="226"/>
      <c r="K278" s="226"/>
      <c r="L278" s="226"/>
      <c r="M278" s="226"/>
      <c r="N278" s="226"/>
      <c r="O278" s="226"/>
      <c r="P278" s="226"/>
      <c r="Q278" s="226"/>
      <c r="AZ278" s="225"/>
      <c r="BA278" s="225"/>
      <c r="BB278" s="225"/>
      <c r="BC278" s="225"/>
    </row>
    <row r="279" spans="5:55" x14ac:dyDescent="0.25">
      <c r="E279" s="226"/>
      <c r="F279" s="226"/>
      <c r="G279" s="226"/>
      <c r="H279" s="226"/>
      <c r="I279" s="226"/>
      <c r="J279" s="226"/>
      <c r="K279" s="226"/>
      <c r="L279" s="226"/>
      <c r="M279" s="226"/>
      <c r="N279" s="226"/>
      <c r="O279" s="226"/>
      <c r="P279" s="226"/>
      <c r="Q279" s="226"/>
      <c r="AZ279" s="225"/>
      <c r="BA279" s="225"/>
      <c r="BB279" s="225"/>
      <c r="BC279" s="225"/>
    </row>
    <row r="280" spans="5:55" x14ac:dyDescent="0.25">
      <c r="E280" s="226"/>
      <c r="F280" s="226"/>
      <c r="G280" s="226"/>
      <c r="H280" s="226"/>
      <c r="I280" s="226"/>
      <c r="J280" s="226"/>
      <c r="K280" s="226"/>
      <c r="L280" s="226"/>
      <c r="M280" s="226"/>
      <c r="N280" s="226"/>
      <c r="O280" s="226"/>
      <c r="P280" s="226"/>
      <c r="Q280" s="226"/>
      <c r="AZ280" s="225"/>
      <c r="BA280" s="225"/>
      <c r="BB280" s="225"/>
      <c r="BC280" s="225"/>
    </row>
    <row r="281" spans="5:55" x14ac:dyDescent="0.25">
      <c r="E281" s="226"/>
      <c r="F281" s="226"/>
      <c r="G281" s="226"/>
      <c r="H281" s="226"/>
      <c r="I281" s="226"/>
      <c r="J281" s="226"/>
      <c r="K281" s="226"/>
      <c r="L281" s="226"/>
      <c r="M281" s="226"/>
      <c r="N281" s="226"/>
      <c r="O281" s="226"/>
      <c r="P281" s="226"/>
      <c r="Q281" s="226"/>
      <c r="AZ281" s="225"/>
      <c r="BA281" s="225"/>
      <c r="BB281" s="225"/>
      <c r="BC281" s="225"/>
    </row>
    <row r="282" spans="5:55" x14ac:dyDescent="0.25">
      <c r="E282" s="226"/>
      <c r="F282" s="226"/>
      <c r="G282" s="226"/>
      <c r="H282" s="226"/>
      <c r="I282" s="226"/>
      <c r="J282" s="226"/>
      <c r="K282" s="226"/>
      <c r="L282" s="226"/>
      <c r="M282" s="226"/>
      <c r="N282" s="226"/>
      <c r="O282" s="226"/>
      <c r="P282" s="226"/>
      <c r="Q282" s="226"/>
      <c r="AZ282" s="225"/>
      <c r="BA282" s="225"/>
      <c r="BB282" s="225"/>
      <c r="BC282" s="225"/>
    </row>
    <row r="283" spans="5:55" x14ac:dyDescent="0.25">
      <c r="E283" s="226"/>
      <c r="F283" s="226"/>
      <c r="G283" s="226"/>
      <c r="H283" s="226"/>
      <c r="I283" s="226"/>
      <c r="J283" s="226"/>
      <c r="K283" s="226"/>
      <c r="L283" s="226"/>
      <c r="M283" s="226"/>
      <c r="N283" s="226"/>
      <c r="O283" s="226"/>
      <c r="P283" s="226"/>
      <c r="Q283" s="226"/>
      <c r="AZ283" s="225"/>
      <c r="BA283" s="225"/>
      <c r="BB283" s="225"/>
      <c r="BC283" s="225"/>
    </row>
    <row r="284" spans="5:55" x14ac:dyDescent="0.25">
      <c r="E284" s="226"/>
      <c r="F284" s="226"/>
      <c r="G284" s="226"/>
      <c r="H284" s="226"/>
      <c r="I284" s="226"/>
      <c r="J284" s="226"/>
      <c r="K284" s="226"/>
      <c r="L284" s="226"/>
      <c r="M284" s="226"/>
      <c r="N284" s="226"/>
      <c r="O284" s="226"/>
      <c r="P284" s="226"/>
      <c r="Q284" s="226"/>
      <c r="AZ284" s="225"/>
      <c r="BA284" s="225"/>
      <c r="BB284" s="225"/>
      <c r="BC284" s="225"/>
    </row>
    <row r="285" spans="5:55" x14ac:dyDescent="0.25">
      <c r="E285" s="226"/>
      <c r="F285" s="226"/>
      <c r="G285" s="226"/>
      <c r="H285" s="226"/>
      <c r="I285" s="226"/>
      <c r="J285" s="226"/>
      <c r="K285" s="226"/>
      <c r="L285" s="226"/>
      <c r="M285" s="226"/>
      <c r="N285" s="226"/>
      <c r="O285" s="226"/>
      <c r="P285" s="226"/>
      <c r="Q285" s="226"/>
      <c r="AZ285" s="225"/>
      <c r="BA285" s="225"/>
      <c r="BB285" s="225"/>
      <c r="BC285" s="225"/>
    </row>
    <row r="286" spans="5:55" x14ac:dyDescent="0.25">
      <c r="E286" s="226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  <c r="P286" s="226"/>
      <c r="Q286" s="226"/>
      <c r="AZ286" s="225"/>
      <c r="BA286" s="225"/>
      <c r="BB286" s="225"/>
      <c r="BC286" s="225"/>
    </row>
    <row r="287" spans="5:55" x14ac:dyDescent="0.25">
      <c r="E287" s="226"/>
      <c r="F287" s="226"/>
      <c r="G287" s="226"/>
      <c r="H287" s="226"/>
      <c r="I287" s="226"/>
      <c r="J287" s="226"/>
      <c r="K287" s="226"/>
      <c r="L287" s="226"/>
      <c r="M287" s="226"/>
      <c r="N287" s="226"/>
      <c r="O287" s="226"/>
      <c r="P287" s="226"/>
      <c r="Q287" s="226"/>
      <c r="AZ287" s="225"/>
      <c r="BA287" s="225"/>
      <c r="BB287" s="225"/>
      <c r="BC287" s="225"/>
    </row>
    <row r="288" spans="5:55" x14ac:dyDescent="0.25">
      <c r="E288" s="226"/>
      <c r="F288" s="226"/>
      <c r="G288" s="226"/>
      <c r="H288" s="226"/>
      <c r="I288" s="226"/>
      <c r="J288" s="226"/>
      <c r="K288" s="226"/>
      <c r="L288" s="226"/>
      <c r="M288" s="226"/>
      <c r="N288" s="226"/>
      <c r="O288" s="226"/>
      <c r="P288" s="226"/>
      <c r="Q288" s="226"/>
      <c r="AZ288" s="225"/>
      <c r="BA288" s="225"/>
      <c r="BB288" s="225"/>
      <c r="BC288" s="225"/>
    </row>
    <row r="289" spans="5:55" x14ac:dyDescent="0.25">
      <c r="E289" s="226"/>
      <c r="F289" s="226"/>
      <c r="G289" s="226"/>
      <c r="H289" s="226"/>
      <c r="I289" s="226"/>
      <c r="J289" s="226"/>
      <c r="K289" s="226"/>
      <c r="L289" s="226"/>
      <c r="M289" s="226"/>
      <c r="N289" s="226"/>
      <c r="O289" s="226"/>
      <c r="P289" s="226"/>
      <c r="Q289" s="226"/>
      <c r="AZ289" s="225"/>
      <c r="BA289" s="225"/>
      <c r="BB289" s="225"/>
      <c r="BC289" s="225"/>
    </row>
    <row r="290" spans="5:55" x14ac:dyDescent="0.25">
      <c r="E290" s="226"/>
      <c r="F290" s="226"/>
      <c r="G290" s="226"/>
      <c r="H290" s="226"/>
      <c r="I290" s="226"/>
      <c r="J290" s="226"/>
      <c r="K290" s="226"/>
      <c r="L290" s="226"/>
      <c r="M290" s="226"/>
      <c r="N290" s="226"/>
      <c r="O290" s="226"/>
      <c r="P290" s="226"/>
      <c r="Q290" s="226"/>
      <c r="AZ290" s="225"/>
      <c r="BA290" s="225"/>
      <c r="BB290" s="225"/>
      <c r="BC290" s="225"/>
    </row>
    <row r="291" spans="5:55" x14ac:dyDescent="0.25">
      <c r="E291" s="226"/>
      <c r="F291" s="226"/>
      <c r="G291" s="226"/>
      <c r="H291" s="226"/>
      <c r="I291" s="226"/>
      <c r="J291" s="226"/>
      <c r="K291" s="226"/>
      <c r="L291" s="226"/>
      <c r="M291" s="226"/>
      <c r="N291" s="226"/>
      <c r="O291" s="226"/>
      <c r="P291" s="226"/>
      <c r="Q291" s="226"/>
      <c r="AZ291" s="225"/>
      <c r="BA291" s="225"/>
      <c r="BB291" s="225"/>
      <c r="BC291" s="225"/>
    </row>
    <row r="292" spans="5:55" x14ac:dyDescent="0.25">
      <c r="E292" s="226"/>
      <c r="F292" s="226"/>
      <c r="G292" s="226"/>
      <c r="H292" s="226"/>
      <c r="I292" s="226"/>
      <c r="J292" s="226"/>
      <c r="K292" s="226"/>
      <c r="L292" s="226"/>
      <c r="M292" s="226"/>
      <c r="N292" s="226"/>
      <c r="O292" s="226"/>
      <c r="P292" s="226"/>
      <c r="Q292" s="226"/>
      <c r="AZ292" s="225"/>
      <c r="BA292" s="225"/>
      <c r="BB292" s="225"/>
      <c r="BC292" s="225"/>
    </row>
    <row r="293" spans="5:55" x14ac:dyDescent="0.25">
      <c r="E293" s="226"/>
      <c r="F293" s="226"/>
      <c r="G293" s="226"/>
      <c r="H293" s="226"/>
      <c r="I293" s="226"/>
      <c r="J293" s="226"/>
      <c r="K293" s="226"/>
      <c r="L293" s="226"/>
      <c r="M293" s="226"/>
      <c r="N293" s="226"/>
      <c r="O293" s="226"/>
      <c r="P293" s="226"/>
      <c r="Q293" s="226"/>
      <c r="AZ293" s="225"/>
      <c r="BA293" s="225"/>
      <c r="BB293" s="225"/>
      <c r="BC293" s="225"/>
    </row>
    <row r="294" spans="5:55" x14ac:dyDescent="0.25">
      <c r="E294" s="226"/>
      <c r="F294" s="226"/>
      <c r="G294" s="226"/>
      <c r="H294" s="226"/>
      <c r="I294" s="226"/>
      <c r="J294" s="226"/>
      <c r="K294" s="226"/>
      <c r="L294" s="226"/>
      <c r="M294" s="226"/>
      <c r="N294" s="226"/>
      <c r="O294" s="226"/>
      <c r="P294" s="226"/>
      <c r="Q294" s="226"/>
      <c r="AZ294" s="225"/>
      <c r="BA294" s="225"/>
      <c r="BB294" s="225"/>
      <c r="BC294" s="225"/>
    </row>
    <row r="295" spans="5:55" x14ac:dyDescent="0.25">
      <c r="E295" s="226"/>
      <c r="F295" s="226"/>
      <c r="G295" s="226"/>
      <c r="H295" s="226"/>
      <c r="I295" s="226"/>
      <c r="J295" s="226"/>
      <c r="K295" s="226"/>
      <c r="L295" s="226"/>
      <c r="M295" s="226"/>
      <c r="N295" s="226"/>
      <c r="O295" s="226"/>
      <c r="P295" s="226"/>
      <c r="Q295" s="226"/>
      <c r="AZ295" s="225"/>
      <c r="BA295" s="225"/>
      <c r="BB295" s="225"/>
      <c r="BC295" s="225"/>
    </row>
    <row r="296" spans="5:55" x14ac:dyDescent="0.25">
      <c r="E296" s="226"/>
      <c r="F296" s="226"/>
      <c r="G296" s="226"/>
      <c r="H296" s="226"/>
      <c r="I296" s="226"/>
      <c r="J296" s="226"/>
      <c r="K296" s="226"/>
      <c r="L296" s="226"/>
      <c r="M296" s="226"/>
      <c r="N296" s="226"/>
      <c r="O296" s="226"/>
      <c r="P296" s="226"/>
      <c r="Q296" s="226"/>
      <c r="AZ296" s="225"/>
      <c r="BA296" s="225"/>
      <c r="BB296" s="225"/>
      <c r="BC296" s="225"/>
    </row>
    <row r="297" spans="5:55" x14ac:dyDescent="0.25">
      <c r="E297" s="226"/>
      <c r="F297" s="226"/>
      <c r="G297" s="226"/>
      <c r="H297" s="226"/>
      <c r="I297" s="226"/>
      <c r="J297" s="226"/>
      <c r="K297" s="226"/>
      <c r="L297" s="226"/>
      <c r="M297" s="226"/>
      <c r="N297" s="226"/>
      <c r="O297" s="226"/>
      <c r="P297" s="226"/>
      <c r="Q297" s="226"/>
      <c r="AZ297" s="225"/>
      <c r="BA297" s="225"/>
      <c r="BB297" s="225"/>
      <c r="BC297" s="225"/>
    </row>
    <row r="298" spans="5:55" x14ac:dyDescent="0.25">
      <c r="E298" s="226"/>
      <c r="F298" s="226"/>
      <c r="G298" s="226"/>
      <c r="H298" s="226"/>
      <c r="I298" s="226"/>
      <c r="J298" s="226"/>
      <c r="K298" s="226"/>
      <c r="L298" s="226"/>
      <c r="M298" s="226"/>
      <c r="N298" s="226"/>
      <c r="O298" s="226"/>
      <c r="P298" s="226"/>
      <c r="Q298" s="226"/>
      <c r="AZ298" s="225"/>
      <c r="BA298" s="225"/>
      <c r="BB298" s="225"/>
      <c r="BC298" s="225"/>
    </row>
    <row r="299" spans="5:55" x14ac:dyDescent="0.25">
      <c r="E299" s="226"/>
      <c r="F299" s="226"/>
      <c r="G299" s="226"/>
      <c r="H299" s="226"/>
      <c r="I299" s="226"/>
      <c r="J299" s="226"/>
      <c r="K299" s="226"/>
      <c r="L299" s="226"/>
      <c r="M299" s="226"/>
      <c r="N299" s="226"/>
      <c r="O299" s="226"/>
      <c r="P299" s="226"/>
      <c r="Q299" s="226"/>
      <c r="AZ299" s="225"/>
      <c r="BA299" s="225"/>
      <c r="BB299" s="225"/>
      <c r="BC299" s="225"/>
    </row>
    <row r="300" spans="5:55" x14ac:dyDescent="0.25">
      <c r="E300" s="226"/>
      <c r="F300" s="226"/>
      <c r="G300" s="226"/>
      <c r="H300" s="226"/>
      <c r="I300" s="226"/>
      <c r="J300" s="226"/>
      <c r="K300" s="226"/>
      <c r="L300" s="226"/>
      <c r="M300" s="226"/>
      <c r="N300" s="226"/>
      <c r="O300" s="226"/>
      <c r="P300" s="226"/>
      <c r="Q300" s="226"/>
      <c r="AZ300" s="225"/>
      <c r="BA300" s="225"/>
      <c r="BB300" s="225"/>
      <c r="BC300" s="225"/>
    </row>
    <row r="301" spans="5:55" x14ac:dyDescent="0.25">
      <c r="E301" s="226"/>
      <c r="F301" s="226"/>
      <c r="G301" s="226"/>
      <c r="H301" s="226"/>
      <c r="I301" s="226"/>
      <c r="J301" s="226"/>
      <c r="K301" s="226"/>
      <c r="L301" s="226"/>
      <c r="M301" s="226"/>
      <c r="N301" s="226"/>
      <c r="O301" s="226"/>
      <c r="P301" s="226"/>
      <c r="Q301" s="226"/>
      <c r="AZ301" s="225"/>
      <c r="BA301" s="225"/>
      <c r="BB301" s="225"/>
      <c r="BC301" s="225"/>
    </row>
    <row r="302" spans="5:55" x14ac:dyDescent="0.25">
      <c r="E302" s="226"/>
      <c r="F302" s="226"/>
      <c r="G302" s="226"/>
      <c r="H302" s="226"/>
      <c r="I302" s="226"/>
      <c r="J302" s="226"/>
      <c r="K302" s="226"/>
      <c r="L302" s="226"/>
      <c r="M302" s="226"/>
      <c r="N302" s="226"/>
      <c r="O302" s="226"/>
      <c r="P302" s="226"/>
      <c r="Q302" s="226"/>
      <c r="AZ302" s="225"/>
      <c r="BA302" s="225"/>
      <c r="BB302" s="225"/>
      <c r="BC302" s="225"/>
    </row>
    <row r="303" spans="5:55" x14ac:dyDescent="0.25">
      <c r="E303" s="226"/>
      <c r="F303" s="226"/>
      <c r="G303" s="226"/>
      <c r="H303" s="226"/>
      <c r="I303" s="226"/>
      <c r="J303" s="226"/>
      <c r="K303" s="226"/>
      <c r="L303" s="226"/>
      <c r="M303" s="226"/>
      <c r="N303" s="226"/>
      <c r="O303" s="226"/>
      <c r="P303" s="226"/>
      <c r="Q303" s="226"/>
      <c r="AZ303" s="225"/>
      <c r="BA303" s="225"/>
      <c r="BB303" s="225"/>
      <c r="BC303" s="225"/>
    </row>
    <row r="304" spans="5:55" x14ac:dyDescent="0.25">
      <c r="E304" s="226"/>
      <c r="F304" s="226"/>
      <c r="G304" s="226"/>
      <c r="H304" s="226"/>
      <c r="I304" s="226"/>
      <c r="J304" s="226"/>
      <c r="K304" s="226"/>
      <c r="L304" s="226"/>
      <c r="M304" s="226"/>
      <c r="N304" s="226"/>
      <c r="O304" s="226"/>
      <c r="P304" s="226"/>
      <c r="Q304" s="226"/>
      <c r="AZ304" s="225"/>
      <c r="BA304" s="225"/>
      <c r="BB304" s="225"/>
      <c r="BC304" s="225"/>
    </row>
    <row r="305" spans="5:55" x14ac:dyDescent="0.25">
      <c r="E305" s="226"/>
      <c r="F305" s="226"/>
      <c r="G305" s="226"/>
      <c r="H305" s="226"/>
      <c r="I305" s="226"/>
      <c r="J305" s="226"/>
      <c r="K305" s="226"/>
      <c r="L305" s="226"/>
      <c r="M305" s="226"/>
      <c r="N305" s="226"/>
      <c r="O305" s="226"/>
      <c r="P305" s="226"/>
      <c r="Q305" s="226"/>
      <c r="AZ305" s="225"/>
      <c r="BA305" s="225"/>
      <c r="BB305" s="225"/>
      <c r="BC305" s="225"/>
    </row>
    <row r="306" spans="5:55" x14ac:dyDescent="0.25">
      <c r="E306" s="226"/>
      <c r="F306" s="226"/>
      <c r="G306" s="226"/>
      <c r="H306" s="226"/>
      <c r="I306" s="226"/>
      <c r="J306" s="226"/>
      <c r="K306" s="226"/>
      <c r="L306" s="226"/>
      <c r="M306" s="226"/>
      <c r="N306" s="226"/>
      <c r="O306" s="226"/>
      <c r="P306" s="226"/>
      <c r="Q306" s="226"/>
      <c r="AZ306" s="225"/>
      <c r="BA306" s="225"/>
      <c r="BB306" s="225"/>
      <c r="BC306" s="225"/>
    </row>
    <row r="307" spans="5:55" x14ac:dyDescent="0.25">
      <c r="E307" s="226"/>
      <c r="F307" s="226"/>
      <c r="G307" s="226"/>
      <c r="H307" s="226"/>
      <c r="I307" s="226"/>
      <c r="J307" s="226"/>
      <c r="K307" s="226"/>
      <c r="L307" s="226"/>
      <c r="M307" s="226"/>
      <c r="N307" s="226"/>
      <c r="O307" s="226"/>
      <c r="P307" s="226"/>
      <c r="Q307" s="226"/>
      <c r="AZ307" s="225"/>
      <c r="BA307" s="225"/>
      <c r="BB307" s="225"/>
      <c r="BC307" s="225"/>
    </row>
    <row r="308" spans="5:55" x14ac:dyDescent="0.25">
      <c r="E308" s="226"/>
      <c r="F308" s="226"/>
      <c r="G308" s="226"/>
      <c r="H308" s="226"/>
      <c r="I308" s="226"/>
      <c r="J308" s="226"/>
      <c r="K308" s="226"/>
      <c r="L308" s="226"/>
      <c r="M308" s="226"/>
      <c r="N308" s="226"/>
      <c r="O308" s="226"/>
      <c r="P308" s="226"/>
      <c r="Q308" s="226"/>
      <c r="AZ308" s="225"/>
      <c r="BA308" s="225"/>
      <c r="BB308" s="225"/>
      <c r="BC308" s="225"/>
    </row>
    <row r="309" spans="5:55" x14ac:dyDescent="0.25">
      <c r="E309" s="226"/>
      <c r="F309" s="226"/>
      <c r="G309" s="226"/>
      <c r="H309" s="226"/>
      <c r="I309" s="226"/>
      <c r="J309" s="226"/>
      <c r="K309" s="226"/>
      <c r="L309" s="226"/>
      <c r="M309" s="226"/>
      <c r="N309" s="226"/>
      <c r="O309" s="226"/>
      <c r="P309" s="226"/>
      <c r="Q309" s="226"/>
      <c r="AZ309" s="225"/>
      <c r="BA309" s="225"/>
      <c r="BB309" s="225"/>
      <c r="BC309" s="225"/>
    </row>
    <row r="310" spans="5:55" x14ac:dyDescent="0.25">
      <c r="E310" s="226"/>
      <c r="F310" s="226"/>
      <c r="G310" s="226"/>
      <c r="H310" s="226"/>
      <c r="I310" s="226"/>
      <c r="J310" s="226"/>
      <c r="K310" s="226"/>
      <c r="L310" s="226"/>
      <c r="M310" s="226"/>
      <c r="N310" s="226"/>
      <c r="O310" s="226"/>
      <c r="P310" s="226"/>
      <c r="Q310" s="226"/>
      <c r="AZ310" s="225"/>
      <c r="BA310" s="225"/>
      <c r="BB310" s="225"/>
      <c r="BC310" s="225"/>
    </row>
    <row r="311" spans="5:55" x14ac:dyDescent="0.25">
      <c r="E311" s="226"/>
      <c r="F311" s="226"/>
      <c r="G311" s="226"/>
      <c r="H311" s="226"/>
      <c r="I311" s="226"/>
      <c r="J311" s="226"/>
      <c r="K311" s="226"/>
      <c r="L311" s="226"/>
      <c r="M311" s="226"/>
      <c r="N311" s="226"/>
      <c r="O311" s="226"/>
      <c r="P311" s="226"/>
      <c r="Q311" s="226"/>
      <c r="AZ311" s="225"/>
      <c r="BA311" s="225"/>
      <c r="BB311" s="225"/>
      <c r="BC311" s="225"/>
    </row>
    <row r="312" spans="5:55" x14ac:dyDescent="0.25">
      <c r="E312" s="226"/>
      <c r="F312" s="226"/>
      <c r="G312" s="226"/>
      <c r="H312" s="226"/>
      <c r="I312" s="226"/>
      <c r="J312" s="226"/>
      <c r="K312" s="226"/>
      <c r="L312" s="226"/>
      <c r="M312" s="226"/>
      <c r="N312" s="226"/>
      <c r="O312" s="226"/>
      <c r="P312" s="226"/>
      <c r="Q312" s="226"/>
      <c r="AZ312" s="225"/>
      <c r="BA312" s="225"/>
      <c r="BB312" s="225"/>
      <c r="BC312" s="225"/>
    </row>
    <row r="313" spans="5:55" x14ac:dyDescent="0.25">
      <c r="E313" s="226"/>
      <c r="F313" s="226"/>
      <c r="G313" s="226"/>
      <c r="H313" s="226"/>
      <c r="I313" s="226"/>
      <c r="J313" s="226"/>
      <c r="K313" s="226"/>
      <c r="L313" s="226"/>
      <c r="M313" s="226"/>
      <c r="N313" s="226"/>
      <c r="O313" s="226"/>
      <c r="P313" s="226"/>
      <c r="Q313" s="226"/>
      <c r="AZ313" s="225"/>
      <c r="BA313" s="225"/>
      <c r="BB313" s="225"/>
      <c r="BC313" s="225"/>
    </row>
    <row r="314" spans="5:55" x14ac:dyDescent="0.25">
      <c r="E314" s="226"/>
      <c r="F314" s="226"/>
      <c r="G314" s="226"/>
      <c r="H314" s="226"/>
      <c r="I314" s="226"/>
      <c r="J314" s="226"/>
      <c r="K314" s="226"/>
      <c r="L314" s="226"/>
      <c r="M314" s="226"/>
      <c r="N314" s="226"/>
      <c r="O314" s="226"/>
      <c r="P314" s="226"/>
      <c r="Q314" s="226"/>
      <c r="AZ314" s="225"/>
      <c r="BA314" s="225"/>
      <c r="BB314" s="225"/>
      <c r="BC314" s="225"/>
    </row>
    <row r="315" spans="5:55" x14ac:dyDescent="0.25">
      <c r="E315" s="226"/>
      <c r="F315" s="226"/>
      <c r="G315" s="226"/>
      <c r="H315" s="226"/>
      <c r="I315" s="226"/>
      <c r="J315" s="226"/>
      <c r="K315" s="226"/>
      <c r="L315" s="226"/>
      <c r="M315" s="226"/>
      <c r="N315" s="226"/>
      <c r="O315" s="226"/>
      <c r="P315" s="226"/>
      <c r="Q315" s="226"/>
      <c r="AZ315" s="225"/>
      <c r="BA315" s="225"/>
      <c r="BB315" s="225"/>
      <c r="BC315" s="225"/>
    </row>
    <row r="316" spans="5:55" x14ac:dyDescent="0.25">
      <c r="E316" s="226"/>
      <c r="F316" s="226"/>
      <c r="G316" s="226"/>
      <c r="H316" s="226"/>
      <c r="I316" s="226"/>
      <c r="J316" s="226"/>
      <c r="K316" s="226"/>
      <c r="L316" s="226"/>
      <c r="M316" s="226"/>
      <c r="N316" s="226"/>
      <c r="O316" s="226"/>
      <c r="P316" s="226"/>
      <c r="Q316" s="226"/>
      <c r="AZ316" s="225"/>
      <c r="BA316" s="225"/>
      <c r="BB316" s="225"/>
      <c r="BC316" s="225"/>
    </row>
    <row r="317" spans="5:55" x14ac:dyDescent="0.25">
      <c r="E317" s="226"/>
      <c r="F317" s="226"/>
      <c r="G317" s="226"/>
      <c r="H317" s="226"/>
      <c r="I317" s="226"/>
      <c r="J317" s="226"/>
      <c r="K317" s="226"/>
      <c r="L317" s="226"/>
      <c r="M317" s="226"/>
      <c r="N317" s="226"/>
      <c r="O317" s="226"/>
      <c r="P317" s="226"/>
      <c r="Q317" s="226"/>
      <c r="AZ317" s="225"/>
      <c r="BA317" s="225"/>
      <c r="BB317" s="225"/>
      <c r="BC317" s="225"/>
    </row>
    <row r="318" spans="5:55" x14ac:dyDescent="0.25">
      <c r="E318" s="226"/>
      <c r="F318" s="226"/>
      <c r="G318" s="226"/>
      <c r="H318" s="226"/>
      <c r="I318" s="226"/>
      <c r="J318" s="226"/>
      <c r="K318" s="226"/>
      <c r="L318" s="226"/>
      <c r="M318" s="226"/>
      <c r="N318" s="226"/>
      <c r="O318" s="226"/>
      <c r="P318" s="226"/>
      <c r="Q318" s="226"/>
      <c r="AZ318" s="225"/>
      <c r="BA318" s="225"/>
      <c r="BB318" s="225"/>
      <c r="BC318" s="225"/>
    </row>
    <row r="319" spans="5:55" x14ac:dyDescent="0.25">
      <c r="E319" s="226"/>
      <c r="F319" s="226"/>
      <c r="G319" s="226"/>
      <c r="H319" s="226"/>
      <c r="I319" s="226"/>
      <c r="J319" s="226"/>
      <c r="K319" s="226"/>
      <c r="L319" s="226"/>
      <c r="M319" s="226"/>
      <c r="N319" s="226"/>
      <c r="O319" s="226"/>
      <c r="P319" s="226"/>
      <c r="Q319" s="226"/>
      <c r="AZ319" s="225"/>
      <c r="BA319" s="225"/>
      <c r="BB319" s="225"/>
      <c r="BC319" s="225"/>
    </row>
    <row r="320" spans="5:55" x14ac:dyDescent="0.25">
      <c r="E320" s="226"/>
      <c r="F320" s="226"/>
      <c r="G320" s="226"/>
      <c r="H320" s="226"/>
      <c r="I320" s="226"/>
      <c r="J320" s="226"/>
      <c r="K320" s="226"/>
      <c r="L320" s="226"/>
      <c r="M320" s="226"/>
      <c r="N320" s="226"/>
      <c r="O320" s="226"/>
      <c r="P320" s="226"/>
      <c r="Q320" s="226"/>
      <c r="AZ320" s="225"/>
      <c r="BA320" s="225"/>
      <c r="BB320" s="225"/>
      <c r="BC320" s="225"/>
    </row>
    <row r="321" spans="5:55" x14ac:dyDescent="0.25">
      <c r="E321" s="226"/>
      <c r="F321" s="226"/>
      <c r="G321" s="226"/>
      <c r="H321" s="226"/>
      <c r="I321" s="226"/>
      <c r="J321" s="226"/>
      <c r="K321" s="226"/>
      <c r="L321" s="226"/>
      <c r="M321" s="226"/>
      <c r="N321" s="226"/>
      <c r="O321" s="226"/>
      <c r="P321" s="226"/>
      <c r="Q321" s="226"/>
      <c r="AZ321" s="225"/>
      <c r="BA321" s="225"/>
      <c r="BB321" s="225"/>
      <c r="BC321" s="225"/>
    </row>
    <row r="322" spans="5:55" x14ac:dyDescent="0.25">
      <c r="E322" s="226"/>
      <c r="F322" s="226"/>
      <c r="G322" s="226"/>
      <c r="H322" s="226"/>
      <c r="I322" s="226"/>
      <c r="J322" s="226"/>
      <c r="K322" s="226"/>
      <c r="L322" s="226"/>
      <c r="M322" s="226"/>
      <c r="N322" s="226"/>
      <c r="O322" s="226"/>
      <c r="P322" s="226"/>
      <c r="Q322" s="226"/>
      <c r="AZ322" s="225"/>
      <c r="BA322" s="225"/>
      <c r="BB322" s="225"/>
      <c r="BC322" s="225"/>
    </row>
    <row r="323" spans="5:55" x14ac:dyDescent="0.25">
      <c r="E323" s="226"/>
      <c r="F323" s="226"/>
      <c r="G323" s="226"/>
      <c r="H323" s="226"/>
      <c r="I323" s="226"/>
      <c r="J323" s="226"/>
      <c r="K323" s="226"/>
      <c r="L323" s="226"/>
      <c r="M323" s="226"/>
      <c r="N323" s="226"/>
      <c r="O323" s="226"/>
      <c r="P323" s="226"/>
      <c r="Q323" s="226"/>
      <c r="AZ323" s="225"/>
      <c r="BA323" s="225"/>
      <c r="BB323" s="225"/>
      <c r="BC323" s="225"/>
    </row>
    <row r="324" spans="5:55" x14ac:dyDescent="0.25">
      <c r="E324" s="226"/>
      <c r="F324" s="226"/>
      <c r="G324" s="226"/>
      <c r="H324" s="226"/>
      <c r="I324" s="226"/>
      <c r="J324" s="226"/>
      <c r="K324" s="226"/>
      <c r="L324" s="226"/>
      <c r="M324" s="226"/>
      <c r="N324" s="226"/>
      <c r="O324" s="226"/>
      <c r="P324" s="226"/>
      <c r="Q324" s="226"/>
      <c r="AZ324" s="225"/>
      <c r="BA324" s="225"/>
      <c r="BB324" s="225"/>
      <c r="BC324" s="225"/>
    </row>
    <row r="325" spans="5:55" x14ac:dyDescent="0.25">
      <c r="E325" s="226"/>
      <c r="F325" s="226"/>
      <c r="G325" s="226"/>
      <c r="H325" s="226"/>
      <c r="I325" s="226"/>
      <c r="J325" s="226"/>
      <c r="K325" s="226"/>
      <c r="L325" s="226"/>
      <c r="M325" s="226"/>
      <c r="N325" s="226"/>
      <c r="O325" s="226"/>
      <c r="P325" s="226"/>
      <c r="Q325" s="226"/>
      <c r="AZ325" s="225"/>
      <c r="BA325" s="225"/>
      <c r="BB325" s="225"/>
      <c r="BC325" s="225"/>
    </row>
    <row r="326" spans="5:55" x14ac:dyDescent="0.25">
      <c r="E326" s="226"/>
      <c r="F326" s="226"/>
      <c r="G326" s="226"/>
      <c r="H326" s="226"/>
      <c r="I326" s="226"/>
      <c r="J326" s="226"/>
      <c r="K326" s="226"/>
      <c r="L326" s="226"/>
      <c r="M326" s="226"/>
      <c r="N326" s="226"/>
      <c r="O326" s="226"/>
      <c r="P326" s="226"/>
      <c r="Q326" s="226"/>
      <c r="AZ326" s="225"/>
      <c r="BA326" s="225"/>
      <c r="BB326" s="225"/>
      <c r="BC326" s="225"/>
    </row>
    <row r="327" spans="5:55" x14ac:dyDescent="0.25">
      <c r="E327" s="226"/>
      <c r="F327" s="226"/>
      <c r="G327" s="226"/>
      <c r="H327" s="226"/>
      <c r="I327" s="226"/>
      <c r="J327" s="226"/>
      <c r="K327" s="226"/>
      <c r="L327" s="226"/>
      <c r="M327" s="226"/>
      <c r="N327" s="226"/>
      <c r="O327" s="226"/>
      <c r="P327" s="226"/>
      <c r="Q327" s="226"/>
      <c r="AZ327" s="225"/>
      <c r="BA327" s="225"/>
      <c r="BB327" s="225"/>
      <c r="BC327" s="225"/>
    </row>
    <row r="328" spans="5:55" x14ac:dyDescent="0.25">
      <c r="E328" s="226"/>
      <c r="F328" s="226"/>
      <c r="G328" s="226"/>
      <c r="H328" s="226"/>
      <c r="I328" s="226"/>
      <c r="J328" s="226"/>
      <c r="K328" s="226"/>
      <c r="L328" s="226"/>
      <c r="M328" s="226"/>
      <c r="N328" s="226"/>
      <c r="O328" s="226"/>
      <c r="P328" s="226"/>
      <c r="Q328" s="226"/>
      <c r="AZ328" s="225"/>
      <c r="BA328" s="225"/>
      <c r="BB328" s="225"/>
      <c r="BC328" s="225"/>
    </row>
    <row r="329" spans="5:55" x14ac:dyDescent="0.25"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AZ329" s="225"/>
      <c r="BA329" s="225"/>
      <c r="BB329" s="225"/>
      <c r="BC329" s="225"/>
    </row>
    <row r="330" spans="5:55" x14ac:dyDescent="0.25"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AZ330" s="225"/>
      <c r="BA330" s="225"/>
      <c r="BB330" s="225"/>
      <c r="BC330" s="225"/>
    </row>
    <row r="331" spans="5:55" x14ac:dyDescent="0.25"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AZ331" s="225"/>
      <c r="BA331" s="225"/>
      <c r="BB331" s="225"/>
      <c r="BC331" s="225"/>
    </row>
    <row r="332" spans="5:55" x14ac:dyDescent="0.25"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AZ332" s="225"/>
      <c r="BA332" s="225"/>
      <c r="BB332" s="225"/>
      <c r="BC332" s="225"/>
    </row>
    <row r="333" spans="5:55" x14ac:dyDescent="0.25">
      <c r="E333" s="226"/>
      <c r="F333" s="226"/>
      <c r="G333" s="226"/>
      <c r="H333" s="226"/>
      <c r="I333" s="226"/>
      <c r="J333" s="226"/>
      <c r="K333" s="226"/>
      <c r="L333" s="226"/>
      <c r="M333" s="226"/>
      <c r="N333" s="226"/>
      <c r="O333" s="226"/>
      <c r="P333" s="226"/>
      <c r="Q333" s="226"/>
      <c r="AZ333" s="225"/>
      <c r="BA333" s="225"/>
      <c r="BB333" s="225"/>
      <c r="BC333" s="225"/>
    </row>
    <row r="334" spans="5:55" x14ac:dyDescent="0.25">
      <c r="E334" s="226"/>
      <c r="F334" s="226"/>
      <c r="G334" s="226"/>
      <c r="H334" s="226"/>
      <c r="I334" s="226"/>
      <c r="J334" s="226"/>
      <c r="K334" s="226"/>
      <c r="L334" s="226"/>
      <c r="M334" s="226"/>
      <c r="N334" s="226"/>
      <c r="O334" s="226"/>
      <c r="P334" s="226"/>
      <c r="Q334" s="226"/>
      <c r="AZ334" s="225"/>
      <c r="BA334" s="225"/>
      <c r="BB334" s="225"/>
      <c r="BC334" s="225"/>
    </row>
    <row r="335" spans="5:55" x14ac:dyDescent="0.25">
      <c r="E335" s="226"/>
      <c r="F335" s="226"/>
      <c r="G335" s="226"/>
      <c r="H335" s="226"/>
      <c r="I335" s="226"/>
      <c r="J335" s="226"/>
      <c r="K335" s="226"/>
      <c r="L335" s="226"/>
      <c r="M335" s="226"/>
      <c r="N335" s="226"/>
      <c r="O335" s="226"/>
      <c r="P335" s="226"/>
      <c r="Q335" s="226"/>
      <c r="AZ335" s="225"/>
      <c r="BA335" s="225"/>
      <c r="BB335" s="225"/>
      <c r="BC335" s="225"/>
    </row>
    <row r="336" spans="5:55" x14ac:dyDescent="0.25">
      <c r="E336" s="226"/>
      <c r="F336" s="226"/>
      <c r="G336" s="226"/>
      <c r="H336" s="226"/>
      <c r="I336" s="226"/>
      <c r="J336" s="226"/>
      <c r="K336" s="226"/>
      <c r="L336" s="226"/>
      <c r="M336" s="226"/>
      <c r="N336" s="226"/>
      <c r="O336" s="226"/>
      <c r="P336" s="226"/>
      <c r="Q336" s="226"/>
      <c r="AZ336" s="225"/>
      <c r="BA336" s="225"/>
      <c r="BB336" s="225"/>
      <c r="BC336" s="225"/>
    </row>
    <row r="337" spans="5:55" x14ac:dyDescent="0.25">
      <c r="E337" s="226"/>
      <c r="F337" s="226"/>
      <c r="G337" s="226"/>
      <c r="H337" s="226"/>
      <c r="I337" s="226"/>
      <c r="J337" s="226"/>
      <c r="K337" s="226"/>
      <c r="L337" s="226"/>
      <c r="M337" s="226"/>
      <c r="N337" s="226"/>
      <c r="O337" s="226"/>
      <c r="P337" s="226"/>
      <c r="Q337" s="226"/>
      <c r="AZ337" s="225"/>
      <c r="BA337" s="225"/>
      <c r="BB337" s="225"/>
      <c r="BC337" s="225"/>
    </row>
    <row r="338" spans="5:55" x14ac:dyDescent="0.25"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AZ338" s="225"/>
      <c r="BA338" s="225"/>
      <c r="BB338" s="225"/>
      <c r="BC338" s="225"/>
    </row>
    <row r="339" spans="5:55" x14ac:dyDescent="0.25"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AZ339" s="225"/>
      <c r="BA339" s="225"/>
      <c r="BB339" s="225"/>
      <c r="BC339" s="225"/>
    </row>
    <row r="340" spans="5:55" x14ac:dyDescent="0.25"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AZ340" s="225"/>
      <c r="BA340" s="225"/>
      <c r="BB340" s="225"/>
      <c r="BC340" s="225"/>
    </row>
    <row r="341" spans="5:55" x14ac:dyDescent="0.25"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AZ341" s="225"/>
      <c r="BA341" s="225"/>
      <c r="BB341" s="225"/>
      <c r="BC341" s="225"/>
    </row>
    <row r="342" spans="5:55" x14ac:dyDescent="0.25">
      <c r="E342" s="226"/>
      <c r="F342" s="226"/>
      <c r="G342" s="226"/>
      <c r="H342" s="226"/>
      <c r="I342" s="226"/>
      <c r="J342" s="226"/>
      <c r="K342" s="226"/>
      <c r="L342" s="226"/>
      <c r="M342" s="226"/>
      <c r="N342" s="226"/>
      <c r="O342" s="226"/>
      <c r="P342" s="226"/>
      <c r="Q342" s="226"/>
      <c r="AZ342" s="225"/>
      <c r="BA342" s="225"/>
      <c r="BB342" s="225"/>
      <c r="BC342" s="225"/>
    </row>
    <row r="343" spans="5:55" x14ac:dyDescent="0.25">
      <c r="E343" s="226"/>
      <c r="F343" s="226"/>
      <c r="G343" s="226"/>
      <c r="H343" s="226"/>
      <c r="I343" s="226"/>
      <c r="J343" s="226"/>
      <c r="K343" s="226"/>
      <c r="L343" s="226"/>
      <c r="M343" s="226"/>
      <c r="N343" s="226"/>
      <c r="O343" s="226"/>
      <c r="P343" s="226"/>
      <c r="Q343" s="226"/>
      <c r="AZ343" s="225"/>
      <c r="BA343" s="225"/>
      <c r="BB343" s="225"/>
      <c r="BC343" s="225"/>
    </row>
    <row r="344" spans="5:55" x14ac:dyDescent="0.25">
      <c r="E344" s="226"/>
      <c r="F344" s="226"/>
      <c r="G344" s="226"/>
      <c r="H344" s="226"/>
      <c r="I344" s="226"/>
      <c r="J344" s="226"/>
      <c r="K344" s="226"/>
      <c r="L344" s="226"/>
      <c r="M344" s="226"/>
      <c r="N344" s="226"/>
      <c r="O344" s="226"/>
      <c r="P344" s="226"/>
      <c r="Q344" s="226"/>
      <c r="AZ344" s="225"/>
      <c r="BA344" s="225"/>
      <c r="BB344" s="225"/>
      <c r="BC344" s="225"/>
    </row>
    <row r="345" spans="5:55" x14ac:dyDescent="0.25">
      <c r="E345" s="226"/>
      <c r="F345" s="226"/>
      <c r="G345" s="226"/>
      <c r="H345" s="226"/>
      <c r="I345" s="226"/>
      <c r="J345" s="226"/>
      <c r="K345" s="226"/>
      <c r="L345" s="226"/>
      <c r="M345" s="226"/>
      <c r="N345" s="226"/>
      <c r="O345" s="226"/>
      <c r="P345" s="226"/>
      <c r="Q345" s="226"/>
      <c r="AZ345" s="225"/>
      <c r="BA345" s="225"/>
      <c r="BB345" s="225"/>
      <c r="BC345" s="225"/>
    </row>
  </sheetData>
  <mergeCells count="7">
    <mergeCell ref="E72:F72"/>
    <mergeCell ref="B3:Q3"/>
    <mergeCell ref="B2:Q2"/>
    <mergeCell ref="E69:F69"/>
    <mergeCell ref="E70:F70"/>
    <mergeCell ref="E71:F71"/>
    <mergeCell ref="A4:Q4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52" max="17" man="1"/>
  </rowBreaks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12"/>
  <sheetViews>
    <sheetView showGridLines="0" topLeftCell="A52" zoomScaleNormal="100" workbookViewId="0">
      <selection activeCell="D71" sqref="D71"/>
    </sheetView>
  </sheetViews>
  <sheetFormatPr defaultColWidth="9.140625" defaultRowHeight="15" x14ac:dyDescent="0.25"/>
  <cols>
    <col min="1" max="1" width="5.28515625" style="216" customWidth="1"/>
    <col min="2" max="2" width="29.5703125" style="216" customWidth="1"/>
    <col min="3" max="13" width="10.7109375" style="218" customWidth="1"/>
    <col min="14" max="14" width="7.7109375" style="218" bestFit="1" customWidth="1"/>
    <col min="15" max="15" width="10.7109375" style="218" customWidth="1"/>
    <col min="16" max="16" width="9.140625" style="216"/>
    <col min="17" max="17" width="7.28515625" style="216" bestFit="1" customWidth="1"/>
    <col min="18" max="19" width="9.140625" style="216"/>
    <col min="20" max="20" width="7.85546875" style="216" bestFit="1" customWidth="1"/>
    <col min="21" max="16384" width="9.140625" style="216"/>
  </cols>
  <sheetData>
    <row r="1" spans="2:18" x14ac:dyDescent="0.25">
      <c r="B1" s="225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2:18" x14ac:dyDescent="0.25">
      <c r="B2" s="512" t="str">
        <f>'P&amp;L(Proposed)'!B2:Q2</f>
        <v>MANCARE LABORATORIES PVT. LTD. Plot  No. -11, Pharma City, Selaqui Industrial Area, Dehradun, Uttarakhand- 248011</v>
      </c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</row>
    <row r="3" spans="2:18" x14ac:dyDescent="0.25"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2:18" x14ac:dyDescent="0.25">
      <c r="B4" s="510" t="s">
        <v>118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</row>
    <row r="5" spans="2:18" x14ac:dyDescent="0.25">
      <c r="B5" s="511"/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</row>
    <row r="6" spans="2:18" x14ac:dyDescent="0.25">
      <c r="B6" s="306" t="s">
        <v>709</v>
      </c>
      <c r="C6" s="452" t="str">
        <f>'P&amp;L(Proposed)'!E6</f>
        <v>2023-24</v>
      </c>
      <c r="D6" s="452" t="str">
        <f>'P&amp;L(Proposed)'!F6</f>
        <v>2024-25</v>
      </c>
      <c r="E6" s="452" t="str">
        <f>'P&amp;L(Proposed)'!G6</f>
        <v>2025-26</v>
      </c>
      <c r="F6" s="452" t="str">
        <f>'P&amp;L(Proposed)'!H6</f>
        <v>2026-27</v>
      </c>
      <c r="G6" s="452" t="str">
        <f>'P&amp;L(Proposed)'!I6</f>
        <v>2027-28</v>
      </c>
      <c r="H6" s="452" t="str">
        <f>'P&amp;L(Proposed)'!J6</f>
        <v>2028-29</v>
      </c>
      <c r="I6" s="452" t="str">
        <f>'P&amp;L(Proposed)'!K6</f>
        <v>2029-30</v>
      </c>
      <c r="J6" s="452" t="str">
        <f>'P&amp;L(Proposed)'!L6</f>
        <v>2030-31</v>
      </c>
      <c r="K6" s="452" t="str">
        <f>'P&amp;L(Proposed)'!M6</f>
        <v>2031-32</v>
      </c>
      <c r="L6" s="452" t="str">
        <f>'P&amp;L(Proposed)'!N6</f>
        <v>2032-33</v>
      </c>
      <c r="M6" s="452" t="str">
        <f>'P&amp;L(Proposed)'!O6</f>
        <v>2033-34</v>
      </c>
      <c r="N6" s="452" t="str">
        <f>'P&amp;L(Proposed)'!P6</f>
        <v>2034-35</v>
      </c>
      <c r="O6" s="452" t="str">
        <f>'P&amp;L(Proposed)'!Q6</f>
        <v>2035-36</v>
      </c>
    </row>
    <row r="7" spans="2:18" x14ac:dyDescent="0.25">
      <c r="B7" s="253" t="s">
        <v>123</v>
      </c>
      <c r="C7" s="318">
        <v>800</v>
      </c>
      <c r="D7" s="318">
        <v>800</v>
      </c>
      <c r="E7" s="318">
        <v>1000</v>
      </c>
      <c r="F7" s="318">
        <v>1200</v>
      </c>
      <c r="G7" s="318">
        <v>1200</v>
      </c>
      <c r="H7" s="318">
        <v>1200</v>
      </c>
      <c r="I7" s="318">
        <v>1200</v>
      </c>
      <c r="J7" s="318">
        <v>1200</v>
      </c>
      <c r="K7" s="318">
        <v>1200</v>
      </c>
      <c r="L7" s="318">
        <v>1200</v>
      </c>
      <c r="M7" s="318">
        <v>1200</v>
      </c>
      <c r="N7" s="318">
        <v>1200</v>
      </c>
      <c r="O7" s="318">
        <v>1200</v>
      </c>
      <c r="P7" s="225"/>
      <c r="Q7" s="225"/>
    </row>
    <row r="8" spans="2:18" x14ac:dyDescent="0.25">
      <c r="B8" s="453" t="s">
        <v>482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225"/>
      <c r="Q8" s="225"/>
    </row>
    <row r="9" spans="2:18" x14ac:dyDescent="0.25">
      <c r="B9" s="253" t="s">
        <v>27</v>
      </c>
      <c r="C9" s="318">
        <v>0</v>
      </c>
      <c r="D9" s="318">
        <f>C14</f>
        <v>345.2</v>
      </c>
      <c r="E9" s="318">
        <f>D14-D11</f>
        <v>745.20000000000016</v>
      </c>
      <c r="F9" s="318">
        <f>E12-F11</f>
        <v>1000.0000000000002</v>
      </c>
      <c r="G9" s="318">
        <f>F12-F11</f>
        <v>1200.0000000000002</v>
      </c>
      <c r="H9" s="318">
        <f t="shared" ref="H9:O9" si="0">G9</f>
        <v>1200.0000000000002</v>
      </c>
      <c r="I9" s="318">
        <f t="shared" si="0"/>
        <v>1200.0000000000002</v>
      </c>
      <c r="J9" s="318">
        <f t="shared" si="0"/>
        <v>1200.0000000000002</v>
      </c>
      <c r="K9" s="318">
        <f t="shared" si="0"/>
        <v>1200.0000000000002</v>
      </c>
      <c r="L9" s="318">
        <f t="shared" si="0"/>
        <v>1200.0000000000002</v>
      </c>
      <c r="M9" s="318">
        <f t="shared" si="0"/>
        <v>1200.0000000000002</v>
      </c>
      <c r="N9" s="318">
        <f t="shared" si="0"/>
        <v>1200.0000000000002</v>
      </c>
      <c r="O9" s="318">
        <f t="shared" si="0"/>
        <v>1200.0000000000002</v>
      </c>
      <c r="P9" s="225"/>
      <c r="Q9" s="225"/>
    </row>
    <row r="10" spans="2:18" x14ac:dyDescent="0.25">
      <c r="B10" s="253" t="s">
        <v>97</v>
      </c>
      <c r="C10" s="318">
        <v>345.2</v>
      </c>
      <c r="D10" s="318">
        <v>400</v>
      </c>
      <c r="E10" s="318">
        <v>254.8</v>
      </c>
      <c r="F10" s="318">
        <v>200</v>
      </c>
      <c r="G10" s="318">
        <v>0</v>
      </c>
      <c r="H10" s="318">
        <v>0</v>
      </c>
      <c r="I10" s="318">
        <v>0</v>
      </c>
      <c r="J10" s="318">
        <v>0</v>
      </c>
      <c r="K10" s="318">
        <v>0</v>
      </c>
      <c r="L10" s="318">
        <v>0</v>
      </c>
      <c r="M10" s="318">
        <v>0</v>
      </c>
      <c r="N10" s="318">
        <v>0</v>
      </c>
      <c r="O10" s="318">
        <v>0</v>
      </c>
      <c r="P10" s="225"/>
      <c r="Q10" s="225"/>
    </row>
    <row r="11" spans="2:18" ht="30" x14ac:dyDescent="0.25">
      <c r="B11" s="447" t="s">
        <v>627</v>
      </c>
      <c r="C11" s="318">
        <v>0</v>
      </c>
      <c r="D11" s="318">
        <f>COP!F20+COP!E20-'BS(Proposed)'!C10-'BS(Proposed)'!D10+165.4</f>
        <v>346.7399999999999</v>
      </c>
      <c r="E11" s="318">
        <f>COP!H20-'BS(Proposed)'!C10-'BS(Proposed)'!D10-'BS(Proposed)'!E10</f>
        <v>352.98999999999995</v>
      </c>
      <c r="F11" s="318">
        <f>E11</f>
        <v>352.98999999999995</v>
      </c>
      <c r="G11" s="318">
        <v>452.99</v>
      </c>
      <c r="H11" s="318">
        <f t="shared" ref="H11:O11" si="1">G11</f>
        <v>452.99</v>
      </c>
      <c r="I11" s="318">
        <v>552.99</v>
      </c>
      <c r="J11" s="318">
        <f t="shared" si="1"/>
        <v>552.99</v>
      </c>
      <c r="K11" s="318">
        <f t="shared" si="1"/>
        <v>552.99</v>
      </c>
      <c r="L11" s="318">
        <f t="shared" si="1"/>
        <v>552.99</v>
      </c>
      <c r="M11" s="318">
        <f t="shared" si="1"/>
        <v>552.99</v>
      </c>
      <c r="N11" s="318">
        <v>652.99</v>
      </c>
      <c r="O11" s="318">
        <f t="shared" si="1"/>
        <v>652.99</v>
      </c>
      <c r="P11" s="225"/>
      <c r="Q11" s="225"/>
    </row>
    <row r="12" spans="2:18" x14ac:dyDescent="0.25">
      <c r="B12" s="305" t="s">
        <v>5</v>
      </c>
      <c r="C12" s="442">
        <f>SUM(C9:C11)</f>
        <v>345.2</v>
      </c>
      <c r="D12" s="442">
        <f t="shared" ref="D12:O12" si="2">SUM(D9:D11)</f>
        <v>1091.94</v>
      </c>
      <c r="E12" s="442">
        <f t="shared" si="2"/>
        <v>1352.9900000000002</v>
      </c>
      <c r="F12" s="442">
        <f t="shared" si="2"/>
        <v>1552.9900000000002</v>
      </c>
      <c r="G12" s="442">
        <f t="shared" si="2"/>
        <v>1652.9900000000002</v>
      </c>
      <c r="H12" s="442">
        <f t="shared" si="2"/>
        <v>1652.9900000000002</v>
      </c>
      <c r="I12" s="442">
        <f t="shared" si="2"/>
        <v>1752.9900000000002</v>
      </c>
      <c r="J12" s="442">
        <f t="shared" si="2"/>
        <v>1752.9900000000002</v>
      </c>
      <c r="K12" s="442">
        <f t="shared" si="2"/>
        <v>1752.9900000000002</v>
      </c>
      <c r="L12" s="442">
        <f t="shared" si="2"/>
        <v>1752.9900000000002</v>
      </c>
      <c r="M12" s="442">
        <f t="shared" si="2"/>
        <v>1752.9900000000002</v>
      </c>
      <c r="N12" s="442">
        <f t="shared" si="2"/>
        <v>1852.9900000000002</v>
      </c>
      <c r="O12" s="442">
        <f t="shared" si="2"/>
        <v>1852.9900000000002</v>
      </c>
      <c r="P12" s="225"/>
      <c r="Q12" s="225"/>
    </row>
    <row r="13" spans="2:18" x14ac:dyDescent="0.25">
      <c r="B13" s="253" t="s">
        <v>124</v>
      </c>
      <c r="C13" s="318">
        <f>'P&amp;L(Proposed)'!E45</f>
        <v>0</v>
      </c>
      <c r="D13" s="318">
        <f>'P&amp;L(Proposed)'!F45</f>
        <v>0</v>
      </c>
      <c r="E13" s="318">
        <f>'P&amp;L(Proposed)'!G45</f>
        <v>-185.57921890624999</v>
      </c>
      <c r="F13" s="318">
        <f>'P&amp;L(Proposed)'!H45</f>
        <v>743.87271539875019</v>
      </c>
      <c r="G13" s="318">
        <f>'P&amp;L(Proposed)'!I45</f>
        <v>553.43385882000098</v>
      </c>
      <c r="H13" s="318">
        <f>'P&amp;L(Proposed)'!J45</f>
        <v>644.38339064504839</v>
      </c>
      <c r="I13" s="318">
        <f>'P&amp;L(Proposed)'!K45</f>
        <v>721.01721641567792</v>
      </c>
      <c r="J13" s="318">
        <f>'P&amp;L(Proposed)'!L45</f>
        <v>693.66645962510131</v>
      </c>
      <c r="K13" s="318">
        <f>'P&amp;L(Proposed)'!M45</f>
        <v>974.64817077170801</v>
      </c>
      <c r="L13" s="318">
        <f>'P&amp;L(Proposed)'!N45</f>
        <v>915.89707460303441</v>
      </c>
      <c r="M13" s="318">
        <f>'P&amp;L(Proposed)'!O45</f>
        <v>1216.4434852725808</v>
      </c>
      <c r="N13" s="318">
        <f>'P&amp;L(Proposed)'!P45</f>
        <v>1339.5462153900403</v>
      </c>
      <c r="O13" s="318">
        <f>'P&amp;L(Proposed)'!Q45</f>
        <v>1443.2519672545704</v>
      </c>
      <c r="P13" s="225"/>
      <c r="Q13" s="225"/>
    </row>
    <row r="14" spans="2:18" x14ac:dyDescent="0.25">
      <c r="B14" s="305" t="s">
        <v>493</v>
      </c>
      <c r="C14" s="442">
        <f t="shared" ref="C14:O14" si="3">C12+C13</f>
        <v>345.2</v>
      </c>
      <c r="D14" s="442">
        <f t="shared" si="3"/>
        <v>1091.94</v>
      </c>
      <c r="E14" s="442">
        <f t="shared" si="3"/>
        <v>1167.4107810937503</v>
      </c>
      <c r="F14" s="442">
        <f t="shared" si="3"/>
        <v>2296.8627153987504</v>
      </c>
      <c r="G14" s="442">
        <f t="shared" si="3"/>
        <v>2206.4238588200014</v>
      </c>
      <c r="H14" s="442">
        <f t="shared" si="3"/>
        <v>2297.3733906450489</v>
      </c>
      <c r="I14" s="442">
        <f t="shared" si="3"/>
        <v>2474.0072164156782</v>
      </c>
      <c r="J14" s="442">
        <f t="shared" si="3"/>
        <v>2446.6564596251014</v>
      </c>
      <c r="K14" s="442">
        <f t="shared" si="3"/>
        <v>2727.6381707717082</v>
      </c>
      <c r="L14" s="442">
        <f t="shared" si="3"/>
        <v>2668.8870746030348</v>
      </c>
      <c r="M14" s="442">
        <f t="shared" si="3"/>
        <v>2969.433485272581</v>
      </c>
      <c r="N14" s="442">
        <f t="shared" si="3"/>
        <v>3192.5362153900405</v>
      </c>
      <c r="O14" s="442">
        <f t="shared" si="3"/>
        <v>3296.2419672545707</v>
      </c>
      <c r="P14" s="225"/>
      <c r="Q14" s="225"/>
    </row>
    <row r="15" spans="2:18" x14ac:dyDescent="0.25">
      <c r="B15" s="453" t="s">
        <v>98</v>
      </c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225"/>
      <c r="Q15" s="225"/>
      <c r="R15" s="225"/>
    </row>
    <row r="16" spans="2:18" x14ac:dyDescent="0.25">
      <c r="B16" s="253" t="s">
        <v>88</v>
      </c>
      <c r="C16" s="318">
        <f>'Rep(Building)'!I26</f>
        <v>500</v>
      </c>
      <c r="D16" s="318">
        <f>'Rep(Building)'!I39</f>
        <v>1190</v>
      </c>
      <c r="E16" s="318">
        <f>'Rep(Building)'!I52-'Rep(Building)'!G66</f>
        <v>1148</v>
      </c>
      <c r="F16" s="318">
        <f>'Rep(Building)'!I65-'Rep(Building)'!G79</f>
        <v>1064</v>
      </c>
      <c r="G16" s="318">
        <f>'Rep(Building)'!I78-'Rep(Building)'!G92</f>
        <v>968</v>
      </c>
      <c r="H16" s="318">
        <f>'Rep(Building)'!I91-'Rep(Building)'!G105</f>
        <v>859.99999999999989</v>
      </c>
      <c r="I16" s="318">
        <f>'Rep(Building)'!I104-'Rep(Building)'!G118</f>
        <v>739.99999999999989</v>
      </c>
      <c r="J16" s="318">
        <f>'Rep(Building)'!I117-'Rep(Building)'!G131</f>
        <v>607.99999999999989</v>
      </c>
      <c r="K16" s="318">
        <f>'Rep(Building)'!I130-'Rep(Building)'!G144</f>
        <v>463.99999999999989</v>
      </c>
      <c r="L16" s="318">
        <f>'Rep(Building)'!I143-'Rep(Building)'!G157</f>
        <v>307.99999999999989</v>
      </c>
      <c r="M16" s="318">
        <f>'Rep(Building)'!I156-'Rep(Building)'!G170</f>
        <v>151.99999999999989</v>
      </c>
      <c r="N16" s="318">
        <f>'Rep(Building)'!I169-'Rep(Building)'!G182</f>
        <v>0</v>
      </c>
      <c r="O16" s="318">
        <v>0</v>
      </c>
      <c r="P16" s="225"/>
      <c r="Q16" s="225"/>
    </row>
    <row r="17" spans="2:17" x14ac:dyDescent="0.25">
      <c r="B17" s="253" t="s">
        <v>89</v>
      </c>
      <c r="C17" s="318">
        <f>'Rep(P&amp;M)'!I26</f>
        <v>100</v>
      </c>
      <c r="D17" s="318">
        <f>'Rep(P&amp;M)'!I39</f>
        <v>1100</v>
      </c>
      <c r="E17" s="318">
        <f>'Rep(P&amp;M)'!I52-'Rep(P&amp;M)'!G66</f>
        <v>1580</v>
      </c>
      <c r="F17" s="318">
        <f>'Rep(P&amp;M)'!I65-'Rep(P&amp;M)'!G79</f>
        <v>1448</v>
      </c>
      <c r="G17" s="318">
        <f>'Rep(P&amp;M)'!I78-'Rep(P&amp;M)'!G92</f>
        <v>1304</v>
      </c>
      <c r="H17" s="318">
        <f>'Rep(P&amp;M)'!I91-'Rep(P&amp;M)'!G105</f>
        <v>1148</v>
      </c>
      <c r="I17" s="318">
        <f>'Rep(P&amp;M)'!I104-'Rep(P&amp;M)'!G118</f>
        <v>980</v>
      </c>
      <c r="J17" s="318">
        <f>'Rep(P&amp;M)'!I117-'Rep(P&amp;M)'!G131</f>
        <v>799.99999999999989</v>
      </c>
      <c r="K17" s="318">
        <f>'Rep(P&amp;M)'!I130-'Rep(P&amp;M)'!G144</f>
        <v>607.99999999999989</v>
      </c>
      <c r="L17" s="318">
        <f>'Rep(P&amp;M)'!I143-'Rep(P&amp;M)'!G157</f>
        <v>403.99999999999989</v>
      </c>
      <c r="M17" s="318">
        <f>'Rep(P&amp;M)'!I156-'Rep(P&amp;M)'!G170</f>
        <v>199.99999999999989</v>
      </c>
      <c r="N17" s="318">
        <f>'Rep(P&amp;M)'!I169-'Rep(P&amp;M)'!G182</f>
        <v>0</v>
      </c>
      <c r="O17" s="318">
        <v>0</v>
      </c>
      <c r="P17" s="225"/>
      <c r="Q17" s="225"/>
    </row>
    <row r="18" spans="2:17" x14ac:dyDescent="0.25">
      <c r="B18" s="305" t="s">
        <v>628</v>
      </c>
      <c r="C18" s="442">
        <f>C16+C17</f>
        <v>600</v>
      </c>
      <c r="D18" s="442">
        <f t="shared" ref="D18:O18" si="4">D16+D17</f>
        <v>2290</v>
      </c>
      <c r="E18" s="442">
        <f t="shared" si="4"/>
        <v>2728</v>
      </c>
      <c r="F18" s="442">
        <f t="shared" si="4"/>
        <v>2512</v>
      </c>
      <c r="G18" s="442">
        <f t="shared" si="4"/>
        <v>2272</v>
      </c>
      <c r="H18" s="442">
        <f t="shared" si="4"/>
        <v>2008</v>
      </c>
      <c r="I18" s="442">
        <f t="shared" si="4"/>
        <v>1720</v>
      </c>
      <c r="J18" s="442">
        <f t="shared" si="4"/>
        <v>1407.9999999999998</v>
      </c>
      <c r="K18" s="442">
        <f t="shared" si="4"/>
        <v>1071.9999999999998</v>
      </c>
      <c r="L18" s="442">
        <f t="shared" si="4"/>
        <v>711.99999999999977</v>
      </c>
      <c r="M18" s="442">
        <f t="shared" si="4"/>
        <v>351.99999999999977</v>
      </c>
      <c r="N18" s="442">
        <f t="shared" si="4"/>
        <v>0</v>
      </c>
      <c r="O18" s="442">
        <f t="shared" si="4"/>
        <v>0</v>
      </c>
      <c r="P18" s="225"/>
      <c r="Q18" s="225"/>
    </row>
    <row r="19" spans="2:17" x14ac:dyDescent="0.25">
      <c r="B19" s="253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225"/>
      <c r="Q19" s="225"/>
    </row>
    <row r="20" spans="2:17" x14ac:dyDescent="0.25">
      <c r="B20" s="305" t="s">
        <v>492</v>
      </c>
      <c r="C20" s="318">
        <v>0</v>
      </c>
      <c r="D20" s="318">
        <v>0</v>
      </c>
      <c r="E20" s="318">
        <v>0</v>
      </c>
      <c r="F20" s="318">
        <v>0</v>
      </c>
      <c r="G20" s="318">
        <v>0</v>
      </c>
      <c r="H20" s="318">
        <v>0</v>
      </c>
      <c r="I20" s="318">
        <v>0</v>
      </c>
      <c r="J20" s="318">
        <v>0</v>
      </c>
      <c r="K20" s="318">
        <v>0</v>
      </c>
      <c r="L20" s="318">
        <v>0</v>
      </c>
      <c r="M20" s="318">
        <v>0</v>
      </c>
      <c r="N20" s="318">
        <v>0</v>
      </c>
      <c r="O20" s="318">
        <v>0</v>
      </c>
      <c r="P20" s="225"/>
      <c r="Q20" s="225"/>
    </row>
    <row r="21" spans="2:17" x14ac:dyDescent="0.25">
      <c r="B21" s="253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225"/>
      <c r="Q21" s="225"/>
    </row>
    <row r="22" spans="2:17" x14ac:dyDescent="0.25">
      <c r="B22" s="453" t="s">
        <v>99</v>
      </c>
      <c r="C22" s="318"/>
      <c r="D22" s="318"/>
      <c r="E22" s="318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225"/>
      <c r="Q22" s="225"/>
    </row>
    <row r="23" spans="2:17" x14ac:dyDescent="0.25">
      <c r="B23" s="253" t="s">
        <v>90</v>
      </c>
      <c r="C23" s="318">
        <v>0</v>
      </c>
      <c r="D23" s="318">
        <v>0</v>
      </c>
      <c r="E23" s="318">
        <v>400</v>
      </c>
      <c r="F23" s="318">
        <v>400</v>
      </c>
      <c r="G23" s="318">
        <v>400</v>
      </c>
      <c r="H23" s="318">
        <v>400</v>
      </c>
      <c r="I23" s="318">
        <v>400</v>
      </c>
      <c r="J23" s="318">
        <v>400</v>
      </c>
      <c r="K23" s="318">
        <v>400</v>
      </c>
      <c r="L23" s="318">
        <v>400</v>
      </c>
      <c r="M23" s="318">
        <v>400</v>
      </c>
      <c r="N23" s="318">
        <v>400</v>
      </c>
      <c r="O23" s="318">
        <v>400</v>
      </c>
      <c r="P23" s="225"/>
      <c r="Q23" s="225"/>
    </row>
    <row r="24" spans="2:17" x14ac:dyDescent="0.25">
      <c r="B24" s="253" t="s">
        <v>100</v>
      </c>
      <c r="C24" s="318">
        <v>0</v>
      </c>
      <c r="D24" s="318">
        <v>0</v>
      </c>
      <c r="E24" s="318">
        <f>'P&amp;L(Proposed)'!G14*19%</f>
        <v>46.706902593749987</v>
      </c>
      <c r="F24" s="318">
        <f>'P&amp;L(Proposed)'!H14*25%</f>
        <v>948.18524062499989</v>
      </c>
      <c r="G24" s="318">
        <f>'P&amp;L(Proposed)'!I14*25%</f>
        <v>1053.5391562499999</v>
      </c>
      <c r="H24" s="318">
        <f>'P&amp;L(Proposed)'!J14*25%</f>
        <v>1158.8930718749998</v>
      </c>
      <c r="I24" s="318">
        <f>'P&amp;L(Proposed)'!K14*25%</f>
        <v>1264.2469875000002</v>
      </c>
      <c r="J24" s="318">
        <f>'P&amp;L(Proposed)'!L14*25%</f>
        <v>1369.6009031250003</v>
      </c>
      <c r="K24" s="318">
        <f>'P&amp;L(Proposed)'!M14*25%</f>
        <v>1474.9548187500004</v>
      </c>
      <c r="L24" s="318">
        <f>'P&amp;L(Proposed)'!N14*25%</f>
        <v>1580.3087343750001</v>
      </c>
      <c r="M24" s="318">
        <f>'P&amp;L(Proposed)'!O14*23%</f>
        <v>1550.8096380000006</v>
      </c>
      <c r="N24" s="318">
        <f>'P&amp;L(Proposed)'!P14*23%</f>
        <v>1647.7352403750006</v>
      </c>
      <c r="O24" s="318">
        <f>'P&amp;L(Proposed)'!Q14*23%</f>
        <v>1744.6608427500007</v>
      </c>
      <c r="P24" s="225"/>
      <c r="Q24" s="225"/>
    </row>
    <row r="25" spans="2:17" x14ac:dyDescent="0.25">
      <c r="B25" s="253" t="s">
        <v>101</v>
      </c>
      <c r="C25" s="318">
        <v>0</v>
      </c>
      <c r="D25" s="318">
        <v>0</v>
      </c>
      <c r="E25" s="444">
        <v>50</v>
      </c>
      <c r="F25" s="444">
        <v>52.37</v>
      </c>
      <c r="G25" s="444">
        <v>52.37</v>
      </c>
      <c r="H25" s="444">
        <v>54.87</v>
      </c>
      <c r="I25" s="444">
        <v>57.62</v>
      </c>
      <c r="J25" s="444">
        <v>60.64</v>
      </c>
      <c r="K25" s="444">
        <v>80.59</v>
      </c>
      <c r="L25" s="444">
        <v>50.3</v>
      </c>
      <c r="M25" s="444">
        <v>75</v>
      </c>
      <c r="N25" s="444">
        <v>75</v>
      </c>
      <c r="O25" s="444">
        <v>175</v>
      </c>
      <c r="P25" s="225"/>
      <c r="Q25" s="225"/>
    </row>
    <row r="26" spans="2:17" ht="30" x14ac:dyDescent="0.25">
      <c r="B26" s="447" t="s">
        <v>638</v>
      </c>
      <c r="C26" s="318">
        <f>'Rep(Building)'!G27+'Rep(P&amp;M)'!G27</f>
        <v>0</v>
      </c>
      <c r="D26" s="318">
        <f>'Rep(Building)'!G40+'Rep(P&amp;M)'!G40</f>
        <v>0</v>
      </c>
      <c r="E26" s="444">
        <f>'Rep(Building)'!G66+'Rep(P&amp;M)'!G66</f>
        <v>112</v>
      </c>
      <c r="F26" s="444">
        <f>'Rep(Building)'!G79+'Rep(P&amp;M)'!G79</f>
        <v>216</v>
      </c>
      <c r="G26" s="444">
        <f>'Rep(Building)'!G92+'Rep(P&amp;M)'!G92</f>
        <v>240</v>
      </c>
      <c r="H26" s="444">
        <f>'Rep(Building)'!G105+'Rep(P&amp;M)'!G105</f>
        <v>264</v>
      </c>
      <c r="I26" s="444">
        <f>'Rep(Building)'!G118+'Rep(P&amp;M)'!G118</f>
        <v>288</v>
      </c>
      <c r="J26" s="444">
        <f>'Rep(Building)'!G131+'Rep(P&amp;M)'!G131</f>
        <v>312</v>
      </c>
      <c r="K26" s="444">
        <f>'Rep(Building)'!G144+'Rep(P&amp;M)'!G144</f>
        <v>336</v>
      </c>
      <c r="L26" s="444">
        <f>'Rep(Building)'!G157+'Rep(P&amp;M)'!G157</f>
        <v>360</v>
      </c>
      <c r="M26" s="444">
        <f>'Rep(Building)'!G170+'Rep(P&amp;M)'!G170</f>
        <v>360</v>
      </c>
      <c r="N26" s="444">
        <f>'Rep(Building)'!G182+'Rep(P&amp;M)'!G182</f>
        <v>352</v>
      </c>
      <c r="O26" s="444">
        <v>0</v>
      </c>
      <c r="P26" s="225"/>
      <c r="Q26" s="225"/>
    </row>
    <row r="27" spans="2:17" x14ac:dyDescent="0.25">
      <c r="B27" s="305" t="s">
        <v>157</v>
      </c>
      <c r="C27" s="442">
        <f>SUM(C23:C26)</f>
        <v>0</v>
      </c>
      <c r="D27" s="442">
        <f t="shared" ref="D27:O27" si="5">SUM(D23:D26)</f>
        <v>0</v>
      </c>
      <c r="E27" s="455">
        <f t="shared" si="5"/>
        <v>608.70690259374999</v>
      </c>
      <c r="F27" s="455">
        <f t="shared" si="5"/>
        <v>1616.5552406249999</v>
      </c>
      <c r="G27" s="455">
        <f t="shared" si="5"/>
        <v>1745.9091562499998</v>
      </c>
      <c r="H27" s="455">
        <f t="shared" si="5"/>
        <v>1877.7630718749997</v>
      </c>
      <c r="I27" s="455">
        <f t="shared" si="5"/>
        <v>2009.8669875000001</v>
      </c>
      <c r="J27" s="455">
        <f t="shared" si="5"/>
        <v>2142.2409031250004</v>
      </c>
      <c r="K27" s="455">
        <f t="shared" si="5"/>
        <v>2291.5448187500006</v>
      </c>
      <c r="L27" s="455">
        <f t="shared" si="5"/>
        <v>2390.608734375</v>
      </c>
      <c r="M27" s="455">
        <f t="shared" si="5"/>
        <v>2385.8096380000006</v>
      </c>
      <c r="N27" s="455">
        <f t="shared" si="5"/>
        <v>2474.7352403750006</v>
      </c>
      <c r="O27" s="455">
        <f t="shared" si="5"/>
        <v>2319.6608427500005</v>
      </c>
      <c r="P27" s="225"/>
      <c r="Q27" s="225"/>
    </row>
    <row r="28" spans="2:17" x14ac:dyDescent="0.25">
      <c r="B28" s="253"/>
      <c r="C28" s="318"/>
      <c r="D28" s="318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225"/>
      <c r="Q28" s="225"/>
    </row>
    <row r="29" spans="2:17" x14ac:dyDescent="0.25">
      <c r="B29" s="253"/>
      <c r="C29" s="442">
        <f>C14+C18+C20+C27</f>
        <v>945.2</v>
      </c>
      <c r="D29" s="442">
        <f t="shared" ref="D29:O29" si="6">D14+D18+D20+D27</f>
        <v>3381.94</v>
      </c>
      <c r="E29" s="455">
        <f t="shared" si="6"/>
        <v>4504.1176836875002</v>
      </c>
      <c r="F29" s="455">
        <f t="shared" si="6"/>
        <v>6425.4179560237508</v>
      </c>
      <c r="G29" s="455">
        <f t="shared" si="6"/>
        <v>6224.3330150700012</v>
      </c>
      <c r="H29" s="455">
        <f t="shared" si="6"/>
        <v>6183.1364625200486</v>
      </c>
      <c r="I29" s="455">
        <f t="shared" si="6"/>
        <v>6203.8742039156787</v>
      </c>
      <c r="J29" s="455">
        <f t="shared" si="6"/>
        <v>5996.8973627501018</v>
      </c>
      <c r="K29" s="455">
        <f t="shared" si="6"/>
        <v>6091.1829895217088</v>
      </c>
      <c r="L29" s="455">
        <f t="shared" si="6"/>
        <v>5771.4958089780339</v>
      </c>
      <c r="M29" s="455">
        <f t="shared" si="6"/>
        <v>5707.2431232725812</v>
      </c>
      <c r="N29" s="455">
        <f t="shared" si="6"/>
        <v>5667.2714557650415</v>
      </c>
      <c r="O29" s="455">
        <f t="shared" si="6"/>
        <v>5615.9028100045707</v>
      </c>
      <c r="P29" s="225"/>
      <c r="Q29" s="225"/>
    </row>
    <row r="30" spans="2:17" x14ac:dyDescent="0.25">
      <c r="B30" s="253"/>
      <c r="C30" s="318"/>
      <c r="D30" s="318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225"/>
      <c r="Q30" s="225"/>
    </row>
    <row r="31" spans="2:17" x14ac:dyDescent="0.25">
      <c r="B31" s="453" t="s">
        <v>96</v>
      </c>
      <c r="C31" s="318">
        <f>'Dep(Proposed)'!C17</f>
        <v>945.2</v>
      </c>
      <c r="D31" s="318">
        <f>'Dep(Proposed)'!D17</f>
        <v>3381.9399999999996</v>
      </c>
      <c r="E31" s="444">
        <f>'Dep(Proposed)'!E17</f>
        <v>4088.9122500000003</v>
      </c>
      <c r="F31" s="444">
        <f>'Dep(Proposed)'!F17</f>
        <v>3585.8787625000004</v>
      </c>
      <c r="G31" s="444">
        <f>'Dep(Proposed)'!G17</f>
        <v>3149.7509631250005</v>
      </c>
      <c r="H31" s="444">
        <f>'Dep(Proposed)'!H17</f>
        <v>2771.34793215625</v>
      </c>
      <c r="I31" s="444">
        <f>'Dep(Proposed)'!I17</f>
        <v>2442.7803944828129</v>
      </c>
      <c r="J31" s="444">
        <f>'Dep(Proposed)'!J17</f>
        <v>2157.2655222453909</v>
      </c>
      <c r="K31" s="444">
        <f>'Dep(Proposed)'!K17</f>
        <v>1908.9686621500823</v>
      </c>
      <c r="L31" s="444">
        <f>'Dep(Proposed)'!L17</f>
        <v>1692.86803424492</v>
      </c>
      <c r="M31" s="444">
        <f>'Dep(Proposed)'!M17</f>
        <v>1504.6390333837969</v>
      </c>
      <c r="N31" s="444">
        <f>'Dep(Proposed)'!N17</f>
        <v>1340.5552622242808</v>
      </c>
      <c r="O31" s="444">
        <f>'Dep(Proposed)'!O17</f>
        <v>1197.403848353887</v>
      </c>
      <c r="P31" s="225"/>
      <c r="Q31" s="225"/>
    </row>
    <row r="32" spans="2:17" x14ac:dyDescent="0.25">
      <c r="B32" s="253"/>
      <c r="C32" s="456"/>
      <c r="D32" s="318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225"/>
      <c r="Q32" s="225"/>
    </row>
    <row r="33" spans="2:26" x14ac:dyDescent="0.25">
      <c r="B33" s="453" t="s">
        <v>105</v>
      </c>
      <c r="C33" s="318"/>
      <c r="D33" s="318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225"/>
      <c r="Q33" s="225"/>
    </row>
    <row r="34" spans="2:26" x14ac:dyDescent="0.25">
      <c r="B34" s="253" t="s">
        <v>106</v>
      </c>
      <c r="C34" s="318">
        <v>0</v>
      </c>
      <c r="D34" s="318">
        <v>0</v>
      </c>
      <c r="E34" s="444">
        <v>25</v>
      </c>
      <c r="F34" s="444">
        <v>25</v>
      </c>
      <c r="G34" s="444">
        <v>25</v>
      </c>
      <c r="H34" s="444">
        <v>25</v>
      </c>
      <c r="I34" s="444">
        <v>25</v>
      </c>
      <c r="J34" s="444">
        <v>25</v>
      </c>
      <c r="K34" s="444">
        <v>25</v>
      </c>
      <c r="L34" s="444">
        <v>25</v>
      </c>
      <c r="M34" s="444">
        <v>25</v>
      </c>
      <c r="N34" s="444">
        <v>25</v>
      </c>
      <c r="O34" s="444">
        <v>25</v>
      </c>
      <c r="P34" s="225"/>
      <c r="Q34" s="225"/>
    </row>
    <row r="35" spans="2:26" x14ac:dyDescent="0.25">
      <c r="B35" s="253" t="s">
        <v>107</v>
      </c>
      <c r="C35" s="318">
        <v>0</v>
      </c>
      <c r="D35" s="318">
        <v>0</v>
      </c>
      <c r="E35" s="444">
        <v>0</v>
      </c>
      <c r="F35" s="444">
        <v>0</v>
      </c>
      <c r="G35" s="444">
        <v>25</v>
      </c>
      <c r="H35" s="444">
        <v>50</v>
      </c>
      <c r="I35" s="444">
        <v>75</v>
      </c>
      <c r="J35" s="444">
        <v>75</v>
      </c>
      <c r="K35" s="444">
        <v>75</v>
      </c>
      <c r="L35" s="444">
        <v>75</v>
      </c>
      <c r="M35" s="444">
        <v>75</v>
      </c>
      <c r="N35" s="444">
        <v>75</v>
      </c>
      <c r="O35" s="444">
        <v>75</v>
      </c>
      <c r="P35" s="225"/>
      <c r="Q35" s="225"/>
    </row>
    <row r="36" spans="2:26" x14ac:dyDescent="0.25">
      <c r="B36" s="305" t="s">
        <v>629</v>
      </c>
      <c r="C36" s="442">
        <f>C34+C35</f>
        <v>0</v>
      </c>
      <c r="D36" s="442">
        <f t="shared" ref="D36:O36" si="7">D34+D35</f>
        <v>0</v>
      </c>
      <c r="E36" s="455">
        <f t="shared" si="7"/>
        <v>25</v>
      </c>
      <c r="F36" s="455">
        <f t="shared" si="7"/>
        <v>25</v>
      </c>
      <c r="G36" s="455">
        <f t="shared" si="7"/>
        <v>50</v>
      </c>
      <c r="H36" s="455">
        <f t="shared" si="7"/>
        <v>75</v>
      </c>
      <c r="I36" s="455">
        <f t="shared" si="7"/>
        <v>100</v>
      </c>
      <c r="J36" s="455">
        <f t="shared" si="7"/>
        <v>100</v>
      </c>
      <c r="K36" s="455">
        <f t="shared" si="7"/>
        <v>100</v>
      </c>
      <c r="L36" s="455">
        <f t="shared" si="7"/>
        <v>100</v>
      </c>
      <c r="M36" s="455">
        <f t="shared" si="7"/>
        <v>100</v>
      </c>
      <c r="N36" s="455">
        <f t="shared" si="7"/>
        <v>100</v>
      </c>
      <c r="O36" s="455">
        <f t="shared" si="7"/>
        <v>100</v>
      </c>
      <c r="P36" s="225"/>
      <c r="Q36" s="225"/>
    </row>
    <row r="37" spans="2:26" x14ac:dyDescent="0.25">
      <c r="B37" s="453" t="s">
        <v>102</v>
      </c>
      <c r="C37" s="318"/>
      <c r="D37" s="318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225"/>
      <c r="Q37" s="225"/>
    </row>
    <row r="38" spans="2:26" x14ac:dyDescent="0.25">
      <c r="B38" s="253" t="s">
        <v>2</v>
      </c>
      <c r="C38" s="318">
        <v>0</v>
      </c>
      <c r="D38" s="318">
        <v>0</v>
      </c>
      <c r="E38" s="444">
        <f>'P&amp;L(Proposed)'!G8*0.3</f>
        <v>105.35391562499998</v>
      </c>
      <c r="F38" s="444">
        <f>'P&amp;L(Proposed)'!H8*0.25</f>
        <v>1354.5503437499999</v>
      </c>
      <c r="G38" s="444">
        <f>'P&amp;L(Proposed)'!I8*0.22</f>
        <v>1324.4492250000001</v>
      </c>
      <c r="H38" s="444">
        <f>'P&amp;L(Proposed)'!J8*0.2</f>
        <v>1324.4492250000001</v>
      </c>
      <c r="I38" s="444">
        <f>'P&amp;L(Proposed)'!K8*0.2</f>
        <v>1444.8537000000003</v>
      </c>
      <c r="J38" s="444">
        <f>'P&amp;L(Proposed)'!L8*0.2</f>
        <v>1565.2581750000004</v>
      </c>
      <c r="K38" s="444">
        <f>'P&amp;L(Proposed)'!M8*0.2</f>
        <v>1685.6626500000007</v>
      </c>
      <c r="L38" s="444">
        <f>'P&amp;L(Proposed)'!N8*0.22</f>
        <v>1986.6738375000004</v>
      </c>
      <c r="M38" s="444">
        <f>'P&amp;L(Proposed)'!O8*0.22</f>
        <v>2119.1187600000007</v>
      </c>
      <c r="N38" s="444">
        <f>'P&amp;L(Proposed)'!P8*0.23</f>
        <v>2353.9074862500011</v>
      </c>
      <c r="O38" s="444">
        <f>'P&amp;L(Proposed)'!Q8*0.22</f>
        <v>2384.0086050000009</v>
      </c>
      <c r="P38" s="225"/>
      <c r="Q38" s="225"/>
    </row>
    <row r="39" spans="2:26" x14ac:dyDescent="0.25">
      <c r="B39" s="253" t="s">
        <v>103</v>
      </c>
      <c r="C39" s="318">
        <f>SUM('P&amp;L(Proposed)'!E25:E28)</f>
        <v>0</v>
      </c>
      <c r="D39" s="318">
        <f>SUM('P&amp;L(Proposed)'!F25:F28)</f>
        <v>0</v>
      </c>
      <c r="E39" s="444">
        <f>SUM('P&amp;L(Proposed)'!G25:G28)</f>
        <v>35</v>
      </c>
      <c r="F39" s="444">
        <f>SUM('P&amp;L(Proposed)'!H25:H28)</f>
        <v>758.54819249999991</v>
      </c>
      <c r="G39" s="444">
        <f>SUM('P&amp;L(Proposed)'!I25:I28)</f>
        <v>1011.39759</v>
      </c>
      <c r="H39" s="444">
        <f>SUM('P&amp;L(Proposed)'!J25:J28)</f>
        <v>1205.2487947499999</v>
      </c>
      <c r="I39" s="444">
        <f>SUM('P&amp;L(Proposed)'!K25:K28)</f>
        <v>1314.8168670000005</v>
      </c>
      <c r="J39" s="444">
        <f>SUM('P&amp;L(Proposed)'!L25:L28)</f>
        <v>1205.2487947500003</v>
      </c>
      <c r="K39" s="444">
        <f>SUM('P&amp;L(Proposed)'!M25:M28)</f>
        <v>1297.9602405000005</v>
      </c>
      <c r="L39" s="444">
        <f>SUM('P&amp;L(Proposed)'!N25:N28)</f>
        <v>1137.8222887500001</v>
      </c>
      <c r="M39" s="444">
        <f>SUM('P&amp;L(Proposed)'!O25:O28)</f>
        <v>1213.6771080000005</v>
      </c>
      <c r="N39" s="444">
        <f>SUM('P&amp;L(Proposed)'!P25:P28)</f>
        <v>1289.5319272500005</v>
      </c>
      <c r="O39" s="444">
        <f>SUM('P&amp;L(Proposed)'!Q25:Q28)</f>
        <v>1365.3867465000005</v>
      </c>
      <c r="P39" s="225"/>
      <c r="Q39" s="225"/>
    </row>
    <row r="40" spans="2:26" x14ac:dyDescent="0.25">
      <c r="B40" s="253" t="s">
        <v>104</v>
      </c>
      <c r="C40" s="318">
        <v>0</v>
      </c>
      <c r="D40" s="318">
        <v>0</v>
      </c>
      <c r="E40" s="444">
        <f>86.075383525+1.83</f>
        <v>87.905383525000005</v>
      </c>
      <c r="F40" s="444">
        <f>305.845487833499+25.12</f>
        <v>330.96548783349903</v>
      </c>
      <c r="G40" s="444">
        <f>158.892571712499-0.4</f>
        <v>158.492571712499</v>
      </c>
      <c r="H40" s="444">
        <f>246.296648278048-1.95</f>
        <v>244.34664827804801</v>
      </c>
      <c r="I40" s="444">
        <f>241.693662854865-7.15</f>
        <v>234.543662854865</v>
      </c>
      <c r="J40" s="444">
        <f>301.463246226459-4.4</f>
        <v>297.063246226459</v>
      </c>
      <c r="K40" s="444">
        <f>371.433229243124+5.66</f>
        <v>377.09322924312403</v>
      </c>
      <c r="L40" s="444">
        <f>399.913705252365-1.92</f>
        <v>397.99370525236498</v>
      </c>
      <c r="M40" s="444">
        <f>457.389630609783+1.13</f>
        <v>458.51963060978301</v>
      </c>
      <c r="N40" s="444">
        <f>474.364457749512-5.86</f>
        <v>468.50445774951197</v>
      </c>
      <c r="O40" s="444">
        <f>487.281716347181+0.8</f>
        <v>488.08171634718099</v>
      </c>
      <c r="P40" s="225"/>
      <c r="Q40" s="225"/>
    </row>
    <row r="41" spans="2:26" x14ac:dyDescent="0.25">
      <c r="B41" s="253" t="s">
        <v>108</v>
      </c>
      <c r="C41" s="318">
        <v>0</v>
      </c>
      <c r="D41" s="318">
        <v>0</v>
      </c>
      <c r="E41" s="444">
        <v>134.78</v>
      </c>
      <c r="F41" s="444">
        <v>126.61</v>
      </c>
      <c r="G41" s="444">
        <v>125.3</v>
      </c>
      <c r="H41" s="444">
        <v>162.93</v>
      </c>
      <c r="I41" s="444">
        <v>279.32</v>
      </c>
      <c r="J41" s="444">
        <v>246.97</v>
      </c>
      <c r="K41" s="444">
        <v>271.67</v>
      </c>
      <c r="L41" s="444">
        <v>116.25</v>
      </c>
      <c r="M41" s="444">
        <v>113.99</v>
      </c>
      <c r="N41" s="444">
        <v>35.67</v>
      </c>
      <c r="O41" s="444">
        <v>35.97</v>
      </c>
      <c r="P41" s="418">
        <f>P42+P44</f>
        <v>86.075383524999992</v>
      </c>
      <c r="Q41" s="418">
        <f t="shared" ref="Q41:Z41" si="8">Q42+Q44</f>
        <v>305.84548783349931</v>
      </c>
      <c r="R41" s="418">
        <f t="shared" si="8"/>
        <v>158.89257171249889</v>
      </c>
      <c r="S41" s="418">
        <f t="shared" si="8"/>
        <v>246.29664827804777</v>
      </c>
      <c r="T41" s="418">
        <f t="shared" si="8"/>
        <v>241.69366285486481</v>
      </c>
      <c r="U41" s="418">
        <f t="shared" si="8"/>
        <v>301.46324622645938</v>
      </c>
      <c r="V41" s="418">
        <f t="shared" si="8"/>
        <v>371.43322924312429</v>
      </c>
      <c r="W41" s="418">
        <f t="shared" si="8"/>
        <v>399.91370525236516</v>
      </c>
      <c r="X41" s="418">
        <f t="shared" si="8"/>
        <v>457.38963060978313</v>
      </c>
      <c r="Y41" s="418">
        <f t="shared" si="8"/>
        <v>474.36445774951153</v>
      </c>
      <c r="Z41" s="418">
        <f t="shared" si="8"/>
        <v>487.28171634718149</v>
      </c>
    </row>
    <row r="42" spans="2:26" x14ac:dyDescent="0.25">
      <c r="B42" s="253" t="s">
        <v>1</v>
      </c>
      <c r="C42" s="318">
        <v>0</v>
      </c>
      <c r="D42" s="318">
        <v>0</v>
      </c>
      <c r="E42" s="444">
        <v>27.17</v>
      </c>
      <c r="F42" s="444">
        <v>243.87</v>
      </c>
      <c r="G42" s="444">
        <v>404.94</v>
      </c>
      <c r="H42" s="444">
        <v>399.81</v>
      </c>
      <c r="I42" s="444">
        <v>387.56</v>
      </c>
      <c r="J42" s="444">
        <v>425.09</v>
      </c>
      <c r="K42" s="444">
        <v>449.83</v>
      </c>
      <c r="L42" s="444">
        <v>339.89</v>
      </c>
      <c r="M42" s="444">
        <v>197.3</v>
      </c>
      <c r="N42" s="444">
        <v>79.099999999999994</v>
      </c>
      <c r="O42" s="444">
        <v>45.05</v>
      </c>
      <c r="P42" s="418">
        <v>68.739999999999995</v>
      </c>
      <c r="Q42" s="418">
        <v>99.1</v>
      </c>
      <c r="R42" s="419">
        <v>53.98</v>
      </c>
      <c r="S42" s="419">
        <v>59.49</v>
      </c>
      <c r="T42" s="419">
        <v>35.659999999999997</v>
      </c>
      <c r="U42" s="419">
        <v>55.19</v>
      </c>
      <c r="V42" s="419">
        <v>66.72</v>
      </c>
      <c r="W42" s="419">
        <v>83.73</v>
      </c>
      <c r="X42" s="419">
        <v>95</v>
      </c>
      <c r="Y42" s="419">
        <v>90</v>
      </c>
      <c r="Z42" s="419">
        <v>39.6</v>
      </c>
    </row>
    <row r="43" spans="2:26" x14ac:dyDescent="0.25">
      <c r="B43" s="305" t="s">
        <v>630</v>
      </c>
      <c r="C43" s="442">
        <f>SUM(C38:C42)</f>
        <v>0</v>
      </c>
      <c r="D43" s="442">
        <f t="shared" ref="D43:O43" si="9">SUM(D38:D42)</f>
        <v>0</v>
      </c>
      <c r="E43" s="455">
        <f t="shared" si="9"/>
        <v>390.20929915000005</v>
      </c>
      <c r="F43" s="455">
        <f t="shared" si="9"/>
        <v>2814.5440240834987</v>
      </c>
      <c r="G43" s="455">
        <f t="shared" si="9"/>
        <v>3024.5793867124989</v>
      </c>
      <c r="H43" s="455">
        <f t="shared" si="9"/>
        <v>3336.7846680280477</v>
      </c>
      <c r="I43" s="455">
        <f t="shared" si="9"/>
        <v>3661.0942298548662</v>
      </c>
      <c r="J43" s="455">
        <f t="shared" si="9"/>
        <v>3739.6302159764596</v>
      </c>
      <c r="K43" s="455">
        <f t="shared" si="9"/>
        <v>4082.2161197431251</v>
      </c>
      <c r="L43" s="455">
        <f t="shared" si="9"/>
        <v>3978.6298315023655</v>
      </c>
      <c r="M43" s="455">
        <f t="shared" si="9"/>
        <v>4102.6054986097843</v>
      </c>
      <c r="N43" s="455">
        <f t="shared" si="9"/>
        <v>4226.7138712495143</v>
      </c>
      <c r="O43" s="455">
        <f t="shared" si="9"/>
        <v>4318.4970678471827</v>
      </c>
      <c r="P43" s="418">
        <v>-17.335383524999997</v>
      </c>
      <c r="Q43" s="418">
        <v>-206.74548783349928</v>
      </c>
      <c r="R43" s="419">
        <v>-104.9125717124989</v>
      </c>
      <c r="S43" s="419">
        <v>-186.80664827804776</v>
      </c>
      <c r="T43" s="419">
        <v>-206.03366285486482</v>
      </c>
      <c r="U43" s="419">
        <v>-246.27324622645938</v>
      </c>
      <c r="V43" s="419">
        <v>-304.71322924312426</v>
      </c>
      <c r="W43" s="419">
        <v>-316.18370525236514</v>
      </c>
      <c r="X43" s="419">
        <v>-362.38963060978313</v>
      </c>
      <c r="Y43" s="419">
        <v>-384.36445774951153</v>
      </c>
      <c r="Z43" s="419">
        <v>-447.68171634718146</v>
      </c>
    </row>
    <row r="44" spans="2:26" x14ac:dyDescent="0.25">
      <c r="B44" s="253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418">
        <f>-P43</f>
        <v>17.335383524999997</v>
      </c>
      <c r="Q44" s="418">
        <f t="shared" ref="Q44:Z44" si="10">-Q43</f>
        <v>206.74548783349928</v>
      </c>
      <c r="R44" s="418">
        <f t="shared" si="10"/>
        <v>104.9125717124989</v>
      </c>
      <c r="S44" s="418">
        <f t="shared" si="10"/>
        <v>186.80664827804776</v>
      </c>
      <c r="T44" s="418">
        <f t="shared" si="10"/>
        <v>206.03366285486482</v>
      </c>
      <c r="U44" s="418">
        <f t="shared" si="10"/>
        <v>246.27324622645938</v>
      </c>
      <c r="V44" s="418">
        <f t="shared" si="10"/>
        <v>304.71322924312426</v>
      </c>
      <c r="W44" s="418">
        <f t="shared" si="10"/>
        <v>316.18370525236514</v>
      </c>
      <c r="X44" s="418">
        <f t="shared" si="10"/>
        <v>362.38963060978313</v>
      </c>
      <c r="Y44" s="418">
        <f t="shared" si="10"/>
        <v>384.36445774951153</v>
      </c>
      <c r="Z44" s="418">
        <f t="shared" si="10"/>
        <v>447.68171634718146</v>
      </c>
    </row>
    <row r="45" spans="2:26" x14ac:dyDescent="0.25">
      <c r="B45" s="253"/>
      <c r="C45" s="442">
        <f>C31+C36+C43</f>
        <v>945.2</v>
      </c>
      <c r="D45" s="442">
        <f t="shared" ref="D45:O45" si="11">D31+D36+D43</f>
        <v>3381.9399999999996</v>
      </c>
      <c r="E45" s="442">
        <f>E31+E36+E43</f>
        <v>4504.1215491500006</v>
      </c>
      <c r="F45" s="442">
        <f t="shared" si="11"/>
        <v>6425.4227865834991</v>
      </c>
      <c r="G45" s="442">
        <f t="shared" si="11"/>
        <v>6224.3303498374989</v>
      </c>
      <c r="H45" s="442">
        <f t="shared" si="11"/>
        <v>6183.1326001842972</v>
      </c>
      <c r="I45" s="442">
        <f t="shared" si="11"/>
        <v>6203.8746243376791</v>
      </c>
      <c r="J45" s="442">
        <f t="shared" si="11"/>
        <v>5996.8957382218505</v>
      </c>
      <c r="K45" s="442">
        <f t="shared" si="11"/>
        <v>6091.1847818932074</v>
      </c>
      <c r="L45" s="442">
        <f t="shared" si="11"/>
        <v>5771.4978657472857</v>
      </c>
      <c r="M45" s="442">
        <f t="shared" si="11"/>
        <v>5707.2445319935814</v>
      </c>
      <c r="N45" s="442">
        <f t="shared" si="11"/>
        <v>5667.2691334737956</v>
      </c>
      <c r="O45" s="442">
        <f t="shared" si="11"/>
        <v>5615.9009162010698</v>
      </c>
      <c r="P45" s="225"/>
      <c r="Q45" s="225"/>
    </row>
    <row r="46" spans="2:26" x14ac:dyDescent="0.25">
      <c r="C46" s="226">
        <f>C45-C29</f>
        <v>0</v>
      </c>
      <c r="D46" s="226">
        <f t="shared" ref="D46:O46" si="12">D45-D29</f>
        <v>0</v>
      </c>
      <c r="E46" s="226">
        <f>E45-E29</f>
        <v>3.8654625004710397E-3</v>
      </c>
      <c r="F46" s="226">
        <f t="shared" si="12"/>
        <v>4.8305597483704332E-3</v>
      </c>
      <c r="G46" s="226">
        <f t="shared" si="12"/>
        <v>-2.6652325022951118E-3</v>
      </c>
      <c r="H46" s="226">
        <f t="shared" si="12"/>
        <v>-3.8623357513642986E-3</v>
      </c>
      <c r="I46" s="226">
        <f t="shared" si="12"/>
        <v>4.2042200038849842E-4</v>
      </c>
      <c r="J46" s="226">
        <f t="shared" si="12"/>
        <v>-1.624528251340962E-3</v>
      </c>
      <c r="K46" s="226">
        <f t="shared" si="12"/>
        <v>1.7923714985954575E-3</v>
      </c>
      <c r="L46" s="226">
        <f t="shared" si="12"/>
        <v>2.0567692517943215E-3</v>
      </c>
      <c r="M46" s="226">
        <f t="shared" si="12"/>
        <v>1.4087210001889616E-3</v>
      </c>
      <c r="N46" s="226">
        <f t="shared" si="12"/>
        <v>-2.3222912459459621E-3</v>
      </c>
      <c r="O46" s="226">
        <f t="shared" si="12"/>
        <v>-1.8938035009341547E-3</v>
      </c>
      <c r="P46" s="225"/>
      <c r="Q46" s="225"/>
    </row>
    <row r="47" spans="2:26" x14ac:dyDescent="0.25"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5"/>
      <c r="Q47" s="225"/>
    </row>
    <row r="48" spans="2:26" x14ac:dyDescent="0.25">
      <c r="B48" s="216" t="s">
        <v>853</v>
      </c>
      <c r="C48" s="408" t="e">
        <f t="shared" ref="C48:O48" si="13">C43/C27</f>
        <v>#DIV/0!</v>
      </c>
      <c r="D48" s="408" t="e">
        <f t="shared" si="13"/>
        <v>#DIV/0!</v>
      </c>
      <c r="E48" s="408">
        <f t="shared" si="13"/>
        <v>0.64104628596667168</v>
      </c>
      <c r="F48" s="408">
        <f t="shared" si="13"/>
        <v>1.7410750671256536</v>
      </c>
      <c r="G48" s="408">
        <f t="shared" si="13"/>
        <v>1.7323807346362321</v>
      </c>
      <c r="H48" s="408">
        <f t="shared" si="13"/>
        <v>1.7769998345404532</v>
      </c>
      <c r="I48" s="408">
        <f t="shared" si="13"/>
        <v>1.8215604577936608</v>
      </c>
      <c r="J48" s="408">
        <f t="shared" si="13"/>
        <v>1.7456627826129465</v>
      </c>
      <c r="K48" s="408">
        <f t="shared" si="13"/>
        <v>1.7814253888212868</v>
      </c>
      <c r="L48" s="408">
        <f t="shared" si="13"/>
        <v>1.664274782524183</v>
      </c>
      <c r="M48" s="408">
        <f t="shared" si="13"/>
        <v>1.7195862709520093</v>
      </c>
      <c r="N48" s="408">
        <f t="shared" si="13"/>
        <v>1.7079458853986471</v>
      </c>
      <c r="O48" s="408">
        <f t="shared" si="13"/>
        <v>1.8616933080301192</v>
      </c>
      <c r="P48" s="225">
        <v>1.2</v>
      </c>
      <c r="Q48" s="225"/>
    </row>
    <row r="49" spans="2:17" x14ac:dyDescent="0.25">
      <c r="B49" s="216" t="s">
        <v>854</v>
      </c>
      <c r="C49" s="226" t="e">
        <f t="shared" ref="C49:O49" si="14">(C43-C39)/C27</f>
        <v>#DIV/0!</v>
      </c>
      <c r="D49" s="226" t="e">
        <f t="shared" si="14"/>
        <v>#DIV/0!</v>
      </c>
      <c r="E49" s="226">
        <f t="shared" si="14"/>
        <v>0.5835473487099031</v>
      </c>
      <c r="F49" s="226">
        <f t="shared" si="14"/>
        <v>1.2718376581975637</v>
      </c>
      <c r="G49" s="226">
        <f t="shared" si="14"/>
        <v>1.1530850786283566</v>
      </c>
      <c r="H49" s="226">
        <f t="shared" si="14"/>
        <v>1.1351463372584321</v>
      </c>
      <c r="I49" s="226">
        <f t="shared" si="14"/>
        <v>1.1673794223434228</v>
      </c>
      <c r="J49" s="226">
        <f t="shared" si="14"/>
        <v>1.1830515501451879</v>
      </c>
      <c r="K49" s="226">
        <f t="shared" si="14"/>
        <v>1.2150126222544884</v>
      </c>
      <c r="L49" s="226">
        <f t="shared" si="14"/>
        <v>1.1883197371045602</v>
      </c>
      <c r="M49" s="226">
        <f t="shared" si="14"/>
        <v>1.2108796714525565</v>
      </c>
      <c r="N49" s="226">
        <f t="shared" si="14"/>
        <v>1.1868671428279487</v>
      </c>
      <c r="O49" s="226">
        <f t="shared" si="14"/>
        <v>1.2730784892873459</v>
      </c>
      <c r="P49" s="225">
        <v>0.9</v>
      </c>
      <c r="Q49" s="225"/>
    </row>
    <row r="50" spans="2:17" x14ac:dyDescent="0.25">
      <c r="B50" s="1" t="s">
        <v>855</v>
      </c>
      <c r="C50" s="226">
        <f>(C18+C11)/(C14)</f>
        <v>1.7381228273464659</v>
      </c>
      <c r="D50" s="226">
        <f t="shared" ref="D50:O50" si="15">(D18+D11)/(D14)</f>
        <v>2.4147297470556985</v>
      </c>
      <c r="E50" s="226">
        <f t="shared" si="15"/>
        <v>2.639165279177405</v>
      </c>
      <c r="F50" s="226">
        <f t="shared" si="15"/>
        <v>1.2473492563540607</v>
      </c>
      <c r="G50" s="226">
        <f t="shared" si="15"/>
        <v>1.2350256226187331</v>
      </c>
      <c r="H50" s="226">
        <f t="shared" si="15"/>
        <v>1.0712189886159564</v>
      </c>
      <c r="I50" s="226">
        <f t="shared" si="15"/>
        <v>0.91874833061040517</v>
      </c>
      <c r="J50" s="226">
        <f t="shared" si="15"/>
        <v>0.80149789410993977</v>
      </c>
      <c r="K50" s="226">
        <f t="shared" si="15"/>
        <v>0.59574983860130348</v>
      </c>
      <c r="L50" s="226">
        <f t="shared" si="15"/>
        <v>0.47397659198006797</v>
      </c>
      <c r="M50" s="226">
        <f t="shared" si="15"/>
        <v>0.30476857100468968</v>
      </c>
      <c r="N50" s="226">
        <f t="shared" si="15"/>
        <v>0.20453644248487327</v>
      </c>
      <c r="O50" s="226">
        <f t="shared" si="15"/>
        <v>0.19810135496329273</v>
      </c>
      <c r="P50" s="225">
        <v>2.5</v>
      </c>
      <c r="Q50" s="225"/>
    </row>
    <row r="51" spans="2:17" x14ac:dyDescent="0.25">
      <c r="B51" s="1" t="s">
        <v>856</v>
      </c>
      <c r="C51" s="226">
        <f>(C18+C27)/C14</f>
        <v>1.7381228273464659</v>
      </c>
      <c r="D51" s="226">
        <f t="shared" ref="D51:O51" si="16">(D18+D27)/D14</f>
        <v>2.0971848270051465</v>
      </c>
      <c r="E51" s="226">
        <f t="shared" si="16"/>
        <v>2.8582114853073226</v>
      </c>
      <c r="F51" s="226">
        <f t="shared" si="16"/>
        <v>1.7974758408267582</v>
      </c>
      <c r="G51" s="226">
        <f t="shared" si="16"/>
        <v>1.8210051256419895</v>
      </c>
      <c r="H51" s="226">
        <f t="shared" si="16"/>
        <v>1.6913937837436031</v>
      </c>
      <c r="I51" s="226">
        <f t="shared" si="16"/>
        <v>1.5076217089228225</v>
      </c>
      <c r="J51" s="226">
        <f t="shared" si="16"/>
        <v>1.4510581937886775</v>
      </c>
      <c r="K51" s="226">
        <f t="shared" si="16"/>
        <v>1.233134531842389</v>
      </c>
      <c r="L51" s="226">
        <f t="shared" si="16"/>
        <v>1.162510307723108</v>
      </c>
      <c r="M51" s="226">
        <f t="shared" si="16"/>
        <v>0.92199729395476981</v>
      </c>
      <c r="N51" s="226">
        <f t="shared" si="16"/>
        <v>0.77516277762025498</v>
      </c>
      <c r="O51" s="226">
        <f t="shared" si="16"/>
        <v>0.70372893306799278</v>
      </c>
      <c r="P51" s="225">
        <v>4</v>
      </c>
      <c r="Q51" s="225"/>
    </row>
    <row r="52" spans="2:17" x14ac:dyDescent="0.25">
      <c r="B52" s="1" t="s">
        <v>857</v>
      </c>
      <c r="C52" s="226">
        <f>C31/C18</f>
        <v>1.5753333333333335</v>
      </c>
      <c r="D52" s="226">
        <f t="shared" ref="D52:O52" si="17">D31/D18</f>
        <v>1.476829694323144</v>
      </c>
      <c r="E52" s="226">
        <f t="shared" si="17"/>
        <v>1.4988681268328448</v>
      </c>
      <c r="F52" s="226">
        <f t="shared" si="17"/>
        <v>1.4274995073646499</v>
      </c>
      <c r="G52" s="226">
        <f t="shared" si="17"/>
        <v>1.386334050671215</v>
      </c>
      <c r="H52" s="226">
        <f t="shared" si="17"/>
        <v>1.3801533526674552</v>
      </c>
      <c r="I52" s="226">
        <f t="shared" si="17"/>
        <v>1.4202211595830307</v>
      </c>
      <c r="J52" s="226">
        <f t="shared" si="17"/>
        <v>1.53214880841292</v>
      </c>
      <c r="K52" s="226">
        <f t="shared" si="17"/>
        <v>1.7807543490205995</v>
      </c>
      <c r="L52" s="226">
        <f t="shared" si="17"/>
        <v>2.3776236436024165</v>
      </c>
      <c r="M52" s="226">
        <f t="shared" si="17"/>
        <v>4.2745427084766989</v>
      </c>
      <c r="N52" s="226" t="e">
        <f t="shared" si="17"/>
        <v>#DIV/0!</v>
      </c>
      <c r="O52" s="226" t="e">
        <f t="shared" si="17"/>
        <v>#DIV/0!</v>
      </c>
      <c r="P52" s="225">
        <v>1.4</v>
      </c>
      <c r="Q52" s="225"/>
    </row>
    <row r="53" spans="2:17" x14ac:dyDescent="0.25">
      <c r="B53" s="216" t="s">
        <v>859</v>
      </c>
      <c r="C53" s="226" t="e">
        <f>('P&amp;L(Proposed)'!E45+'P&amp;L(Proposed)'!E47+'P&amp;L(Proposed)'!E39)/'P&amp;L(Proposed)'!E39</f>
        <v>#DIV/0!</v>
      </c>
      <c r="D53" s="226" t="e">
        <f>('P&amp;L(Proposed)'!F45+'P&amp;L(Proposed)'!F47+'P&amp;L(Proposed)'!F39)/'P&amp;L(Proposed)'!F39</f>
        <v>#DIV/0!</v>
      </c>
      <c r="E53" s="226">
        <f>('P&amp;L(Proposed)'!G45+'P&amp;L(Proposed)'!G47+'P&amp;L(Proposed)'!G39)/'P&amp;L(Proposed)'!G39</f>
        <v>4.2368260452835651</v>
      </c>
      <c r="F53" s="226">
        <f>('P&amp;L(Proposed)'!H45+'P&amp;L(Proposed)'!H47+'P&amp;L(Proposed)'!H39)/'P&amp;L(Proposed)'!H39</f>
        <v>5.0437753051666601</v>
      </c>
      <c r="G53" s="226">
        <f>('P&amp;L(Proposed)'!I45+'P&amp;L(Proposed)'!I47+'P&amp;L(Proposed)'!I39)/'P&amp;L(Proposed)'!I39</f>
        <v>4.4030815251011095</v>
      </c>
      <c r="H53" s="226">
        <f>('P&amp;L(Proposed)'!J45+'P&amp;L(Proposed)'!J47+'P&amp;L(Proposed)'!J39)/'P&amp;L(Proposed)'!J39</f>
        <v>4.8022930853475145</v>
      </c>
      <c r="I53" s="226">
        <f>('P&amp;L(Proposed)'!K45+'P&amp;L(Proposed)'!K47+'P&amp;L(Proposed)'!K39)/'P&amp;L(Proposed)'!K39</f>
        <v>5.2858386992401485</v>
      </c>
      <c r="J53" s="226">
        <f>('P&amp;L(Proposed)'!L45+'P&amp;L(Proposed)'!L47+'P&amp;L(Proposed)'!L39)/'P&amp;L(Proposed)'!L39</f>
        <v>5.4814611336707459</v>
      </c>
      <c r="K53" s="226">
        <f>('P&amp;L(Proposed)'!M45+'P&amp;L(Proposed)'!M47+'P&amp;L(Proposed)'!M39)/'P&amp;L(Proposed)'!M39</f>
        <v>7.4436068478493116</v>
      </c>
      <c r="L53" s="226">
        <f>('P&amp;L(Proposed)'!N45+'P&amp;L(Proposed)'!N47+'P&amp;L(Proposed)'!N39)/'P&amp;L(Proposed)'!N39</f>
        <v>8.1291673122493258</v>
      </c>
      <c r="M53" s="226">
        <f>('P&amp;L(Proposed)'!O45+'P&amp;L(Proposed)'!O47+'P&amp;L(Proposed)'!O39)/'P&amp;L(Proposed)'!O39</f>
        <v>12.195107164416795</v>
      </c>
      <c r="N53" s="226">
        <f>('P&amp;L(Proposed)'!P45+'P&amp;L(Proposed)'!P47+'P&amp;L(Proposed)'!P39)/'P&amp;L(Proposed)'!P39</f>
        <v>17.539400591226205</v>
      </c>
      <c r="O53" s="226">
        <f>('P&amp;L(Proposed)'!Q45+'P&amp;L(Proposed)'!Q47+'P&amp;L(Proposed)'!Q39)/'P&amp;L(Proposed)'!Q39</f>
        <v>21.3385048862175</v>
      </c>
      <c r="P53" s="225">
        <v>1.7</v>
      </c>
      <c r="Q53" s="225"/>
    </row>
    <row r="54" spans="2:17" x14ac:dyDescent="0.25"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5"/>
      <c r="Q54" s="225"/>
    </row>
    <row r="55" spans="2:17" ht="20.25" customHeight="1" x14ac:dyDescent="0.25">
      <c r="B55" s="216" t="s">
        <v>870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2:17" x14ac:dyDescent="0.25"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5"/>
      <c r="Q56" s="225"/>
    </row>
    <row r="57" spans="2:17" ht="15.75" customHeight="1" x14ac:dyDescent="0.25">
      <c r="B57" s="328" t="s">
        <v>871</v>
      </c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5"/>
      <c r="Q57" s="225"/>
    </row>
    <row r="58" spans="2:17" x14ac:dyDescent="0.25">
      <c r="B58" s="216" t="str">
        <f>B38</f>
        <v>Sundry Debtors</v>
      </c>
      <c r="C58" s="226">
        <f>C38</f>
        <v>0</v>
      </c>
      <c r="D58" s="226">
        <f t="shared" ref="D58:P58" si="18">D38</f>
        <v>0</v>
      </c>
      <c r="E58" s="226">
        <f t="shared" si="18"/>
        <v>105.35391562499998</v>
      </c>
      <c r="F58" s="226">
        <f t="shared" si="18"/>
        <v>1354.5503437499999</v>
      </c>
      <c r="G58" s="226">
        <f t="shared" si="18"/>
        <v>1324.4492250000001</v>
      </c>
      <c r="H58" s="226">
        <f t="shared" si="18"/>
        <v>1324.4492250000001</v>
      </c>
      <c r="I58" s="226">
        <f t="shared" si="18"/>
        <v>1444.8537000000003</v>
      </c>
      <c r="J58" s="226">
        <f t="shared" si="18"/>
        <v>1565.2581750000004</v>
      </c>
      <c r="K58" s="226">
        <f t="shared" si="18"/>
        <v>1685.6626500000007</v>
      </c>
      <c r="L58" s="226">
        <f t="shared" si="18"/>
        <v>1986.6738375000004</v>
      </c>
      <c r="M58" s="226">
        <f t="shared" si="18"/>
        <v>2119.1187600000007</v>
      </c>
      <c r="N58" s="226">
        <f t="shared" si="18"/>
        <v>2353.9074862500011</v>
      </c>
      <c r="O58" s="226">
        <f t="shared" si="18"/>
        <v>2384.0086050000009</v>
      </c>
      <c r="P58" s="226">
        <f t="shared" si="18"/>
        <v>0</v>
      </c>
      <c r="Q58" s="225"/>
    </row>
    <row r="59" spans="2:17" x14ac:dyDescent="0.25">
      <c r="B59" s="216" t="str">
        <f>B39</f>
        <v>Stock in Hand</v>
      </c>
      <c r="C59" s="226">
        <f>C39</f>
        <v>0</v>
      </c>
      <c r="D59" s="226">
        <f t="shared" ref="D59:P59" si="19">D39</f>
        <v>0</v>
      </c>
      <c r="E59" s="226">
        <f t="shared" si="19"/>
        <v>35</v>
      </c>
      <c r="F59" s="226">
        <f t="shared" si="19"/>
        <v>758.54819249999991</v>
      </c>
      <c r="G59" s="226">
        <f t="shared" si="19"/>
        <v>1011.39759</v>
      </c>
      <c r="H59" s="226">
        <f t="shared" si="19"/>
        <v>1205.2487947499999</v>
      </c>
      <c r="I59" s="226">
        <f t="shared" si="19"/>
        <v>1314.8168670000005</v>
      </c>
      <c r="J59" s="226">
        <f t="shared" si="19"/>
        <v>1205.2487947500003</v>
      </c>
      <c r="K59" s="226">
        <f t="shared" si="19"/>
        <v>1297.9602405000005</v>
      </c>
      <c r="L59" s="226">
        <f t="shared" si="19"/>
        <v>1137.8222887500001</v>
      </c>
      <c r="M59" s="226">
        <f t="shared" si="19"/>
        <v>1213.6771080000005</v>
      </c>
      <c r="N59" s="226">
        <f t="shared" si="19"/>
        <v>1289.5319272500005</v>
      </c>
      <c r="O59" s="226">
        <f t="shared" si="19"/>
        <v>1365.3867465000005</v>
      </c>
      <c r="P59" s="226">
        <f t="shared" si="19"/>
        <v>0</v>
      </c>
      <c r="Q59" s="225"/>
    </row>
    <row r="60" spans="2:17" x14ac:dyDescent="0.25">
      <c r="B60" s="216" t="str">
        <f>B41</f>
        <v>Advance to Supplier</v>
      </c>
      <c r="C60" s="226">
        <f>C41</f>
        <v>0</v>
      </c>
      <c r="D60" s="226">
        <f t="shared" ref="D60:P60" si="20">D41</f>
        <v>0</v>
      </c>
      <c r="E60" s="226">
        <f t="shared" si="20"/>
        <v>134.78</v>
      </c>
      <c r="F60" s="226">
        <f t="shared" si="20"/>
        <v>126.61</v>
      </c>
      <c r="G60" s="226">
        <f t="shared" si="20"/>
        <v>125.3</v>
      </c>
      <c r="H60" s="226">
        <f t="shared" si="20"/>
        <v>162.93</v>
      </c>
      <c r="I60" s="226">
        <f t="shared" si="20"/>
        <v>279.32</v>
      </c>
      <c r="J60" s="226">
        <f t="shared" si="20"/>
        <v>246.97</v>
      </c>
      <c r="K60" s="226">
        <f t="shared" si="20"/>
        <v>271.67</v>
      </c>
      <c r="L60" s="226">
        <f t="shared" si="20"/>
        <v>116.25</v>
      </c>
      <c r="M60" s="226">
        <f t="shared" si="20"/>
        <v>113.99</v>
      </c>
      <c r="N60" s="226">
        <f t="shared" si="20"/>
        <v>35.67</v>
      </c>
      <c r="O60" s="226">
        <f t="shared" si="20"/>
        <v>35.97</v>
      </c>
      <c r="P60" s="226">
        <f t="shared" si="20"/>
        <v>86.075383524999992</v>
      </c>
      <c r="Q60" s="225"/>
    </row>
    <row r="61" spans="2:17" x14ac:dyDescent="0.25">
      <c r="B61" s="216" t="str">
        <f>B42</f>
        <v>Other Current Assets</v>
      </c>
      <c r="C61" s="226">
        <f>C42</f>
        <v>0</v>
      </c>
      <c r="D61" s="226">
        <f t="shared" ref="D61:P61" si="21">D42</f>
        <v>0</v>
      </c>
      <c r="E61" s="226">
        <f t="shared" si="21"/>
        <v>27.17</v>
      </c>
      <c r="F61" s="226">
        <f t="shared" si="21"/>
        <v>243.87</v>
      </c>
      <c r="G61" s="226">
        <f t="shared" si="21"/>
        <v>404.94</v>
      </c>
      <c r="H61" s="226">
        <f t="shared" si="21"/>
        <v>399.81</v>
      </c>
      <c r="I61" s="226">
        <f t="shared" si="21"/>
        <v>387.56</v>
      </c>
      <c r="J61" s="226">
        <f t="shared" si="21"/>
        <v>425.09</v>
      </c>
      <c r="K61" s="226">
        <f t="shared" si="21"/>
        <v>449.83</v>
      </c>
      <c r="L61" s="226">
        <f t="shared" si="21"/>
        <v>339.89</v>
      </c>
      <c r="M61" s="226">
        <f t="shared" si="21"/>
        <v>197.3</v>
      </c>
      <c r="N61" s="226">
        <f t="shared" si="21"/>
        <v>79.099999999999994</v>
      </c>
      <c r="O61" s="226">
        <f t="shared" si="21"/>
        <v>45.05</v>
      </c>
      <c r="P61" s="226">
        <f t="shared" si="21"/>
        <v>68.739999999999995</v>
      </c>
      <c r="Q61" s="225"/>
    </row>
    <row r="62" spans="2:17" ht="15.75" customHeight="1" x14ac:dyDescent="0.25">
      <c r="B62" s="231" t="s">
        <v>630</v>
      </c>
      <c r="C62" s="229">
        <f>SUM(C58:C61)</f>
        <v>0</v>
      </c>
      <c r="D62" s="229">
        <f t="shared" ref="D62:P62" si="22">SUM(D58:D61)</f>
        <v>0</v>
      </c>
      <c r="E62" s="229">
        <f t="shared" si="22"/>
        <v>302.303915625</v>
      </c>
      <c r="F62" s="229">
        <f t="shared" si="22"/>
        <v>2483.5785362499996</v>
      </c>
      <c r="G62" s="229">
        <f t="shared" si="22"/>
        <v>2866.0868150000001</v>
      </c>
      <c r="H62" s="229">
        <f t="shared" si="22"/>
        <v>3092.4380197499995</v>
      </c>
      <c r="I62" s="229">
        <f t="shared" si="22"/>
        <v>3426.5505670000011</v>
      </c>
      <c r="J62" s="229">
        <f t="shared" si="22"/>
        <v>3442.5669697500007</v>
      </c>
      <c r="K62" s="229">
        <f t="shared" si="22"/>
        <v>3705.1228905000012</v>
      </c>
      <c r="L62" s="229">
        <f t="shared" si="22"/>
        <v>3580.6361262500004</v>
      </c>
      <c r="M62" s="229">
        <f t="shared" si="22"/>
        <v>3644.085868000001</v>
      </c>
      <c r="N62" s="229">
        <f t="shared" si="22"/>
        <v>3758.2094135000016</v>
      </c>
      <c r="O62" s="229">
        <f t="shared" si="22"/>
        <v>3830.4153515000012</v>
      </c>
      <c r="P62" s="229">
        <f t="shared" si="22"/>
        <v>154.81538352499999</v>
      </c>
      <c r="Q62" s="225"/>
    </row>
    <row r="63" spans="2:17" x14ac:dyDescent="0.25"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5"/>
      <c r="Q63" s="225"/>
    </row>
    <row r="64" spans="2:17" x14ac:dyDescent="0.25">
      <c r="B64" s="328" t="s">
        <v>872</v>
      </c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5"/>
      <c r="Q64" s="225"/>
    </row>
    <row r="65" spans="2:17" x14ac:dyDescent="0.25">
      <c r="B65" s="216" t="str">
        <f>B24</f>
        <v>Sundry Creditors</v>
      </c>
      <c r="C65" s="226">
        <f>C24</f>
        <v>0</v>
      </c>
      <c r="D65" s="226">
        <f t="shared" ref="D65:P65" si="23">D24</f>
        <v>0</v>
      </c>
      <c r="E65" s="226">
        <f t="shared" si="23"/>
        <v>46.706902593749987</v>
      </c>
      <c r="F65" s="226">
        <f t="shared" si="23"/>
        <v>948.18524062499989</v>
      </c>
      <c r="G65" s="226">
        <f t="shared" si="23"/>
        <v>1053.5391562499999</v>
      </c>
      <c r="H65" s="226">
        <f t="shared" si="23"/>
        <v>1158.8930718749998</v>
      </c>
      <c r="I65" s="226">
        <f t="shared" si="23"/>
        <v>1264.2469875000002</v>
      </c>
      <c r="J65" s="226">
        <f t="shared" si="23"/>
        <v>1369.6009031250003</v>
      </c>
      <c r="K65" s="226">
        <f t="shared" si="23"/>
        <v>1474.9548187500004</v>
      </c>
      <c r="L65" s="226">
        <f t="shared" si="23"/>
        <v>1580.3087343750001</v>
      </c>
      <c r="M65" s="226">
        <f t="shared" si="23"/>
        <v>1550.8096380000006</v>
      </c>
      <c r="N65" s="226">
        <f t="shared" si="23"/>
        <v>1647.7352403750006</v>
      </c>
      <c r="O65" s="226">
        <f t="shared" si="23"/>
        <v>1744.6608427500007</v>
      </c>
      <c r="P65" s="226">
        <f t="shared" si="23"/>
        <v>0</v>
      </c>
      <c r="Q65" s="225"/>
    </row>
    <row r="66" spans="2:17" x14ac:dyDescent="0.25">
      <c r="B66" s="216" t="str">
        <f>B25</f>
        <v>Other Liability</v>
      </c>
      <c r="C66" s="226">
        <f>C25</f>
        <v>0</v>
      </c>
      <c r="D66" s="226">
        <f t="shared" ref="D66:P66" si="24">D25</f>
        <v>0</v>
      </c>
      <c r="E66" s="226">
        <f t="shared" si="24"/>
        <v>50</v>
      </c>
      <c r="F66" s="226">
        <f t="shared" si="24"/>
        <v>52.37</v>
      </c>
      <c r="G66" s="226">
        <f t="shared" si="24"/>
        <v>52.37</v>
      </c>
      <c r="H66" s="226">
        <f t="shared" si="24"/>
        <v>54.87</v>
      </c>
      <c r="I66" s="226">
        <f t="shared" si="24"/>
        <v>57.62</v>
      </c>
      <c r="J66" s="226">
        <f t="shared" si="24"/>
        <v>60.64</v>
      </c>
      <c r="K66" s="226">
        <f t="shared" si="24"/>
        <v>80.59</v>
      </c>
      <c r="L66" s="226">
        <f t="shared" si="24"/>
        <v>50.3</v>
      </c>
      <c r="M66" s="226">
        <f t="shared" si="24"/>
        <v>75</v>
      </c>
      <c r="N66" s="226">
        <f t="shared" si="24"/>
        <v>75</v>
      </c>
      <c r="O66" s="226">
        <f t="shared" si="24"/>
        <v>175</v>
      </c>
      <c r="P66" s="226">
        <f t="shared" si="24"/>
        <v>0</v>
      </c>
      <c r="Q66" s="225"/>
    </row>
    <row r="67" spans="2:17" x14ac:dyDescent="0.25">
      <c r="B67" s="231" t="s">
        <v>630</v>
      </c>
      <c r="C67" s="229">
        <f>SUM(C65:C66)</f>
        <v>0</v>
      </c>
      <c r="D67" s="229">
        <f t="shared" ref="D67" si="25">SUM(D63:D66)</f>
        <v>0</v>
      </c>
      <c r="E67" s="229">
        <f t="shared" ref="E67" si="26">SUM(E63:E66)</f>
        <v>96.706902593749987</v>
      </c>
      <c r="F67" s="229">
        <f t="shared" ref="F67" si="27">SUM(F63:F66)</f>
        <v>1000.5552406249999</v>
      </c>
      <c r="G67" s="229">
        <f t="shared" ref="G67" si="28">SUM(G63:G66)</f>
        <v>1105.9091562499998</v>
      </c>
      <c r="H67" s="229">
        <f t="shared" ref="H67" si="29">SUM(H63:H66)</f>
        <v>1213.7630718749997</v>
      </c>
      <c r="I67" s="229">
        <f t="shared" ref="I67" si="30">SUM(I63:I66)</f>
        <v>1321.8669875000001</v>
      </c>
      <c r="J67" s="229">
        <f t="shared" ref="J67" si="31">SUM(J63:J66)</f>
        <v>1430.2409031250004</v>
      </c>
      <c r="K67" s="229">
        <f t="shared" ref="K67" si="32">SUM(K63:K66)</f>
        <v>1555.5448187500003</v>
      </c>
      <c r="L67" s="229">
        <f t="shared" ref="L67" si="33">SUM(L63:L66)</f>
        <v>1630.608734375</v>
      </c>
      <c r="M67" s="229">
        <f t="shared" ref="M67" si="34">SUM(M63:M66)</f>
        <v>1625.8096380000006</v>
      </c>
      <c r="N67" s="229">
        <f t="shared" ref="N67" si="35">SUM(N63:N66)</f>
        <v>1722.7352403750006</v>
      </c>
      <c r="O67" s="229">
        <f t="shared" ref="O67" si="36">SUM(O63:O66)</f>
        <v>1919.6608427500007</v>
      </c>
      <c r="P67" s="229">
        <f t="shared" ref="P67" si="37">SUM(P63:P66)</f>
        <v>0</v>
      </c>
      <c r="Q67" s="225"/>
    </row>
    <row r="68" spans="2:17" x14ac:dyDescent="0.25"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5"/>
      <c r="Q68" s="225"/>
    </row>
    <row r="69" spans="2:17" x14ac:dyDescent="0.25">
      <c r="B69" s="231" t="s">
        <v>873</v>
      </c>
      <c r="C69" s="229">
        <f>C62-C67</f>
        <v>0</v>
      </c>
      <c r="D69" s="229">
        <f t="shared" ref="D69:P69" si="38">D62-D67</f>
        <v>0</v>
      </c>
      <c r="E69" s="229">
        <f t="shared" si="38"/>
        <v>205.59701303125001</v>
      </c>
      <c r="F69" s="229">
        <f t="shared" si="38"/>
        <v>1483.0232956249997</v>
      </c>
      <c r="G69" s="229">
        <f t="shared" si="38"/>
        <v>1760.1776587500003</v>
      </c>
      <c r="H69" s="229">
        <f t="shared" si="38"/>
        <v>1878.6749478749998</v>
      </c>
      <c r="I69" s="229">
        <f t="shared" si="38"/>
        <v>2104.6835795000011</v>
      </c>
      <c r="J69" s="229">
        <f t="shared" si="38"/>
        <v>2012.3260666250003</v>
      </c>
      <c r="K69" s="229">
        <f t="shared" si="38"/>
        <v>2149.5780717500011</v>
      </c>
      <c r="L69" s="229">
        <f t="shared" si="38"/>
        <v>1950.0273918750004</v>
      </c>
      <c r="M69" s="229">
        <f t="shared" si="38"/>
        <v>2018.2762300000004</v>
      </c>
      <c r="N69" s="229">
        <f t="shared" si="38"/>
        <v>2035.474173125001</v>
      </c>
      <c r="O69" s="229">
        <f t="shared" si="38"/>
        <v>1910.7545087500005</v>
      </c>
      <c r="P69" s="229">
        <f t="shared" si="38"/>
        <v>154.81538352499999</v>
      </c>
      <c r="Q69" s="225"/>
    </row>
    <row r="70" spans="2:17" x14ac:dyDescent="0.25"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5"/>
      <c r="Q70" s="225"/>
    </row>
    <row r="71" spans="2:17" x14ac:dyDescent="0.25">
      <c r="B71" s="231" t="s">
        <v>870</v>
      </c>
      <c r="C71" s="229"/>
      <c r="D71" s="229">
        <f>D69-C69</f>
        <v>0</v>
      </c>
      <c r="E71" s="229">
        <f t="shared" ref="E71:P71" si="39">E69-D69</f>
        <v>205.59701303125001</v>
      </c>
      <c r="F71" s="229">
        <f t="shared" si="39"/>
        <v>1277.4262825937496</v>
      </c>
      <c r="G71" s="229">
        <f t="shared" si="39"/>
        <v>277.1543631250006</v>
      </c>
      <c r="H71" s="229">
        <f t="shared" si="39"/>
        <v>118.4972891249995</v>
      </c>
      <c r="I71" s="229">
        <f t="shared" si="39"/>
        <v>226.00863162500127</v>
      </c>
      <c r="J71" s="229">
        <f t="shared" si="39"/>
        <v>-92.357512875000793</v>
      </c>
      <c r="K71" s="229">
        <f t="shared" si="39"/>
        <v>137.25200512500078</v>
      </c>
      <c r="L71" s="229">
        <f t="shared" si="39"/>
        <v>-199.5506798750007</v>
      </c>
      <c r="M71" s="229">
        <f t="shared" si="39"/>
        <v>68.24883812500002</v>
      </c>
      <c r="N71" s="229">
        <f t="shared" si="39"/>
        <v>17.19794312500062</v>
      </c>
      <c r="O71" s="229">
        <f t="shared" si="39"/>
        <v>-124.71966437500055</v>
      </c>
      <c r="P71" s="229">
        <f t="shared" si="39"/>
        <v>-1755.9391252250005</v>
      </c>
      <c r="Q71" s="225"/>
    </row>
    <row r="72" spans="2:17" x14ac:dyDescent="0.25"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5"/>
      <c r="Q72" s="225"/>
    </row>
    <row r="73" spans="2:17" x14ac:dyDescent="0.25"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5"/>
      <c r="Q73" s="225"/>
    </row>
    <row r="74" spans="2:17" x14ac:dyDescent="0.25"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5"/>
      <c r="Q74" s="225"/>
    </row>
    <row r="75" spans="2:17" x14ac:dyDescent="0.25"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5"/>
      <c r="Q75" s="225"/>
    </row>
    <row r="76" spans="2:17" x14ac:dyDescent="0.25"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5"/>
      <c r="Q76" s="225"/>
    </row>
    <row r="77" spans="2:17" x14ac:dyDescent="0.25"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5"/>
      <c r="Q77" s="225"/>
    </row>
    <row r="78" spans="2:17" x14ac:dyDescent="0.25"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5"/>
      <c r="Q78" s="225"/>
    </row>
    <row r="79" spans="2:17" x14ac:dyDescent="0.25"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5"/>
      <c r="Q79" s="225"/>
    </row>
    <row r="80" spans="2:17" x14ac:dyDescent="0.25"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5"/>
      <c r="Q80" s="225"/>
    </row>
    <row r="81" spans="3:17" x14ac:dyDescent="0.25"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5"/>
      <c r="Q81" s="225"/>
    </row>
    <row r="82" spans="3:17" x14ac:dyDescent="0.25"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5"/>
      <c r="Q82" s="225"/>
    </row>
    <row r="83" spans="3:17" x14ac:dyDescent="0.25"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5"/>
      <c r="Q83" s="225"/>
    </row>
    <row r="84" spans="3:17" x14ac:dyDescent="0.25"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5"/>
      <c r="Q84" s="225"/>
    </row>
    <row r="85" spans="3:17" x14ac:dyDescent="0.25"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5"/>
      <c r="Q85" s="225"/>
    </row>
    <row r="86" spans="3:17" x14ac:dyDescent="0.25"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5"/>
      <c r="Q86" s="225"/>
    </row>
    <row r="87" spans="3:17" x14ac:dyDescent="0.25"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5"/>
      <c r="Q87" s="225"/>
    </row>
    <row r="88" spans="3:17" x14ac:dyDescent="0.25"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5"/>
      <c r="Q88" s="225"/>
    </row>
    <row r="89" spans="3:17" x14ac:dyDescent="0.25"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5"/>
      <c r="Q89" s="225"/>
    </row>
    <row r="90" spans="3:17" x14ac:dyDescent="0.25"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5"/>
      <c r="Q90" s="225"/>
    </row>
    <row r="91" spans="3:17" x14ac:dyDescent="0.25"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5"/>
      <c r="Q91" s="225"/>
    </row>
    <row r="92" spans="3:17" x14ac:dyDescent="0.25"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5"/>
      <c r="Q92" s="225"/>
    </row>
    <row r="93" spans="3:17" x14ac:dyDescent="0.25"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5"/>
      <c r="Q93" s="225"/>
    </row>
    <row r="94" spans="3:17" x14ac:dyDescent="0.25"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5"/>
      <c r="Q94" s="225"/>
    </row>
    <row r="95" spans="3:17" x14ac:dyDescent="0.25"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5"/>
      <c r="Q95" s="225"/>
    </row>
    <row r="96" spans="3:17" x14ac:dyDescent="0.25"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5"/>
      <c r="Q96" s="225"/>
    </row>
    <row r="97" spans="3:17" x14ac:dyDescent="0.25"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5"/>
      <c r="Q97" s="225"/>
    </row>
    <row r="98" spans="3:17" x14ac:dyDescent="0.25"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5"/>
      <c r="Q98" s="225"/>
    </row>
    <row r="99" spans="3:17" x14ac:dyDescent="0.25"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5"/>
      <c r="Q99" s="225"/>
    </row>
    <row r="100" spans="3:17" x14ac:dyDescent="0.25"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5"/>
      <c r="Q100" s="225"/>
    </row>
    <row r="101" spans="3:17" x14ac:dyDescent="0.25"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5"/>
      <c r="Q101" s="225"/>
    </row>
    <row r="102" spans="3:17" x14ac:dyDescent="0.25"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5"/>
      <c r="Q102" s="225"/>
    </row>
    <row r="103" spans="3:17" x14ac:dyDescent="0.25"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5"/>
      <c r="Q103" s="225"/>
    </row>
    <row r="104" spans="3:17" x14ac:dyDescent="0.25"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5"/>
      <c r="Q104" s="225"/>
    </row>
    <row r="105" spans="3:17" x14ac:dyDescent="0.25"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5"/>
      <c r="Q105" s="225"/>
    </row>
    <row r="106" spans="3:17" x14ac:dyDescent="0.25"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5"/>
      <c r="Q106" s="225"/>
    </row>
    <row r="107" spans="3:17" x14ac:dyDescent="0.25"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5"/>
      <c r="Q107" s="225"/>
    </row>
    <row r="108" spans="3:17" x14ac:dyDescent="0.25"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5"/>
      <c r="Q108" s="225"/>
    </row>
    <row r="109" spans="3:17" x14ac:dyDescent="0.25"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5"/>
      <c r="Q109" s="225"/>
    </row>
    <row r="110" spans="3:17" x14ac:dyDescent="0.25"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5"/>
      <c r="Q110" s="225"/>
    </row>
    <row r="111" spans="3:17" x14ac:dyDescent="0.25"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5"/>
      <c r="Q111" s="225"/>
    </row>
    <row r="112" spans="3:17" x14ac:dyDescent="0.25"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5"/>
      <c r="Q112" s="225"/>
    </row>
  </sheetData>
  <mergeCells count="3">
    <mergeCell ref="B5:O5"/>
    <mergeCell ref="B2:O2"/>
    <mergeCell ref="B4:O4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6</vt:i4>
      </vt:variant>
    </vt:vector>
  </HeadingPairs>
  <TitlesOfParts>
    <vt:vector size="37" baseType="lpstr">
      <vt:lpstr>BEP(Proposed)</vt:lpstr>
      <vt:lpstr>BS Existing</vt:lpstr>
      <vt:lpstr>P&amp;L Existing</vt:lpstr>
      <vt:lpstr>CONPL</vt:lpstr>
      <vt:lpstr>CONBS</vt:lpstr>
      <vt:lpstr>NPV AND IRR (COMB)</vt:lpstr>
      <vt:lpstr>NPV AND IRR</vt:lpstr>
      <vt:lpstr>P&amp;L(Proposed)</vt:lpstr>
      <vt:lpstr>BS(Proposed)</vt:lpstr>
      <vt:lpstr>Capacity</vt:lpstr>
      <vt:lpstr>Dep(Existing)</vt:lpstr>
      <vt:lpstr>Dep(Proposed)</vt:lpstr>
      <vt:lpstr>DSCR &amp; Ratios-Combined</vt:lpstr>
      <vt:lpstr>DSCR &amp; Ratios</vt:lpstr>
      <vt:lpstr>Ratios proposed</vt:lpstr>
      <vt:lpstr>COP</vt:lpstr>
      <vt:lpstr>Raw Material</vt:lpstr>
      <vt:lpstr>Quotation P&amp;M</vt:lpstr>
      <vt:lpstr>Manpower</vt:lpstr>
      <vt:lpstr>Cost Sheet P&amp;M</vt:lpstr>
      <vt:lpstr>Cost Sheet Bldg &amp; Equipment</vt:lpstr>
      <vt:lpstr>Rep(Building)</vt:lpstr>
      <vt:lpstr>Rep(P&amp;M)</vt:lpstr>
      <vt:lpstr>ROUGH SHEET</vt:lpstr>
      <vt:lpstr>Ratios</vt:lpstr>
      <vt:lpstr>Existing TL Buldg</vt:lpstr>
      <vt:lpstr>Existing TL P&amp;M</vt:lpstr>
      <vt:lpstr>GECL</vt:lpstr>
      <vt:lpstr>BEP (Combined)</vt:lpstr>
      <vt:lpstr>IRR (Proposed)</vt:lpstr>
      <vt:lpstr>IRR (Combined)</vt:lpstr>
      <vt:lpstr>'BS(Proposed)'!Print_Area</vt:lpstr>
      <vt:lpstr>CONBS!Print_Area</vt:lpstr>
      <vt:lpstr>'P&amp;L(Proposed)'!Print_Area</vt:lpstr>
      <vt:lpstr>'Quotation P&amp;M'!Print_Area</vt:lpstr>
      <vt:lpstr>'Rep(Building)'!Print_Area</vt:lpstr>
      <vt:lpstr>'Rep(P&amp;M)'!Print_Area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Kumar Badola</dc:creator>
  <cp:lastModifiedBy>Gaurav Kumar</cp:lastModifiedBy>
  <cp:lastPrinted>2023-10-21T06:42:14Z</cp:lastPrinted>
  <dcterms:created xsi:type="dcterms:W3CDTF">2017-03-17T05:09:43Z</dcterms:created>
  <dcterms:modified xsi:type="dcterms:W3CDTF">2023-11-28T11:50:39Z</dcterms:modified>
</cp:coreProperties>
</file>